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>
    <definedName name="_xlnm._FilterDatabase" localSheetId="0" hidden="1">Sheet1!$A$1:$T$1000</definedName>
    <definedName name="_xlnm._FilterDatabase" localSheetId="0" hidden="1">'Sheet1'!$A$1:$T$1000</definedName>
  </definedNames>
  <calcPr calcId="125725" fullCalcOnLoad="1"/>
</workbook>
</file>

<file path=xl/styles.xml><?xml version="1.0" encoding="utf-8"?>
<styleSheet xmlns="http://schemas.openxmlformats.org/spreadsheetml/2006/main">
  <numFmts count="9">
    <numFmt numFmtId="164" formatCode="#\ ##0.0\м\2"/>
    <numFmt numFmtId="165" formatCode="dd\.mm\.yy\ hh:mm"/>
    <numFmt numFmtId="166" formatCode="#\ ###\ ##0\₽"/>
    <numFmt numFmtId="167" formatCode="#\ ###\ ##0.0\₽"/>
    <numFmt numFmtId="168" formatCode="#\ ###\ ##0"/>
    <numFmt numFmtId="169" formatCode="_-* #\ ##0.00\₽_-;\-* #\ ##0.00\₽_-"/>
    <numFmt numFmtId="170" formatCode="_-* #\ ##0.0\₽_-;\-* #\ ##0.0\₽\-"/>
    <numFmt numFmtId="171" formatCode="_-* #\ ##0\₽_-;\-* #\ ##0\₽\-"/>
    <numFmt numFmtId="172" formatCode="_-* # ##0₽_-;-* # ##0₽-"/>
  </numFmts>
  <fonts count="10"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alibri"/>
      <color rgb="FF0000FF"/>
      <sz val="11"/>
      <u val="single"/>
    </font>
    <font>
      <name val="Calibri"/>
      <b val="1"/>
      <color rgb="FF006100"/>
      <sz val="11"/>
    </font>
    <font>
      <name val="Calibri"/>
      <color rgb="FF9C0006"/>
      <sz val="11"/>
    </font>
    <font>
      <name val="Calibri"/>
      <b val="1"/>
      <color rgb="FF006100"/>
      <sz val="11"/>
    </font>
    <font>
      <name val="Calibri"/>
      <color rgb="FF9C0006"/>
      <sz val="11"/>
    </font>
    <font>
      <b val="1"/>
      <color rgb="00006100"/>
    </font>
    <font>
      <color rgb="009C0006"/>
    </font>
  </fonts>
  <fills count="8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00C6EFCE"/>
      </patternFill>
    </fill>
    <fill>
      <patternFill patternType="solid">
        <fgColor rgb="00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8" fontId="0" fillId="0" borderId="0" pivotButton="0" quotePrefix="0" xfId="0"/>
    <xf numFmtId="0" fontId="0" fillId="0" borderId="0" applyAlignment="1" pivotButton="0" quotePrefix="0" xfId="0">
      <alignment horizontal="centerContinuous"/>
    </xf>
    <xf numFmtId="0" fontId="2" fillId="0" borderId="1" applyAlignment="1" pivotButton="0" quotePrefix="0" xfId="0">
      <alignment horizontal="center" vertical="top"/>
    </xf>
    <xf numFmtId="169" fontId="0" fillId="0" borderId="0" pivotButton="0" quotePrefix="0" xfId="0"/>
    <xf numFmtId="170" fontId="0" fillId="0" borderId="0" pivotButton="0" quotePrefix="0" xfId="0"/>
    <xf numFmtId="0" fontId="3" fillId="0" borderId="0" pivotButton="0" quotePrefix="0" xfId="0"/>
    <xf numFmtId="9" fontId="4" fillId="2" borderId="0" pivotButton="0" quotePrefix="0" xfId="0"/>
    <xf numFmtId="171" fontId="0" fillId="0" borderId="0" pivotButton="0" quotePrefix="0" xfId="0"/>
    <xf numFmtId="171" fontId="4" fillId="2" borderId="0" pivotButton="0" quotePrefix="0" xfId="0"/>
    <xf numFmtId="171" fontId="5" fillId="3" borderId="0" pivotButton="0" quotePrefix="0" xfId="0"/>
    <xf numFmtId="9" fontId="6" fillId="4" borderId="0" pivotButton="0" quotePrefix="0" xfId="0"/>
    <xf numFmtId="171" fontId="0" fillId="0" borderId="0" pivotButton="0" quotePrefix="0" xfId="0"/>
    <xf numFmtId="171" fontId="6" fillId="4" borderId="0" pivotButton="0" quotePrefix="0" xfId="0"/>
    <xf numFmtId="171" fontId="7" fillId="5" borderId="0" pivotButton="0" quotePrefix="0" xfId="0"/>
    <xf numFmtId="172" fontId="0" fillId="0" borderId="0" pivotButton="0" quotePrefix="0" xfId="0"/>
    <xf numFmtId="9" fontId="8" fillId="6" borderId="0" pivotButton="0" quotePrefix="0" xfId="0"/>
    <xf numFmtId="172" fontId="8" fillId="6" borderId="0" pivotButton="0" quotePrefix="0" xfId="0"/>
    <xf numFmtId="172" fontId="9" fillId="7" borderId="0" pivotButton="0" quotePrefix="0" xfId="0"/>
  </cellXfs>
  <cellStyles count="1">
    <cellStyle name="Обычный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79"/>
  <sheetViews>
    <sheetView tabSelected="1" workbookViewId="0">
      <selection activeCell="A1" sqref="A1"/>
    </sheetView>
  </sheetViews>
  <sheetFormatPr baseColWidth="8" defaultRowHeight="15"/>
  <cols>
    <col width="3.7109375" customWidth="1" min="2" max="2"/>
    <col width="9.7109375" customWidth="1" style="1" min="3" max="3"/>
    <col width="23.7109375" customWidth="1" style="2" min="4" max="4"/>
    <col width="12.7109375" customWidth="1" min="5" max="5"/>
    <col width="12.7109375" customWidth="1" style="3" min="6" max="6"/>
    <col width="40.7109375" customWidth="1" min="7" max="7"/>
    <col width="12.7109375" customWidth="1" style="4" min="8" max="8"/>
    <col width="9.7109375" customWidth="1" style="4" min="9" max="9"/>
    <col width="8.7109375" customWidth="1" style="5" min="11" max="11"/>
    <col width="8.7109375" customWidth="1" style="4" min="12" max="12"/>
    <col width="5.7109375" customWidth="1" min="13" max="13"/>
    <col width="10.7109375" customWidth="1" style="6" min="14" max="14"/>
    <col width="5.7109375" customWidth="1" min="15" max="15"/>
    <col width="6.7109375" customWidth="1" min="16" max="16"/>
    <col width="3.7109375" customWidth="1" min="17" max="18"/>
    <col width="22.7109375" customWidth="1" style="2" min="19" max="20"/>
    <col width="17.7109375" customWidth="1" min="21" max="21"/>
    <col width="5.7109375" customWidth="1" style="7" min="22" max="22"/>
    <col width="9.7109375" customWidth="1" style="4" min="23" max="24"/>
  </cols>
  <sheetData>
    <row r="1">
      <c r="B1" s="8" t="inlineStr">
        <is>
          <t>Регион</t>
        </is>
      </c>
      <c r="C1" s="8" t="inlineStr">
        <is>
          <t>Общая площадь</t>
        </is>
      </c>
      <c r="D1" s="8" t="inlineStr">
        <is>
          <t>id</t>
        </is>
      </c>
      <c r="E1" s="8" t="inlineStr">
        <is>
          <t>Название</t>
        </is>
      </c>
      <c r="F1" s="8" t="inlineStr">
        <is>
          <t>Окончания подачи заявок</t>
        </is>
      </c>
      <c r="G1" s="8" t="inlineStr">
        <is>
          <t>Адрес</t>
        </is>
      </c>
      <c r="H1" s="8" t="inlineStr">
        <is>
          <t>Цена</t>
        </is>
      </c>
      <c r="I1" s="8" t="inlineStr">
        <is>
          <t>Цена за кв.м</t>
        </is>
      </c>
      <c r="J1" s="8" t="inlineStr">
        <is>
          <t>Тип объекта</t>
        </is>
      </c>
      <c r="K1" s="8" t="inlineStr">
        <is>
          <t>Чел/кв.м</t>
        </is>
      </c>
      <c r="L1" s="8" t="inlineStr">
        <is>
          <t>Ком/кв.м</t>
        </is>
      </c>
      <c r="M1" s="8" t="inlineStr">
        <is>
          <t>Жителей</t>
        </is>
      </c>
      <c r="N1" s="8" t="inlineStr">
        <is>
          <t>Жителей в нп</t>
        </is>
      </c>
      <c r="O1" s="8" t="inlineStr">
        <is>
          <t>Коммерческих объектов</t>
        </is>
      </c>
      <c r="P1" s="8" t="inlineStr">
        <is>
          <t>Прирост ст</t>
        </is>
      </c>
      <c r="Q1" s="8" t="inlineStr">
        <is>
          <t>Форма проведения</t>
        </is>
      </c>
      <c r="R1" s="8" t="inlineStr">
        <is>
          <t>Имущество</t>
        </is>
      </c>
      <c r="S1" s="8" t="inlineStr">
        <is>
          <t>Координаты</t>
        </is>
      </c>
      <c r="T1" s="8" t="inlineStr">
        <is>
          <t>Описание коммерческих объектов</t>
        </is>
      </c>
      <c r="U1" s="8" t="inlineStr">
        <is>
          <t>Кадастровый номер</t>
        </is>
      </c>
      <c r="V1" s="8" t="inlineStr">
        <is>
          <t>Этаж</t>
        </is>
      </c>
      <c r="W1" s="8" t="inlineStr">
        <is>
          <t>Предсказываемая</t>
        </is>
      </c>
      <c r="X1" s="8" t="inlineStr">
        <is>
          <t>Разница с реальной</t>
        </is>
      </c>
      <c r="Y1" s="8" t="inlineStr">
        <is>
          <t>Отдельный вход</t>
        </is>
      </c>
      <c r="Z1" s="8" t="inlineStr">
        <is>
          <t>Культурное наследие</t>
        </is>
      </c>
      <c r="AA1" s="8" t="inlineStr">
        <is>
          <t>Ремонт</t>
        </is>
      </c>
    </row>
    <row r="2">
      <c r="A2" s="8" t="n">
        <v>0</v>
      </c>
      <c r="B2" t="n">
        <v>1</v>
      </c>
      <c r="C2" s="1" t="n">
        <v>32.2</v>
      </c>
      <c r="D2" s="2">
        <f>HYPERLINK("https://torgi.gov.ru/new/public/lots/lot/22000066460000000014_1/(lotInfo:info)", "22000066460000000014_1")</f>
        <v/>
      </c>
      <c r="E2" t="inlineStr">
        <is>
          <t>Нежилое помещение, Этаж: 1, общей площадью 32,2 кв.м, с кадастровым номером 01:08:0516182:50, по адресу: Российская Федерация, Республика Адыгея, г. Майкоп, ул. Рабочая, дом № 91, Номер помещения 1,2.</t>
        </is>
      </c>
      <c r="F2" s="3" t="inlineStr">
        <is>
          <t>20.09.22 20:59</t>
        </is>
      </c>
      <c r="G2" t="inlineStr">
        <is>
          <t>г Майкоп, ул Рабочая, д 91А</t>
        </is>
      </c>
      <c r="H2" s="4" t="n">
        <v>835107</v>
      </c>
      <c r="I2" s="4" t="n">
        <v>25935</v>
      </c>
      <c r="J2" t="inlineStr">
        <is>
          <t>Нежилое помещение</t>
        </is>
      </c>
      <c r="K2" s="5" t="n">
        <v>13.47</v>
      </c>
      <c r="M2" t="n">
        <v>1926</v>
      </c>
      <c r="N2" s="6" t="n">
        <v>165279</v>
      </c>
      <c r="Q2" t="inlineStr">
        <is>
          <t>EA</t>
        </is>
      </c>
      <c r="R2" t="inlineStr">
        <is>
          <t>М</t>
        </is>
      </c>
      <c r="S2" s="2">
        <f>HYPERLINK("https://yandex.ru/maps/?&amp;text=44.596042, 40.06735", "44.596042, 40.06735")</f>
        <v/>
      </c>
      <c r="U2" t="inlineStr">
        <is>
          <t xml:space="preserve">01:08:0516182:50, </t>
        </is>
      </c>
      <c r="V2" s="7" t="inlineStr">
        <is>
          <t>1</t>
        </is>
      </c>
      <c r="W2" s="20" t="n">
        <v>25999.90717260928</v>
      </c>
      <c r="X2" s="20" t="n">
        <v>64.90717260928068</v>
      </c>
      <c r="Y2" t="n">
        <v>0</v>
      </c>
    </row>
    <row r="3">
      <c r="A3" s="8" t="n">
        <v>1</v>
      </c>
      <c r="B3" t="n">
        <v>1</v>
      </c>
      <c r="C3" s="1" t="n">
        <v>87.59999999999999</v>
      </c>
      <c r="D3" s="2">
        <f>HYPERLINK("https://torgi.gov.ru/new/public/lots/lot/22000066460000000012_1/(lotInfo:info)", "22000066460000000012_1")</f>
        <v/>
      </c>
      <c r="E3" t="inlineStr">
        <is>
          <t>Нежилое помещение, Этаж: 1, общей площадью 87,6 кв.м, с кадастровым номером 01:08:0513012:505, по адресу: Республика Адыгея, г. Майкоп, ул. Димитрова, д. 25.</t>
        </is>
      </c>
      <c r="F3" s="3" t="inlineStr">
        <is>
          <t>14.09.22 20:59</t>
        </is>
      </c>
      <c r="G3" t="inlineStr">
        <is>
          <t>г Майкоп, ул Димитрова, д 25</t>
        </is>
      </c>
      <c r="H3" s="4" t="n">
        <v>2329459</v>
      </c>
      <c r="I3" s="4" t="n">
        <v>26591.99771689498</v>
      </c>
      <c r="J3" t="inlineStr">
        <is>
          <t>Нежилое помещение</t>
        </is>
      </c>
      <c r="K3" s="5" t="n">
        <v>3.92</v>
      </c>
      <c r="L3" s="4" t="n">
        <v>633.12</v>
      </c>
      <c r="M3" t="n">
        <v>6784</v>
      </c>
      <c r="N3" s="6" t="n">
        <v>165279</v>
      </c>
      <c r="O3" t="n">
        <v>42</v>
      </c>
      <c r="P3" s="21" t="n">
        <v>0.01031440720905866</v>
      </c>
      <c r="Q3" t="inlineStr">
        <is>
          <t>EA</t>
        </is>
      </c>
      <c r="R3" t="inlineStr">
        <is>
          <t>М</t>
        </is>
      </c>
      <c r="S3" s="2">
        <f>HYPERLINK("https://yandex.ru/maps/?&amp;text=44.617733, 40.063377", "44.617733, 40.063377")</f>
        <v/>
      </c>
      <c r="T3" s="2">
        <f>HYPERLINK("D:\venv_torgi\env\cache\objs_in_district/44.617733_40.063377.json", "44.617733_40.063377.json")</f>
        <v/>
      </c>
      <c r="U3" t="inlineStr">
        <is>
          <t xml:space="preserve">01:08:0513012:505, </t>
        </is>
      </c>
      <c r="V3" s="7" t="inlineStr">
        <is>
          <t>1</t>
        </is>
      </c>
      <c r="W3" s="20" t="n">
        <v>26866.27840984939</v>
      </c>
      <c r="X3" s="22" t="n">
        <v>274.2806929544131</v>
      </c>
      <c r="Y3" t="n">
        <v>0</v>
      </c>
    </row>
    <row r="4">
      <c r="A4" s="8" t="n">
        <v>2</v>
      </c>
      <c r="B4" t="n">
        <v>1</v>
      </c>
      <c r="C4" s="1" t="n">
        <v>36.8</v>
      </c>
      <c r="D4" s="2">
        <f>HYPERLINK("https://torgi.gov.ru/new/public/lots/lot/22000066460000000013_1/(lotInfo:info)", "22000066460000000013_1")</f>
        <v/>
      </c>
      <c r="E4" t="inlineStr">
        <is>
          <t>Нежилое помещение, Этаж № 1, общей площадью 36,8 кв.м, с кадастровым номером 01:08:0506026:112, по адресу: Республика Адыгея, г. Майкоп, ул. Школьная, д. 347.</t>
        </is>
      </c>
      <c r="F4" s="3" t="inlineStr">
        <is>
          <t>19.09.22 20:59</t>
        </is>
      </c>
      <c r="G4" t="inlineStr">
        <is>
          <t>г Майкоп, ул Школьная, двлд 347</t>
        </is>
      </c>
      <c r="H4" s="4" t="n">
        <v>1094469</v>
      </c>
      <c r="I4" s="4" t="n">
        <v>29741.00543478261</v>
      </c>
      <c r="J4" t="inlineStr">
        <is>
          <t>Школьная</t>
        </is>
      </c>
      <c r="K4" s="5" t="n">
        <v>3.54</v>
      </c>
      <c r="L4" s="4" t="n">
        <v>334.17</v>
      </c>
      <c r="M4" t="n">
        <v>8409</v>
      </c>
      <c r="N4" s="6" t="n">
        <v>165279</v>
      </c>
      <c r="O4" t="n">
        <v>89</v>
      </c>
      <c r="Q4" t="inlineStr">
        <is>
          <t>EA</t>
        </is>
      </c>
      <c r="R4" t="inlineStr">
        <is>
          <t>М</t>
        </is>
      </c>
      <c r="S4" s="2">
        <f>HYPERLINK("https://yandex.ru/maps/?&amp;text=44.612645, 40.079846", "44.612645, 40.079846")</f>
        <v/>
      </c>
      <c r="T4" s="2">
        <f>HYPERLINK("D:\venv_torgi\env\cache\objs_in_district/44.612645_40.079846.json", "44.612645_40.079846.json")</f>
        <v/>
      </c>
      <c r="U4" t="inlineStr">
        <is>
          <t xml:space="preserve">01:08:0506026:112, </t>
        </is>
      </c>
      <c r="V4" s="7" t="inlineStr">
        <is>
          <t>1</t>
        </is>
      </c>
      <c r="W4" s="20" t="n">
        <v>26866.27840984939</v>
      </c>
      <c r="X4" s="23" t="n">
        <v>-2874.727024933218</v>
      </c>
      <c r="Y4" t="n">
        <v>0</v>
      </c>
    </row>
    <row r="5">
      <c r="A5" s="8" t="n">
        <v>3</v>
      </c>
      <c r="B5" t="n">
        <v>2</v>
      </c>
      <c r="C5" s="1" t="n">
        <v>149.3</v>
      </c>
      <c r="D5" s="2">
        <f>HYPERLINK("https://torgi.gov.ru/new/public/lots/lot/22000133730000000002_1/(lotInfo:info)", "22000133730000000002_1")</f>
        <v/>
      </c>
      <c r="E5" t="inlineStr">
        <is>
          <t>нежилое здание с кадастровым номером 02:27:040601:154, площадью 149,3 кв.м, расположенного по адресу: Республика Башкортостан, Илишевский район, д. Тюлиганово, ул. Чапаева, д.4, с земельным участком с кадастровым номером 02:27:040601:1, площадью 3685 кв.м,</t>
        </is>
      </c>
      <c r="F5" s="3" t="inlineStr">
        <is>
          <t>30.08.22 03:00</t>
        </is>
      </c>
      <c r="G5" t="inlineStr">
        <is>
          <t>Респ Башкортостан, Илишевский р-н, деревня Тюлиганово, ул Чапаева, д 4</t>
        </is>
      </c>
      <c r="H5" s="4" t="n">
        <v>180000</v>
      </c>
      <c r="I5" s="4" t="n">
        <v>1205.626255860683</v>
      </c>
      <c r="J5" t="inlineStr">
        <is>
          <t xml:space="preserve">здание </t>
        </is>
      </c>
      <c r="K5" s="5" t="n">
        <v>6.77</v>
      </c>
      <c r="M5" t="n">
        <v>178</v>
      </c>
      <c r="N5" s="6" t="n">
        <v>152</v>
      </c>
      <c r="P5" s="21" t="n">
        <v>12.45571590288596</v>
      </c>
      <c r="Q5" t="inlineStr">
        <is>
          <t>EA</t>
        </is>
      </c>
      <c r="R5" t="inlineStr">
        <is>
          <t>М</t>
        </is>
      </c>
      <c r="S5" s="2">
        <f>HYPERLINK("https://yandex.ru/maps/?&amp;text=55.315391, 54.574145", "55.315391, 54.574145")</f>
        <v/>
      </c>
      <c r="U5" t="inlineStr">
        <is>
          <t xml:space="preserve">02:27:040601:154, </t>
        </is>
      </c>
      <c r="V5" s="7" t="inlineStr">
        <is>
          <t>1</t>
        </is>
      </c>
      <c r="W5" s="20" t="n">
        <v>16222.56438392146</v>
      </c>
      <c r="X5" s="22" t="n">
        <v>15016.93812806077</v>
      </c>
      <c r="Y5" t="n">
        <v>0</v>
      </c>
    </row>
    <row r="6">
      <c r="A6" s="8" t="n">
        <v>4</v>
      </c>
      <c r="B6" t="n">
        <v>2</v>
      </c>
      <c r="C6" s="1" t="n">
        <v>934.6</v>
      </c>
      <c r="D6" s="2">
        <f>HYPERLINK("https://torgi.gov.ru/new/public/lots/lot/22000127010000000002_1/(lotInfo:info)", "22000127010000000002_1")</f>
        <v/>
      </c>
      <c r="E6" t="inlineStr">
        <is>
          <t>одноэтажное нежилое здание школы, общей площадью 934,6 кв.м., здание котельной, общей площадью 15,6 кв.м., расположенных по адресу: РБ, Кушнаренковский район, с. Новокурмашево, ул. Школьная, д.1</t>
        </is>
      </c>
      <c r="F6" s="3" t="inlineStr">
        <is>
          <t>23.09.22 13:00</t>
        </is>
      </c>
      <c r="G6" t="inlineStr">
        <is>
          <t>Респ Башкортостан, Кушнаренковский р-н, село Новокурмашево, ул Школьная, зд 1</t>
        </is>
      </c>
      <c r="H6" s="4" t="n">
        <v>2500000</v>
      </c>
      <c r="I6" s="4" t="n">
        <v>2674.941151294671</v>
      </c>
      <c r="J6" t="inlineStr">
        <is>
          <t xml:space="preserve">здание </t>
        </is>
      </c>
      <c r="K6" s="5" t="n">
        <v>16.82</v>
      </c>
      <c r="L6" s="10" t="n"/>
      <c r="M6" t="n">
        <v>159</v>
      </c>
      <c r="N6" s="6" t="n">
        <v>441</v>
      </c>
      <c r="O6" t="inlineStr">
        <is>
          <t>0</t>
        </is>
      </c>
      <c r="P6" s="21" t="n">
        <v>0.680456402500714</v>
      </c>
      <c r="Q6" t="inlineStr">
        <is>
          <t>PP</t>
        </is>
      </c>
      <c r="R6" t="inlineStr">
        <is>
          <t>М</t>
        </is>
      </c>
      <c r="S6" s="2">
        <f>HYPERLINK("https://yandex.ru/maps/?&amp;text=55.024337, 55.181226", "55.024337, 55.181226")</f>
        <v/>
      </c>
      <c r="T6" s="11">
        <f>HYPERLINK("D:\venv_torgi\env\cache\objs_in_district/55.024337_55.181226.json", "55.024337_55.181226.json")</f>
        <v/>
      </c>
      <c r="W6" s="20" t="n">
        <v>4495.121984005761</v>
      </c>
      <c r="X6" s="22" t="n">
        <v>1820.18083271109</v>
      </c>
      <c r="Y6" t="n">
        <v>0</v>
      </c>
    </row>
    <row r="7">
      <c r="A7" s="8" t="n">
        <v>5</v>
      </c>
      <c r="B7" t="n">
        <v>2</v>
      </c>
      <c r="C7" s="1" t="n">
        <v>330.9</v>
      </c>
      <c r="D7" s="2">
        <f>HYPERLINK("https://torgi.gov.ru/new/public/lots/lot/22000133770000000002_1/(lotInfo:info)", "22000133770000000002_1")</f>
        <v/>
      </c>
      <c r="E7" t="inlineStr">
        <is>
          <t>нежилое здание с  кадастровым номером 02:27:031001:268, общей площадью 330.9 кв.м, расположенного по адресу: Республика Башкортостан, Илишевский район, д.Кызыл-Юлдуз, ул. Ленина, 21а, с земельным участком с кадастровым номером 02:27:031001:53, площадью 3478 кв.м.</t>
        </is>
      </c>
      <c r="F7" s="3" t="inlineStr">
        <is>
          <t>30.08.22 05:00</t>
        </is>
      </c>
      <c r="G7" t="inlineStr">
        <is>
          <t>Респ Башкортостан, Илишевский р-н, деревня Кызыл-Юлдуз, ул Ленина, д 21 к а</t>
        </is>
      </c>
      <c r="H7" s="4" t="n">
        <v>900000</v>
      </c>
      <c r="I7" s="4" t="n">
        <v>2719.85494106981</v>
      </c>
      <c r="J7" t="inlineStr">
        <is>
          <t xml:space="preserve">здание </t>
        </is>
      </c>
      <c r="K7" s="5" t="n">
        <v>36.25</v>
      </c>
      <c r="L7" s="10" t="n"/>
      <c r="M7" t="n">
        <v>75</v>
      </c>
      <c r="O7" t="inlineStr">
        <is>
          <t>0</t>
        </is>
      </c>
      <c r="Q7" t="inlineStr">
        <is>
          <t>EA</t>
        </is>
      </c>
      <c r="R7" t="inlineStr">
        <is>
          <t>М</t>
        </is>
      </c>
      <c r="S7" s="2">
        <f>HYPERLINK("https://yandex.ru/maps/?&amp;text=55.645984, 54.600789", "55.645984, 54.600789")</f>
        <v/>
      </c>
      <c r="T7" s="11">
        <f>HYPERLINK("D:\venv_torgi\env\cache\objs_in_district/55.645984_54.600789.json", "55.645984_54.600789.json")</f>
        <v/>
      </c>
      <c r="U7" t="inlineStr">
        <is>
          <t xml:space="preserve">02:27:031001:268, </t>
        </is>
      </c>
      <c r="V7" s="7" t="inlineStr">
        <is>
          <t>1</t>
        </is>
      </c>
      <c r="Y7" t="n">
        <v>0</v>
      </c>
    </row>
    <row r="8">
      <c r="A8" s="8" t="n">
        <v>6</v>
      </c>
      <c r="B8" t="n">
        <v>2</v>
      </c>
      <c r="C8" s="1" t="n">
        <v>169</v>
      </c>
      <c r="D8" s="2">
        <f>HYPERLINK("https://torgi.gov.ru/new/public/lots/lot/22000132840000000002_1/(lotInfo:info)", "22000132840000000002_1")</f>
        <v/>
      </c>
      <c r="E8" t="inlineStr">
        <is>
          <t>нежилое здание с  кадастровым номером 02:27:060701:203, общей площадью 169 кв.м, расположенного по адресу: Республика Башкортостан, р-н. Илишевский, с. Игметово, ул. Ленина, д. 7, с земельным участком с кадастровым номером 02:27:060701:80, площадью 1887 кв.м.</t>
        </is>
      </c>
      <c r="F8" s="3" t="inlineStr">
        <is>
          <t>31.08.22 03:00</t>
        </is>
      </c>
      <c r="G8" t="inlineStr">
        <is>
          <t>Респ Башкортостан, Илишевский р-н, село Игметово, ул Ленина, д 7</t>
        </is>
      </c>
      <c r="H8" s="4" t="n">
        <v>640000</v>
      </c>
      <c r="I8" s="4" t="n">
        <v>3786.98224852071</v>
      </c>
      <c r="J8" t="inlineStr">
        <is>
          <t xml:space="preserve">здание </t>
        </is>
      </c>
      <c r="K8" s="5" t="n">
        <v>15.97</v>
      </c>
      <c r="L8" s="10" t="n"/>
      <c r="M8" t="n">
        <v>237</v>
      </c>
      <c r="N8" s="6" t="n">
        <v>310</v>
      </c>
      <c r="O8" t="inlineStr">
        <is>
          <t>0</t>
        </is>
      </c>
      <c r="P8" s="21" t="n">
        <v>1.689359486323026</v>
      </c>
      <c r="Q8" t="inlineStr">
        <is>
          <t>EA</t>
        </is>
      </c>
      <c r="R8" t="inlineStr">
        <is>
          <t>М</t>
        </is>
      </c>
      <c r="S8" s="2">
        <f>HYPERLINK("https://yandex.ru/maps/?&amp;text=55.402234, 54.543512", "55.402234, 54.543512")</f>
        <v/>
      </c>
      <c r="T8" s="11">
        <f>HYPERLINK("D:\venv_torgi\env\cache\objs_in_district/55.402234_54.543512.json", "55.402234_54.543512.json")</f>
        <v/>
      </c>
      <c r="U8" t="inlineStr">
        <is>
          <t xml:space="preserve">02:27:060701:203, </t>
        </is>
      </c>
      <c r="V8" s="7" t="inlineStr">
        <is>
          <t>1</t>
        </is>
      </c>
      <c r="W8" s="20" t="n">
        <v>10184.55663459608</v>
      </c>
      <c r="X8" s="22" t="n">
        <v>6397.574386075366</v>
      </c>
      <c r="Y8" t="n">
        <v>0</v>
      </c>
    </row>
    <row r="9">
      <c r="A9" s="8" t="n">
        <v>7</v>
      </c>
      <c r="B9" t="n">
        <v>2</v>
      </c>
      <c r="C9" s="1" t="n">
        <v>53.5</v>
      </c>
      <c r="D9" s="2">
        <f>HYPERLINK("https://torgi.gov.ru/new/public/lots/lot/22000071150000000005_1/(lotInfo:info)", "22000071150000000005_1")</f>
        <v/>
      </c>
      <c r="E9" t="inlineStr">
        <is>
          <t>- наименование: нежилое помещение;- кадастровый номер: 02:66:030107:173;- адрес: Республика Башкортостан, г. Нефтекамск, с. Амзя, ул. Садовая, д. 11 «В»;- площадь: 53,5 кв.м.;- этаж: 1, этаж: 2.</t>
        </is>
      </c>
      <c r="F9" s="3" t="inlineStr">
        <is>
          <t>06.09.22 10:00</t>
        </is>
      </c>
      <c r="G9" t="inlineStr">
        <is>
          <t>Респ Башкортостан, г Нефтекамск, село Амзя, ул Садовая</t>
        </is>
      </c>
      <c r="H9" s="4" t="n">
        <v>317000</v>
      </c>
      <c r="I9" s="4" t="n">
        <v>5925.233644859813</v>
      </c>
      <c r="J9" t="inlineStr">
        <is>
          <t>Нежилое помещение</t>
        </is>
      </c>
      <c r="K9" s="5" t="n">
        <v>9.779999999999999</v>
      </c>
      <c r="M9" t="n">
        <v>606</v>
      </c>
      <c r="N9" s="6" t="n">
        <v>153005</v>
      </c>
      <c r="P9" s="21" t="n">
        <v>3.387996951844153</v>
      </c>
      <c r="Q9" t="inlineStr">
        <is>
          <t>PP</t>
        </is>
      </c>
      <c r="R9" t="inlineStr">
        <is>
          <t>М</t>
        </is>
      </c>
      <c r="S9" s="2">
        <f>HYPERLINK("https://yandex.ru/maps/?&amp;text=56.236726, 54.397617", "56.236726, 54.397617")</f>
        <v/>
      </c>
      <c r="U9" t="inlineStr">
        <is>
          <t>02:66:030107:173;</t>
        </is>
      </c>
      <c r="V9" s="7" t="inlineStr">
        <is>
          <t>1</t>
        </is>
      </c>
      <c r="W9" s="20" t="n">
        <v>25999.90717260928</v>
      </c>
      <c r="X9" s="22" t="n">
        <v>20074.67352774947</v>
      </c>
      <c r="Y9" t="n">
        <v>0</v>
      </c>
    </row>
    <row r="10">
      <c r="A10" s="8" t="n">
        <v>8</v>
      </c>
      <c r="B10" t="n">
        <v>2</v>
      </c>
      <c r="C10" s="1" t="n">
        <v>19.9</v>
      </c>
      <c r="D10" s="2">
        <f>HYPERLINK("https://torgi.gov.ru/new/public/lots/lot/21000022850000000080_20/(lotInfo:info)", "21000022850000000080_20")</f>
        <v/>
      </c>
      <c r="E10" t="inlineStr">
        <is>
          <t>Лот №20(повторно): Нежилое помещение, гаражный бокс, площадью 19.9 кв.м., адрес – Республика Башкортостан, г. Кумертау, Массив №2 "Лесной массив" от ул. Логовой до Автомотоклуба, гаражный бокс №762, №02:60:010112:2735. Собственник (правообладатель) – Шамсутдинов Стас Маликович. Обременение арест. Начальная цена: 120 700,00 руб. Сумма задатка: 30 175,00 руб. Шаг аукциона (1% от начальной цены): 1 207,00 руб.</t>
        </is>
      </c>
      <c r="F10" s="3" t="inlineStr">
        <is>
          <t>04.09.22 20:59</t>
        </is>
      </c>
      <c r="G10" t="inlineStr">
        <is>
          <t>Республика Башкортостан, г. Кумертау, Массив №2 "Лесной массив" от ул. Логовой до Автомотоклуба, гаражный бокс №762</t>
        </is>
      </c>
      <c r="H10" s="4" t="n">
        <v>120700</v>
      </c>
      <c r="I10" s="4" t="n">
        <v>6065.32663316583</v>
      </c>
      <c r="J10" t="inlineStr">
        <is>
          <t>гаражный бокс</t>
        </is>
      </c>
      <c r="Q10" t="inlineStr">
        <is>
          <t>EA</t>
        </is>
      </c>
      <c r="R10" t="inlineStr">
        <is>
          <t>Д</t>
        </is>
      </c>
      <c r="U10" t="inlineStr">
        <is>
          <t>02:60:010112:2735</t>
        </is>
      </c>
      <c r="Y10" t="n">
        <v>0</v>
      </c>
    </row>
    <row r="11">
      <c r="A11" s="8" t="n">
        <v>9</v>
      </c>
      <c r="B11" t="n">
        <v>2</v>
      </c>
      <c r="C11" s="1" t="n">
        <v>18.2</v>
      </c>
      <c r="D11" s="2">
        <f>HYPERLINK("https://torgi.gov.ru/new/public/lots/lot/21000022850000000080_75/(lotInfo:info)", "21000022850000000080_75")</f>
        <v/>
      </c>
      <c r="E11" t="inlineStr">
        <is>
          <t>Лот №75: Нежилое помещение, гаражный бокс, площадь 18,2 кв.м., адрес - Республика Башкортостан, р-н Белебеевский, г. Белебей, гаражное общество Автолюбитель 2, Гаражный бокс №64 улица 3, кадастровый №02:63:000000:309. Собственник (правообладатель) – Данилов Юрий Геннадиевич. Обременение: арест. Начальная стоимость: 130 000,00 руб. Сумма задатка: 32 500,00 руб. Шаг аукциона (1% от начальной цены): 1 300,00 руб.</t>
        </is>
      </c>
      <c r="F11" s="3" t="inlineStr">
        <is>
          <t>04.09.22 20:59</t>
        </is>
      </c>
      <c r="G11" t="inlineStr">
        <is>
          <t>Республика Башкортостан, р-н Белебеевский, г. Белебей, гаражное общество Автолюбитель 2, Гаражный бокс №64 улица 3</t>
        </is>
      </c>
      <c r="H11" s="4" t="n">
        <v>130000</v>
      </c>
      <c r="I11" s="4" t="n">
        <v>7142.857142857143</v>
      </c>
      <c r="J11" t="inlineStr">
        <is>
          <t>гаражный бокс</t>
        </is>
      </c>
      <c r="Q11" t="inlineStr">
        <is>
          <t>EA</t>
        </is>
      </c>
      <c r="R11" t="inlineStr">
        <is>
          <t>Д</t>
        </is>
      </c>
      <c r="U11" t="inlineStr">
        <is>
          <t>02:63:000000:309</t>
        </is>
      </c>
      <c r="Y11" t="n">
        <v>0</v>
      </c>
    </row>
    <row r="12">
      <c r="A12" s="8" t="n">
        <v>10</v>
      </c>
      <c r="B12" t="n">
        <v>2</v>
      </c>
      <c r="C12" s="1" t="n">
        <v>52.9</v>
      </c>
      <c r="D12" s="2">
        <f>HYPERLINK("https://torgi.gov.ru/new/public/lots/lot/22000031090000000069_1/(lotInfo:info)", "22000031090000000069_1")</f>
        <v/>
      </c>
      <c r="E12" t="inlineStr">
        <is>
          <t>Нежилое помещение в 9-этажном доме, технический этаж, высота помещения 1,7 м</t>
        </is>
      </c>
      <c r="F12" s="3" t="inlineStr">
        <is>
          <t>18.09.22 18:00</t>
        </is>
      </c>
      <c r="G12" t="inlineStr">
        <is>
          <t>Респ Башкортостан, г Салават, ул Ленина, д 27/10</t>
        </is>
      </c>
      <c r="H12" s="4" t="n">
        <v>611894</v>
      </c>
      <c r="I12" s="4" t="n">
        <v>11566.9943289225</v>
      </c>
      <c r="J12" t="inlineStr">
        <is>
          <t>Нежилое помещение</t>
        </is>
      </c>
      <c r="K12" s="5" t="n">
        <v>2.45</v>
      </c>
      <c r="L12" s="4" t="n">
        <v>1285.11</v>
      </c>
      <c r="M12" t="n">
        <v>4728</v>
      </c>
      <c r="N12" s="6" t="n">
        <v>153181</v>
      </c>
      <c r="O12" t="n">
        <v>9</v>
      </c>
      <c r="P12" s="21" t="n">
        <v>1.322667206870851</v>
      </c>
      <c r="Q12" t="inlineStr">
        <is>
          <t>EA</t>
        </is>
      </c>
      <c r="R12" t="inlineStr">
        <is>
          <t>М</t>
        </is>
      </c>
      <c r="S12" s="2">
        <f>HYPERLINK("https://yandex.ru/maps/?&amp;text=53.351295, 55.924735", "53.351295, 55.924735")</f>
        <v/>
      </c>
      <c r="T12" s="2">
        <f>HYPERLINK("D:\venv_torgi\env\cache\objs_in_district/53.351295_55.924735.json", "53.351295_55.924735.json")</f>
        <v/>
      </c>
      <c r="U12" t="inlineStr">
        <is>
          <t xml:space="preserve">02:59:070304:1918, </t>
        </is>
      </c>
      <c r="V12" s="7" t="inlineStr">
        <is>
          <t>4</t>
        </is>
      </c>
      <c r="W12" s="20" t="n">
        <v>26866.27840984939</v>
      </c>
      <c r="X12" s="22" t="n">
        <v>15299.28408092689</v>
      </c>
      <c r="Y12" t="n">
        <v>0</v>
      </c>
    </row>
    <row r="13">
      <c r="A13" s="8" t="n">
        <v>11</v>
      </c>
      <c r="B13" t="n">
        <v>2</v>
      </c>
      <c r="C13" s="1" t="n">
        <v>61.4</v>
      </c>
      <c r="D13" s="2">
        <f>HYPERLINK("https://torgi.gov.ru/new/public/lots/lot/22000007650000000012_1/(lotInfo:info)", "22000007650000000012_1")</f>
        <v/>
      </c>
      <c r="E13" t="inlineStr">
        <is>
          <t>- наименование: нежилое помещение;- кадастровый номер: 02:33:030101:661;- адрес: Республика Башкортостан, Краснокамский район, д.Раздолье, ул. Новая, д. 10, кв.6;- площадь: 61,4;- год постройки: 1984;- этаж: 1;- фундамент: ленточный бетонный;- стены: толщиной 75 см., кирпичные;- кровля: шифер по дощатой обрешетке;- полы: бетонные, дощатые;- окна: деревянные, двойное остекление;- внутренняя отделка стен: покраска;- электроснабжение, водоснабжение, газоснабжение – центральное, теплоснабжение автономное от котла типа АГВ, канализация шамбо.</t>
        </is>
      </c>
      <c r="F13" s="3" t="inlineStr">
        <is>
          <t>30.08.22 12:00</t>
        </is>
      </c>
      <c r="G13" t="inlineStr">
        <is>
          <t>Респ Башкортостан, Краснокамский р-н, деревня Раздолье, ул Новая, д 10</t>
        </is>
      </c>
      <c r="H13" s="4" t="n">
        <v>722000</v>
      </c>
      <c r="I13" s="4" t="n">
        <v>11758.95765472313</v>
      </c>
      <c r="J13" t="inlineStr">
        <is>
          <t>Нежилое помещение</t>
        </is>
      </c>
      <c r="K13" s="5" t="n">
        <v>46.66</v>
      </c>
      <c r="L13" s="10" t="n"/>
      <c r="M13" t="n">
        <v>252</v>
      </c>
      <c r="N13" s="6" t="n">
        <v>603</v>
      </c>
      <c r="O13" t="inlineStr">
        <is>
          <t>0</t>
        </is>
      </c>
      <c r="P13" s="21" t="n">
        <v>0.3795920404055088</v>
      </c>
      <c r="Q13" t="inlineStr">
        <is>
          <t>EA</t>
        </is>
      </c>
      <c r="R13" t="inlineStr">
        <is>
          <t>М</t>
        </is>
      </c>
      <c r="S13" s="2">
        <f>HYPERLINK("https://yandex.ru/maps/?&amp;text=56.138614, 54.409241", "56.138614, 54.409241")</f>
        <v/>
      </c>
      <c r="T13" s="11">
        <f>HYPERLINK("D:\venv_torgi\env\cache\objs_in_district/56.138614_54.409241.json", "56.138614_54.409241.json")</f>
        <v/>
      </c>
      <c r="U13" t="inlineStr">
        <is>
          <t>02:33:030101:661;</t>
        </is>
      </c>
      <c r="V13" s="7" t="inlineStr">
        <is>
          <t>1</t>
        </is>
      </c>
      <c r="W13" s="20" t="n">
        <v>16222.56438392146</v>
      </c>
      <c r="X13" s="22" t="n">
        <v>4463.606729198327</v>
      </c>
      <c r="Y13" t="n">
        <v>0</v>
      </c>
    </row>
    <row r="14">
      <c r="A14" s="8" t="n">
        <v>12</v>
      </c>
      <c r="B14" t="n">
        <v>2</v>
      </c>
      <c r="C14" s="1" t="n">
        <v>93.3</v>
      </c>
      <c r="D14" s="2">
        <f>HYPERLINK("https://torgi.gov.ru/new/public/lots/lot/22000074550000000003_1/(lotInfo:info)", "22000074550000000003_1")</f>
        <v/>
      </c>
      <c r="E14" t="inlineStr">
        <is>
          <t>Нежилое помещение общей площадью 93,3 кв.м, кадастровый номер 02:52:110306:227, расположенное по адресу: Республика Башкортостан, Чишминский район, с. Сафарово, ул.Молодежная, д.2</t>
        </is>
      </c>
      <c r="F14" s="3" t="inlineStr">
        <is>
          <t>07.09.22 08:00</t>
        </is>
      </c>
      <c r="G14" t="inlineStr">
        <is>
          <t>Респ Башкортостан, Чишминский р-н, село Сафарово, ул Молодежная, д 2</t>
        </is>
      </c>
      <c r="H14" s="4" t="n">
        <v>1256400</v>
      </c>
      <c r="I14" s="4" t="n">
        <v>13466.23794212219</v>
      </c>
      <c r="J14" t="inlineStr">
        <is>
          <t>Нежилое помещение</t>
        </is>
      </c>
      <c r="K14" s="5" t="n">
        <v>68.01000000000001</v>
      </c>
      <c r="L14" s="10" t="n"/>
      <c r="M14" t="n">
        <v>198</v>
      </c>
      <c r="N14" s="6" t="n">
        <v>889</v>
      </c>
      <c r="O14" t="inlineStr">
        <is>
          <t>0</t>
        </is>
      </c>
      <c r="P14" s="21" t="n">
        <v>0.2046842223972235</v>
      </c>
      <c r="Q14" t="inlineStr">
        <is>
          <t>PP</t>
        </is>
      </c>
      <c r="R14" t="inlineStr">
        <is>
          <t>М</t>
        </is>
      </c>
      <c r="S14" s="2">
        <f>HYPERLINK("https://yandex.ru/maps/?&amp;text=54.561542, 55.226681", "54.561542, 55.226681")</f>
        <v/>
      </c>
      <c r="T14" s="11">
        <f>HYPERLINK("D:\venv_torgi\env\cache\objs_in_district/54.561542_55.226681.json", "54.561542_55.226681.json")</f>
        <v/>
      </c>
      <c r="U14" t="inlineStr">
        <is>
          <t xml:space="preserve">02:52:110306:227, </t>
        </is>
      </c>
      <c r="W14" s="20" t="n">
        <v>16222.56438392146</v>
      </c>
      <c r="X14" s="22" t="n">
        <v>2756.326441799267</v>
      </c>
      <c r="Y14" t="n">
        <v>0</v>
      </c>
    </row>
    <row r="15">
      <c r="A15" s="8" t="n">
        <v>13</v>
      </c>
      <c r="B15" t="n">
        <v>2</v>
      </c>
      <c r="C15" s="1" t="n">
        <v>116.2</v>
      </c>
      <c r="D15" s="2">
        <f>HYPERLINK("https://torgi.gov.ru/new/public/lots/lot/21000022850000000080_41/(lotInfo:info)", "21000022850000000080_41")</f>
        <v/>
      </c>
      <c r="E15" t="inlineStr">
        <is>
          <t>Лот №41(повторно): Нежилое помещение, площадь 116,2 кв.м., адрес - Республика Башкортостан, Уфимский р-н, д. Вавилово, ул. Заречная, д. 2/1, кадастровый №02:47:110701:3806. Собственник (правообладатель) – ООО «Юлчы». Обременение: арест. Начальная стоимость: 1 647 300,00 руб. Сумма задатка: 411 825,00 руб. Шаг аукциона (1% от начальной цены): 16 473,00 руб.</t>
        </is>
      </c>
      <c r="F15" s="3" t="inlineStr">
        <is>
          <t>04.09.22 20:59</t>
        </is>
      </c>
      <c r="G15" t="inlineStr">
        <is>
          <t>Респ Башкортостан, Уфимский р-н, деревня Вавилово, ул Заречная, зд 2/1</t>
        </is>
      </c>
      <c r="H15" s="4" t="n">
        <v>1647300</v>
      </c>
      <c r="I15" s="4" t="n">
        <v>14176.41996557659</v>
      </c>
      <c r="J15" t="inlineStr">
        <is>
          <t>Нежилое помещение</t>
        </is>
      </c>
      <c r="K15" s="5" t="n">
        <v>78.76000000000001</v>
      </c>
      <c r="L15" s="4" t="n">
        <v>14176</v>
      </c>
      <c r="M15" t="n">
        <v>180</v>
      </c>
      <c r="N15" s="6" t="n">
        <v>244</v>
      </c>
      <c r="O15" t="n">
        <v>1</v>
      </c>
      <c r="P15" s="21" t="n">
        <v>0.1443343540409601</v>
      </c>
      <c r="Q15" t="inlineStr">
        <is>
          <t>EA</t>
        </is>
      </c>
      <c r="R15" t="inlineStr">
        <is>
          <t>Д</t>
        </is>
      </c>
      <c r="S15" s="2">
        <f>HYPERLINK("https://yandex.ru/maps/?&amp;text=54.81226, 55.850507", "54.81226, 55.850507")</f>
        <v/>
      </c>
      <c r="T15" s="2">
        <f>HYPERLINK("D:\venv_torgi\env\cache\objs_in_district/54.81226_55.850507.json", "54.81226_55.850507.json")</f>
        <v/>
      </c>
      <c r="U15" t="inlineStr">
        <is>
          <t>02:47:110701:3806</t>
        </is>
      </c>
      <c r="W15" s="20" t="n">
        <v>16222.56438392146</v>
      </c>
      <c r="X15" s="22" t="n">
        <v>2046.144418344868</v>
      </c>
      <c r="Y15" t="n">
        <v>0</v>
      </c>
    </row>
    <row r="16">
      <c r="A16" s="8" t="n">
        <v>14</v>
      </c>
      <c r="B16" t="n">
        <v>2</v>
      </c>
      <c r="C16" s="1" t="n">
        <v>20.3</v>
      </c>
      <c r="D16" s="2">
        <f>HYPERLINK("https://torgi.gov.ru/new/public/lots/lot/21000022850000000080_32/(lotInfo:info)", "21000022850000000080_32")</f>
        <v/>
      </c>
      <c r="E16" t="inlineStr">
        <is>
          <t>Лот №32(повторно): Нежилое помещение, гаражный бокс, площадь 20,3 кв.м., адрес - Республика Башкортостан, г. Уфа, Советский р-н, ул. Бакалинская, во дворе дома №70, ПГАК №6, гаражный бокс №6, кадастровый №02:55:010702:5146. Собственник (правообладатель) – Салихов Равиль Зарипович. Обременение: арест. Начальная стоимость: 306 000,00 руб. Сумма задатка: 76 500,00 руб. Шаг аукциона (1% от начальной цены): 3 060,00 руб.</t>
        </is>
      </c>
      <c r="F16" s="3" t="inlineStr">
        <is>
          <t>04.09.22 20:59</t>
        </is>
      </c>
      <c r="G16" t="inlineStr">
        <is>
          <t>г Уфа, ул Бакалинская</t>
        </is>
      </c>
      <c r="H16" s="4" t="n">
        <v>306000</v>
      </c>
      <c r="I16" s="4" t="n">
        <v>15073.89162561576</v>
      </c>
      <c r="J16" t="inlineStr">
        <is>
          <t>гаражный бокс</t>
        </is>
      </c>
      <c r="K16" s="5" t="n">
        <v>2.09</v>
      </c>
      <c r="M16" t="n">
        <v>7213</v>
      </c>
      <c r="N16" s="6" t="n">
        <v>1106086</v>
      </c>
      <c r="P16" s="16" t="n">
        <v>2.03560346010268</v>
      </c>
      <c r="Q16" t="inlineStr">
        <is>
          <t>EA</t>
        </is>
      </c>
      <c r="R16" t="inlineStr">
        <is>
          <t>Д</t>
        </is>
      </c>
      <c r="S16" s="2">
        <f>HYPERLINK("https://yandex.ru/maps/?&amp;text=54.718655, 55.990608", "54.718655, 55.990608")</f>
        <v/>
      </c>
      <c r="U16" t="inlineStr">
        <is>
          <t>02:55:010702:5146</t>
        </is>
      </c>
      <c r="W16" s="17" t="n">
        <v>45758.35757593202</v>
      </c>
      <c r="X16" s="18" t="n">
        <v>30684.46595031626</v>
      </c>
      <c r="Y16" t="n">
        <v>0</v>
      </c>
    </row>
    <row r="17">
      <c r="A17" s="8" t="n">
        <v>15</v>
      </c>
      <c r="B17" t="n">
        <v>2</v>
      </c>
      <c r="C17" s="1" t="n">
        <v>21.5</v>
      </c>
      <c r="D17" s="2">
        <f>HYPERLINK("https://torgi.gov.ru/new/public/lots/lot/21000022850000000080_38/(lotInfo:info)", "21000022850000000080_38")</f>
        <v/>
      </c>
      <c r="E17" t="inlineStr">
        <is>
          <t>Лот №38(повторно): Нежилое помещение, гаражный бокс, площадь 21,5 кв.м., адрес - Республика Башкортостан, г. Уфа, Орджоникидзевский р-н, ул. Блюхера, Автогаражный кооператив №6, гаражный бокс №66, кадастровый №02:55:000000:6119. Собственник (правообладатель) – Городецкий Олег Юрьевич. Обременение: арест. Начальная стоимость: 341 700,00 руб. Сумма задатка: 85 425,00 руб. Шаг аукциона (1% от начальной цены): 3 417,00 руб.</t>
        </is>
      </c>
      <c r="F17" s="3" t="inlineStr">
        <is>
          <t>04.09.22 20:59</t>
        </is>
      </c>
      <c r="G17" t="inlineStr">
        <is>
          <t>г Уфа, ул Блюхера</t>
        </is>
      </c>
      <c r="H17" s="4" t="n">
        <v>341700</v>
      </c>
      <c r="I17" s="4" t="n">
        <v>15893.02325581395</v>
      </c>
      <c r="J17" t="inlineStr">
        <is>
          <t>гаражный бокс</t>
        </is>
      </c>
      <c r="K17" s="5" t="n">
        <v>3.8</v>
      </c>
      <c r="M17" t="n">
        <v>4187</v>
      </c>
      <c r="N17" s="6" t="n">
        <v>1106086</v>
      </c>
      <c r="P17" s="16" t="n">
        <v>1.879147462342811</v>
      </c>
      <c r="Q17" t="inlineStr">
        <is>
          <t>EA</t>
        </is>
      </c>
      <c r="R17" t="inlineStr">
        <is>
          <t>Д</t>
        </is>
      </c>
      <c r="S17" s="2">
        <f>HYPERLINK("https://yandex.ru/maps/?&amp;text=54.784696, 56.028032", "54.784696, 56.028032")</f>
        <v/>
      </c>
      <c r="U17" t="inlineStr">
        <is>
          <t>02:55:000000:6119</t>
        </is>
      </c>
      <c r="W17" s="17" t="n">
        <v>45758.35757593202</v>
      </c>
      <c r="X17" s="18" t="n">
        <v>29865.33432011807</v>
      </c>
      <c r="Y17" t="n">
        <v>0</v>
      </c>
    </row>
    <row r="18">
      <c r="A18" s="8" t="n">
        <v>16</v>
      </c>
      <c r="B18" t="n">
        <v>2</v>
      </c>
      <c r="C18" s="1" t="n">
        <v>263.1</v>
      </c>
      <c r="D18" s="2">
        <f>HYPERLINK("https://torgi.gov.ru/new/public/lots/lot/21000022850000000083_55/(lotInfo:info)", "21000022850000000083_55")</f>
        <v/>
      </c>
      <c r="E18" t="inlineStr">
        <is>
          <t>Лот№55(повторное):  Нежилое помещение, площадью 263,1 кв. м., адрес – Республика Башкортостан, р-н. Давлекановский, г. Давлеканово, ул. Карла Маркса, д. 125А, кадастровый номер 02:20:020201:241, собственник (правообладатель) – Юсупова Лениза Ильферовна. Обременение: арест, залог. Начальная цена: 4449410,00руб. Сумма задатка: 222470,50руб. Шаг аукциона (1% от начальной цены) – 44494,10руб</t>
        </is>
      </c>
      <c r="F18" s="3" t="inlineStr">
        <is>
          <t>12.09.22 20:59</t>
        </is>
      </c>
      <c r="G18" t="inlineStr">
        <is>
          <t>Респ Башкортостан, г Давлеканово, ул Карла Маркса, д 125А</t>
        </is>
      </c>
      <c r="H18" s="4" t="n">
        <v>4449410</v>
      </c>
      <c r="I18" s="4" t="n">
        <v>16911.47852527556</v>
      </c>
      <c r="J18" t="inlineStr">
        <is>
          <t>Нежилое помещение</t>
        </is>
      </c>
      <c r="K18" s="5" t="n">
        <v>16.98</v>
      </c>
      <c r="L18" s="4" t="n">
        <v>16911</v>
      </c>
      <c r="M18" t="n">
        <v>996</v>
      </c>
      <c r="N18" s="6" t="n">
        <v>23662</v>
      </c>
      <c r="O18" t="n">
        <v>1</v>
      </c>
      <c r="Q18" t="inlineStr">
        <is>
          <t>EA</t>
        </is>
      </c>
      <c r="R18" t="inlineStr">
        <is>
          <t>Д</t>
        </is>
      </c>
      <c r="S18" s="2">
        <f>HYPERLINK("https://yandex.ru/maps/?&amp;text=54.222378, 55.038177", "54.222378, 55.038177")</f>
        <v/>
      </c>
      <c r="T18" s="2">
        <f>HYPERLINK("D:\venv_torgi\env\cache\objs_in_district/54.222378_55.038177.json", "54.222378_55.038177.json")</f>
        <v/>
      </c>
      <c r="U18" t="inlineStr">
        <is>
          <t xml:space="preserve">02:20:020201:241, </t>
        </is>
      </c>
      <c r="W18" s="20" t="n">
        <v>10184.55663459608</v>
      </c>
      <c r="X18" s="23" t="n">
        <v>-6726.921890679485</v>
      </c>
      <c r="Y18" t="n">
        <v>0</v>
      </c>
    </row>
    <row r="19">
      <c r="A19" s="8" t="n">
        <v>17</v>
      </c>
      <c r="B19" t="n">
        <v>2</v>
      </c>
      <c r="C19" s="1" t="n">
        <v>447.4</v>
      </c>
      <c r="D19" s="2">
        <f>HYPERLINK("https://torgi.gov.ru/new/public/lots/lot/21000022850000000080_12/(lotInfo:info)", "21000022850000000080_12")</f>
        <v/>
      </c>
      <c r="E19" t="inlineStr">
        <is>
          <t>Лот №12(повторно): Нежилое помещение, площадью 447.4 кв.м., адрес - Республика Башкортостан, г. Уфа, ул. Новоженова, д. 86, корп. 2. №02:55:020534:661. Собственник (правообладатель) – ООО «Сантехбыт». Обременение: арест. Начальная цена: 8 236 330,00 руб. Сумма задатка: 2 059 082,50 руб. Шаг аукциона (1% от начальной цены): 82 363,30 руб.</t>
        </is>
      </c>
      <c r="F19" s="3" t="inlineStr">
        <is>
          <t>04.09.22 20:59</t>
        </is>
      </c>
      <c r="G19" t="inlineStr">
        <is>
          <t>г Уфа, ул Новоженова, д 86 к 2</t>
        </is>
      </c>
      <c r="H19" s="4" t="n">
        <v>8236330</v>
      </c>
      <c r="I19" s="4" t="n">
        <v>18409.32051855163</v>
      </c>
      <c r="J19" t="inlineStr">
        <is>
          <t>Нежилое помещение</t>
        </is>
      </c>
      <c r="K19" s="5" t="n">
        <v>3.48</v>
      </c>
      <c r="L19" s="4" t="n">
        <v>6136.33</v>
      </c>
      <c r="M19" t="n">
        <v>5294</v>
      </c>
      <c r="N19" s="6" t="n">
        <v>1106086</v>
      </c>
      <c r="O19" t="n">
        <v>3</v>
      </c>
      <c r="Q19" t="inlineStr">
        <is>
          <t>EA</t>
        </is>
      </c>
      <c r="R19" t="inlineStr">
        <is>
          <t>Д</t>
        </is>
      </c>
      <c r="S19" s="2">
        <f>HYPERLINK("https://yandex.ru/maps/?&amp;text=54.787178, 56.061746", "54.787178, 56.061746")</f>
        <v/>
      </c>
      <c r="T19" s="2">
        <f>HYPERLINK("D:\venv_torgi\env\cache\objs_in_district/54.787178_56.061746.json", "54.787178_56.061746.json")</f>
        <v/>
      </c>
      <c r="U19" t="inlineStr">
        <is>
          <t>02:55:020534:661</t>
        </is>
      </c>
      <c r="W19" s="17" t="n">
        <v>11499.95250242045</v>
      </c>
      <c r="X19" s="19" t="n">
        <v>-6909.36801613118</v>
      </c>
      <c r="Y19" t="n">
        <v>0</v>
      </c>
    </row>
    <row r="20">
      <c r="A20" s="8" t="n">
        <v>18</v>
      </c>
      <c r="B20" t="n">
        <v>2</v>
      </c>
      <c r="C20" s="1" t="n">
        <v>140.4</v>
      </c>
      <c r="D20" s="2">
        <f>HYPERLINK("https://torgi.gov.ru/new/public/lots/lot/21000022850000000080_30/(lotInfo:info)", "21000022850000000080_30")</f>
        <v/>
      </c>
      <c r="E20" t="inlineStr">
        <is>
          <t>Лот №30(повторно): Нежилое помещение, земляная плотина, площадь 140.4 кв.м., адрес - Республика Башкортостан, Чишминский р-н, с. Салихово, кадастровый №02:52:000000:4139. Собственник (правообладатель) – ООО «Рыбхоз». Обременение: арест. Начальная стоимость: 3 595 500,00 руб.  с учетом НДС.Сумма задатка: 898 875,00 руб. Шаг аукциона (1% от начальной цены): 35 955,00 руб.</t>
        </is>
      </c>
      <c r="F20" s="3" t="inlineStr">
        <is>
          <t>04.09.22 20:59</t>
        </is>
      </c>
      <c r="G20" t="inlineStr">
        <is>
          <t>Респ Башкортостан, Чишминский р-н, село Салихово</t>
        </is>
      </c>
      <c r="H20" s="4" t="n">
        <v>2996250</v>
      </c>
      <c r="I20" s="4" t="n">
        <v>21340.81196581196</v>
      </c>
      <c r="J20" t="inlineStr">
        <is>
          <t>Нежилое помещение</t>
        </is>
      </c>
      <c r="K20" s="5" t="n">
        <v>127.02</v>
      </c>
      <c r="L20" s="10" t="n"/>
      <c r="M20" t="n">
        <v>168</v>
      </c>
      <c r="N20" s="6" t="n">
        <v>240</v>
      </c>
      <c r="O20" t="inlineStr">
        <is>
          <t>0</t>
        </is>
      </c>
      <c r="Q20" t="inlineStr">
        <is>
          <t>EA</t>
        </is>
      </c>
      <c r="R20" t="inlineStr">
        <is>
          <t>Д</t>
        </is>
      </c>
      <c r="S20" s="2">
        <f>HYPERLINK("https://yandex.ru/maps/?&amp;text=54.689924, 55.542106", "54.689924, 55.542106")</f>
        <v/>
      </c>
      <c r="T20" s="11">
        <f>HYPERLINK("D:\venv_torgi\env\cache\objs_in_district/54.689924_55.542106.json", "54.689924_55.542106.json")</f>
        <v/>
      </c>
      <c r="U20" t="inlineStr">
        <is>
          <t>02:52:000000:4139</t>
        </is>
      </c>
      <c r="W20" s="20" t="n">
        <v>16222.56438392146</v>
      </c>
      <c r="X20" s="23" t="n">
        <v>-5118.247581890504</v>
      </c>
      <c r="Y20" t="n">
        <v>0</v>
      </c>
    </row>
    <row r="21">
      <c r="A21" s="8" t="n">
        <v>19</v>
      </c>
      <c r="B21" t="n">
        <v>2</v>
      </c>
      <c r="C21" s="1" t="n">
        <v>30</v>
      </c>
      <c r="D21" s="2">
        <f>HYPERLINK("https://torgi.gov.ru/new/public/lots/lot/22000031090000000070_1/(lotInfo:info)", "22000031090000000070_1")</f>
        <v/>
      </c>
      <c r="E21" t="inlineStr">
        <is>
          <t>Встроенное нежилое помещение цокольного этажа 9-этажного жилого дома</t>
        </is>
      </c>
      <c r="F21" s="3" t="inlineStr">
        <is>
          <t>18.09.22 18:00</t>
        </is>
      </c>
      <c r="G21" t="inlineStr">
        <is>
          <t>Респ Башкортостан, г Салават, ул Губкина, д 26</t>
        </is>
      </c>
      <c r="H21" s="4" t="n">
        <v>649020</v>
      </c>
      <c r="I21" s="4" t="n">
        <v>21634</v>
      </c>
      <c r="J21" t="inlineStr">
        <is>
          <t>Нежилое помещение</t>
        </is>
      </c>
      <c r="K21" s="5" t="n">
        <v>8.869999999999999</v>
      </c>
      <c r="L21" s="4" t="n">
        <v>3605.67</v>
      </c>
      <c r="M21" t="n">
        <v>2439</v>
      </c>
      <c r="N21" s="6" t="n">
        <v>153181</v>
      </c>
      <c r="O21" t="n">
        <v>6</v>
      </c>
      <c r="P21" s="21" t="n">
        <v>0.2018076718410502</v>
      </c>
      <c r="Q21" t="inlineStr">
        <is>
          <t>EA</t>
        </is>
      </c>
      <c r="R21" t="inlineStr">
        <is>
          <t>М</t>
        </is>
      </c>
      <c r="S21" s="2">
        <f>HYPERLINK("https://yandex.ru/maps/?&amp;text=53.338474, 55.948673", "53.338474, 55.948673")</f>
        <v/>
      </c>
      <c r="T21" s="2">
        <f>HYPERLINK("D:\venv_torgi\env\cache\objs_in_district/53.338474_55.948673.json", "53.338474_55.948673.json")</f>
        <v/>
      </c>
      <c r="U21" t="inlineStr">
        <is>
          <t xml:space="preserve">02:59:070313:1299, </t>
        </is>
      </c>
      <c r="V21" s="7" t="inlineStr">
        <is>
          <t>0</t>
        </is>
      </c>
      <c r="W21" s="20" t="n">
        <v>25999.90717260928</v>
      </c>
      <c r="X21" s="22" t="n">
        <v>4365.907172609281</v>
      </c>
      <c r="Y21" t="n">
        <v>0</v>
      </c>
    </row>
    <row r="22">
      <c r="A22" s="8" t="n">
        <v>20</v>
      </c>
      <c r="B22" t="n">
        <v>2</v>
      </c>
      <c r="C22" s="1" t="n">
        <v>33.9</v>
      </c>
      <c r="D22" s="2">
        <f>HYPERLINK("https://torgi.gov.ru/new/public/lots/lot/21000022850000000080_67/(lotInfo:info)", "21000022850000000080_67")</f>
        <v/>
      </c>
      <c r="E22" t="inlineStr">
        <is>
          <t>Лот №67: Нежилое помещение, гаражный бокс, площадь 33,9 кв.м., адрес - Республика Башкортостан, г. Уфа, ул. 50 лет СССР, №30/2, ПГК «Прима», бокс 3-2-Б, кадастровый №02:55:020107:6112. Собственник (правообладатель) – Гриднев Михаил Валерьевич. Обременение: арест. Начальная стоимость: 740 000,00 руб. Сумма задатка: 185 000,00 руб. Шаг аукциона (1% от начальной цены): 7 400,00 руб.</t>
        </is>
      </c>
      <c r="F22" s="3" t="inlineStr">
        <is>
          <t>04.09.22 20:59</t>
        </is>
      </c>
      <c r="G22" t="inlineStr">
        <is>
          <t>г Уфа, ул 50 лет СССР</t>
        </is>
      </c>
      <c r="H22" s="4" t="n">
        <v>740000</v>
      </c>
      <c r="I22" s="4" t="n">
        <v>21828.90855457227</v>
      </c>
      <c r="J22" t="inlineStr">
        <is>
          <t>гаражный бокс</t>
        </is>
      </c>
      <c r="K22" s="5" t="n">
        <v>3.53</v>
      </c>
      <c r="L22" s="4" t="n">
        <v>1212.67</v>
      </c>
      <c r="M22" t="n">
        <v>6183</v>
      </c>
      <c r="N22" s="6" t="n">
        <v>1106086</v>
      </c>
      <c r="O22" t="n">
        <v>18</v>
      </c>
      <c r="P22" s="16" t="n">
        <v>1.096227461924453</v>
      </c>
      <c r="Q22" t="inlineStr">
        <is>
          <t>EA</t>
        </is>
      </c>
      <c r="R22" t="inlineStr">
        <is>
          <t>Д</t>
        </is>
      </c>
      <c r="S22" s="2">
        <f>HYPERLINK("https://yandex.ru/maps/?&amp;text=54.752173, 56.013461", "54.752173, 56.013461")</f>
        <v/>
      </c>
      <c r="T22" s="2">
        <f>HYPERLINK("D:\venv_torgi\env\cache\objs_in_district/54.752173_56.013461.json", "54.752173_56.013461.json")</f>
        <v/>
      </c>
      <c r="U22" t="inlineStr">
        <is>
          <t>02:55:020107:6112</t>
        </is>
      </c>
      <c r="W22" s="17" t="n">
        <v>45758.35757593202</v>
      </c>
      <c r="X22" s="18" t="n">
        <v>23929.44902135975</v>
      </c>
      <c r="Y22" t="n">
        <v>0</v>
      </c>
    </row>
    <row r="23">
      <c r="A23" s="8" t="n">
        <v>21</v>
      </c>
      <c r="B23" t="n">
        <v>2</v>
      </c>
      <c r="C23" s="1" t="n">
        <v>19.8</v>
      </c>
      <c r="D23" s="2">
        <f>HYPERLINK("https://torgi.gov.ru/new/public/lots/lot/21000022850000000080_25/(lotInfo:info)", "21000022850000000080_25")</f>
        <v/>
      </c>
      <c r="E23" t="inlineStr">
        <is>
          <t>Лот №25(повторно): Нежилое помещение, гаражный бокс, площадь 19,8 кв.м., адрес - Республика Башкортостан, г. Уфа, Советский р-н, ул. Ленина, д.150/4, бокс 25А, кадастровый №02:55:010522:1785. Собственник (правообладатель) – Гайнанов Азат Нурфаизович. Обременение: арест. Начальная стоимость: 558 450,00 руб. Сумма задатка: 139 612,50 руб. Шаг аукциона (1% от начальной цены): 5 584,50 руб.</t>
        </is>
      </c>
      <c r="F23" s="3" t="inlineStr">
        <is>
          <t>04.09.22 20:59</t>
        </is>
      </c>
      <c r="G23" t="inlineStr">
        <is>
          <t>г Уфа, ул Ленина, д 150/4</t>
        </is>
      </c>
      <c r="H23" s="4" t="n">
        <v>558450</v>
      </c>
      <c r="I23" s="4" t="n">
        <v>28204.54545454545</v>
      </c>
      <c r="J23" t="inlineStr">
        <is>
          <t>гаражный бокс</t>
        </is>
      </c>
      <c r="K23" s="5" t="n">
        <v>3.96</v>
      </c>
      <c r="L23" s="4" t="n">
        <v>503.64</v>
      </c>
      <c r="M23" t="n">
        <v>7121</v>
      </c>
      <c r="N23" s="6" t="n">
        <v>1106086</v>
      </c>
      <c r="O23" t="n">
        <v>56</v>
      </c>
      <c r="P23" s="16" t="n">
        <v>0.6223752887518206</v>
      </c>
      <c r="Q23" t="inlineStr">
        <is>
          <t>EA</t>
        </is>
      </c>
      <c r="R23" t="inlineStr">
        <is>
          <t>Д</t>
        </is>
      </c>
      <c r="S23" s="2">
        <f>HYPERLINK("https://yandex.ru/maps/?&amp;text=54.736644, 55.952708", "54.736644, 55.952708")</f>
        <v/>
      </c>
      <c r="T23" s="2">
        <f>HYPERLINK("D:\venv_torgi\env\cache\objs_in_district/54.736644_55.952708.json", "54.736644_55.952708.json")</f>
        <v/>
      </c>
      <c r="U23" t="inlineStr">
        <is>
          <t>02:55:010522:1785</t>
        </is>
      </c>
      <c r="W23" s="17" t="n">
        <v>45758.35757593202</v>
      </c>
      <c r="X23" s="18" t="n">
        <v>17553.81212138657</v>
      </c>
      <c r="Y23" t="n">
        <v>0</v>
      </c>
    </row>
    <row r="24">
      <c r="A24" s="8" t="n">
        <v>22</v>
      </c>
      <c r="B24" t="n">
        <v>2</v>
      </c>
      <c r="C24" s="1" t="n">
        <v>36.9</v>
      </c>
      <c r="D24" s="2">
        <f>HYPERLINK("https://torgi.gov.ru/new/public/lots/lot/21000022850000000080_64/(lotInfo:info)", "21000022850000000080_64")</f>
        <v/>
      </c>
      <c r="E24" t="inlineStr">
        <is>
          <t>Лот №64: Нежилое помещение, площадь 36,9 кв.м., адрес - Республика Башкортостан, г.Нефтекамск, ул. Социалистическая, д.39, кадастровый №02:66:010106:3944. Собственник (правообладатель) – ООО «ТЕСЛО». Обременение: арест. Начальная стоимость: 1 120 000,00 руб. Сумма задатка: 280 000,00 руб. Шаг аукциона (1% от начальной цены): 11 200,00 руб.</t>
        </is>
      </c>
      <c r="F24" s="3" t="inlineStr">
        <is>
          <t>04.09.22 20:59</t>
        </is>
      </c>
      <c r="G24" t="inlineStr">
        <is>
          <t>Респ Башкортостан, г Нефтекамск, ул Социалистическая, д 39</t>
        </is>
      </c>
      <c r="H24" s="4" t="n">
        <v>1120000</v>
      </c>
      <c r="I24" s="4" t="n">
        <v>30352.30352303523</v>
      </c>
      <c r="J24" t="inlineStr">
        <is>
          <t>Нежилое помещение</t>
        </is>
      </c>
      <c r="K24" s="5" t="n">
        <v>6.49</v>
      </c>
      <c r="L24" s="4" t="n">
        <v>1597.47</v>
      </c>
      <c r="M24" t="n">
        <v>4679</v>
      </c>
      <c r="N24" s="6" t="n">
        <v>153005</v>
      </c>
      <c r="O24" t="n">
        <v>19</v>
      </c>
      <c r="Q24" t="inlineStr">
        <is>
          <t>EA</t>
        </is>
      </c>
      <c r="R24" t="inlineStr">
        <is>
          <t>Д</t>
        </is>
      </c>
      <c r="S24" s="2">
        <f>HYPERLINK("https://yandex.ru/maps/?&amp;text=56.08994, 54.258468", "56.08994, 54.258468")</f>
        <v/>
      </c>
      <c r="T24" s="2">
        <f>HYPERLINK("D:\venv_torgi\env\cache\objs_in_district/56.08994_54.258468.json", "56.08994_54.258468.json")</f>
        <v/>
      </c>
      <c r="U24" t="inlineStr">
        <is>
          <t>02:66:010106:3944</t>
        </is>
      </c>
      <c r="W24" s="20" t="n">
        <v>26866.27840984939</v>
      </c>
      <c r="X24" s="23" t="n">
        <v>-3486.025113185835</v>
      </c>
      <c r="Y24" t="n">
        <v>0</v>
      </c>
    </row>
    <row r="25">
      <c r="A25" s="8" t="n">
        <v>23</v>
      </c>
      <c r="B25" t="n">
        <v>2</v>
      </c>
      <c r="C25" s="1" t="n">
        <v>93.90000000000001</v>
      </c>
      <c r="D25" s="2">
        <f>HYPERLINK("https://torgi.gov.ru/new/public/lots/lot/21000022850000000083_36/(lotInfo:info)", "21000022850000000083_36")</f>
        <v/>
      </c>
      <c r="E25" t="inlineStr">
        <is>
          <t>Лот№36(повторное):Нежилое помещение, площадью 93,9 кв. м., адрес – Республика Башкортостан, г. Уфа, Кировский, ул. Караидельская, д. 2, кадастровый номер 02:55:010807:345, собственник (правообладатель) – Лобачёв Анатолий Борисович. Обременение: арест, залог. Начальная цена: 3400000,00руб. Сумма задатка: 170000,00руб. Шаг аукциона (1% от начальной цены) – 34000,00руб.</t>
        </is>
      </c>
      <c r="F25" s="3" t="inlineStr">
        <is>
          <t>12.09.22 20:59</t>
        </is>
      </c>
      <c r="G25" t="inlineStr">
        <is>
          <t>г Уфа, ул Караидельская, д 2</t>
        </is>
      </c>
      <c r="H25" s="4" t="n">
        <v>3400000</v>
      </c>
      <c r="I25" s="4" t="n">
        <v>36208.7326943557</v>
      </c>
      <c r="J25" t="inlineStr">
        <is>
          <t>Нежилое помещение</t>
        </is>
      </c>
      <c r="K25" s="5" t="n">
        <v>5.18</v>
      </c>
      <c r="L25" s="4" t="n">
        <v>5172.57</v>
      </c>
      <c r="M25" t="n">
        <v>6993</v>
      </c>
      <c r="N25" s="6" t="n">
        <v>1106086</v>
      </c>
      <c r="O25" t="n">
        <v>7</v>
      </c>
      <c r="Q25" t="inlineStr">
        <is>
          <t>EA</t>
        </is>
      </c>
      <c r="R25" t="inlineStr">
        <is>
          <t>Д</t>
        </is>
      </c>
      <c r="S25" s="2">
        <f>HYPERLINK("https://yandex.ru/maps/?&amp;text=54.707338, 55.993267", "54.707338, 55.993267")</f>
        <v/>
      </c>
      <c r="T25" s="2">
        <f>HYPERLINK("D:\venv_torgi\env\cache\objs_in_district/54.707338_55.993267.json", "54.707338_55.993267.json")</f>
        <v/>
      </c>
      <c r="U25" t="inlineStr">
        <is>
          <t xml:space="preserve">02:55:010807:345, </t>
        </is>
      </c>
      <c r="W25" s="17" t="n">
        <v>26846.54262748949</v>
      </c>
      <c r="X25" s="19" t="n">
        <v>-9362.190066866213</v>
      </c>
      <c r="Y25" t="n">
        <v>0</v>
      </c>
    </row>
    <row r="26">
      <c r="A26" s="8" t="n">
        <v>24</v>
      </c>
      <c r="B26" t="n">
        <v>2</v>
      </c>
      <c r="C26" s="1" t="n">
        <v>103.4</v>
      </c>
      <c r="D26" s="2">
        <f>HYPERLINK("https://torgi.gov.ru/new/public/lots/lot/22000069900000000002_1/(lotInfo:info)", "22000069900000000002_1")</f>
        <v/>
      </c>
      <c r="E26" t="inlineStr">
        <is>
          <t>нежилое помещение,  площадью 103,4 кв., кадастровый номер 02:56:030204:974, расположенное на 2 этаже жилого дома по адресу: Республика Башкортостан, г. Стерлитамак, ул. Мира, 57, пом. III.</t>
        </is>
      </c>
      <c r="F26" s="3" t="inlineStr">
        <is>
          <t>13.09.22 13:00</t>
        </is>
      </c>
      <c r="G26" t="inlineStr">
        <is>
          <t>Респ Башкортостан, г Стерлитамак, ул Мира, д 57</t>
        </is>
      </c>
      <c r="H26" s="4" t="n">
        <v>3752390</v>
      </c>
      <c r="I26" s="4" t="n">
        <v>36290.03868471953</v>
      </c>
      <c r="J26" t="inlineStr">
        <is>
          <t>Нежилое помещение</t>
        </is>
      </c>
      <c r="K26" s="5" t="n">
        <v>5.1</v>
      </c>
      <c r="L26" s="4" t="n">
        <v>355.78</v>
      </c>
      <c r="M26" t="n">
        <v>7116</v>
      </c>
      <c r="N26" s="6" t="n">
        <v>280233</v>
      </c>
      <c r="O26" t="n">
        <v>102</v>
      </c>
      <c r="Q26" t="inlineStr">
        <is>
          <t>EA</t>
        </is>
      </c>
      <c r="R26" t="inlineStr">
        <is>
          <t>М</t>
        </is>
      </c>
      <c r="S26" s="2">
        <f>HYPERLINK("https://yandex.ru/maps/?&amp;text=53.619865, 55.961296", "53.619865, 55.961296")</f>
        <v/>
      </c>
      <c r="T26" s="2">
        <f>HYPERLINK("D:\venv_torgi\env\cache\objs_in_district/53.619865_55.961296.json", "53.619865_55.961296.json")</f>
        <v/>
      </c>
      <c r="U26" t="inlineStr">
        <is>
          <t xml:space="preserve">02:56:030204:974, </t>
        </is>
      </c>
      <c r="V26" s="7" t="inlineStr">
        <is>
          <t>2</t>
        </is>
      </c>
      <c r="W26" s="20" t="n">
        <v>26866.27840984939</v>
      </c>
      <c r="X26" s="23" t="n">
        <v>-9423.760274870139</v>
      </c>
      <c r="Y26" t="n">
        <v>0</v>
      </c>
    </row>
    <row r="27">
      <c r="A27" s="8" t="n">
        <v>25</v>
      </c>
      <c r="B27" t="n">
        <v>2</v>
      </c>
      <c r="C27" s="1" t="n">
        <v>105.8</v>
      </c>
      <c r="D27" s="2">
        <f>HYPERLINK("https://torgi.gov.ru/new/public/lots/lot/21000022850000000080_29/(lotInfo:info)", "21000022850000000080_29")</f>
        <v/>
      </c>
      <c r="E27" t="inlineStr">
        <is>
          <t>Лот №29(повторно): Нежилое помещение, площадью 105,8 кв.м., Республика Башкортостан, г. Нефтекамск, ул. Ленина, д. 66 В, кадастровый №02:66:010113:4926. Собственник (правообладатель) – Бырлиба Николай Иванович. Обременение: арест. Начальная стоимость: 4 033 250,00 руб. Сумма задатка: 1 008 312,50 руб. Шаг аукциона (1% от начальной цены): 40 332,50 руб.</t>
        </is>
      </c>
      <c r="F27" s="3" t="inlineStr">
        <is>
          <t>04.09.22 20:59</t>
        </is>
      </c>
      <c r="G27" t="inlineStr">
        <is>
          <t>Респ Башкортостан, г Нефтекамск, ул Ленина, д 66В</t>
        </is>
      </c>
      <c r="H27" s="4" t="n">
        <v>4033250</v>
      </c>
      <c r="I27" s="4" t="n">
        <v>38121.45557655955</v>
      </c>
      <c r="J27" t="inlineStr">
        <is>
          <t>Нежилое помещение</t>
        </is>
      </c>
      <c r="K27" s="5" t="n">
        <v>8.15</v>
      </c>
      <c r="L27" s="4" t="n">
        <v>1058.92</v>
      </c>
      <c r="M27" t="n">
        <v>4680</v>
      </c>
      <c r="N27" s="6" t="n">
        <v>153005</v>
      </c>
      <c r="O27" t="n">
        <v>36</v>
      </c>
      <c r="Q27" t="inlineStr">
        <is>
          <t>EA</t>
        </is>
      </c>
      <c r="R27" t="inlineStr">
        <is>
          <t>Д</t>
        </is>
      </c>
      <c r="S27" s="2">
        <f>HYPERLINK("https://yandex.ru/maps/?&amp;text=56.098236, 54.22825", "56.098236, 54.22825")</f>
        <v/>
      </c>
      <c r="T27" s="2">
        <f>HYPERLINK("D:\venv_torgi\env\cache\objs_in_district/56.098236_54.22825.json", "56.098236_54.22825.json")</f>
        <v/>
      </c>
      <c r="U27" t="inlineStr">
        <is>
          <t>02:66:010113:4926</t>
        </is>
      </c>
      <c r="W27" s="20" t="n">
        <v>26866.27840984939</v>
      </c>
      <c r="X27" s="23" t="n">
        <v>-11255.17716671016</v>
      </c>
      <c r="Y27" t="n">
        <v>0</v>
      </c>
    </row>
    <row r="28">
      <c r="A28" s="8" t="n">
        <v>26</v>
      </c>
      <c r="B28" t="n">
        <v>2</v>
      </c>
      <c r="C28" s="1" t="n">
        <v>67.40000000000001</v>
      </c>
      <c r="D28" s="2">
        <f>HYPERLINK("https://torgi.gov.ru/new/public/lots/lot/21000022850000000080_65/(lotInfo:info)", "21000022850000000080_65")</f>
        <v/>
      </c>
      <c r="E28" t="inlineStr">
        <is>
          <t>Лот №65: Нежилое помещение, склад, площадь 67,4 кв.м., адрес - Республика Башкортостан, г. Уфа, ул. Шота Руставелли, д. 26, к. 4, кадастровый №02:55:020202:986. Собственник (правообладатель) – ООО «Легор». Обременение: арест. Начальная стоимость: 2 600 000,00 руб. Сумма задатка: 650 000,00 руб. Шаг аукциона (1% от начальной цены): 26 000,00 руб.</t>
        </is>
      </c>
      <c r="F28" s="3" t="inlineStr">
        <is>
          <t>04.09.22 20:59</t>
        </is>
      </c>
      <c r="G28" t="inlineStr">
        <is>
          <t>Республика Башкортостан, г. Уфа, ул. Шота Руставелли, д. 26, к. 4</t>
        </is>
      </c>
      <c r="H28" s="4" t="n">
        <v>2600000</v>
      </c>
      <c r="I28" s="4" t="n">
        <v>38575.66765578635</v>
      </c>
      <c r="J28" t="inlineStr">
        <is>
          <t>Нежилое помещение</t>
        </is>
      </c>
      <c r="K28" s="5" t="n">
        <v>8.49</v>
      </c>
      <c r="L28" s="4" t="n">
        <v>7715</v>
      </c>
      <c r="M28" t="n">
        <v>4545</v>
      </c>
      <c r="N28" s="6" t="n">
        <v>1106086</v>
      </c>
      <c r="O28" t="n">
        <v>5</v>
      </c>
      <c r="Q28" t="inlineStr">
        <is>
          <t>EA</t>
        </is>
      </c>
      <c r="R28" t="inlineStr">
        <is>
          <t>Д</t>
        </is>
      </c>
      <c r="S28" s="2">
        <f>HYPERLINK("https://yandex.ru/maps/?&amp;text=54.790957, 56.047364", "54.790957, 56.047364")</f>
        <v/>
      </c>
      <c r="T28" s="2">
        <f>HYPERLINK("D:\venv_torgi\env\cache\objs_in_district/54.790957_56.047364.json", "54.790957_56.047364.json")</f>
        <v/>
      </c>
      <c r="U28" t="inlineStr">
        <is>
          <t>02:55:020202:986</t>
        </is>
      </c>
      <c r="W28" s="17" t="n">
        <v>26846.54262748949</v>
      </c>
      <c r="X28" s="19" t="n">
        <v>-11729.12502829686</v>
      </c>
      <c r="Y28" t="n">
        <v>0</v>
      </c>
    </row>
    <row r="29">
      <c r="A29" s="8" t="n">
        <v>27</v>
      </c>
      <c r="B29" t="n">
        <v>2</v>
      </c>
      <c r="C29" s="1" t="n">
        <v>69.8</v>
      </c>
      <c r="D29" s="2">
        <f>HYPERLINK("https://torgi.gov.ru/new/public/lots/lot/21000002210000000844_1/(lotInfo:info)", "21000002210000000844_1")</f>
        <v/>
      </c>
      <c r="E29" t="inlineStr">
        <is>
          <t>Нежилые помещения цокольного этажа девятиэтажного жилого здания и одноэтажного нежилого пристроя к нему (кадастровый номер: 02:55:010807:79), расположенного по адресу: Республика Башкортостан, г. Уфа, Кировский район, ул. Менделеева, 108. Площадь объекта 69,8кв.м., в том числе: литера А – 36,6 кв.м., литера А2 (пристрой) – 33,2кв.м., этаж / этажность: литера А - цоколь / 9, литера А2 – 1 / 1, Год постройки: литера А – 1998, литера А2 - 2000, материал стен: кирпич, высота помещений: литера А – 2,95м., литера А2 – 3,63 м., износ: литера А - 15%, литера А2 – 5%, коммуникации: литера А – центральное отопление, электроснабжение, водоснабжение, канализация, литера А2 - электроснабжение</t>
        </is>
      </c>
      <c r="F29" s="3" t="inlineStr">
        <is>
          <t>05.09.22 19:00</t>
        </is>
      </c>
      <c r="G29" t="inlineStr">
        <is>
          <t>г Уфа, ул Менделеева, д 108</t>
        </is>
      </c>
      <c r="H29" s="4" t="n">
        <v>3005651.52</v>
      </c>
      <c r="I29" s="4" t="n">
        <v>43060.9100286533</v>
      </c>
      <c r="J29" t="inlineStr">
        <is>
          <t>Нежилое помещение</t>
        </is>
      </c>
      <c r="K29" s="5" t="n">
        <v>6.16</v>
      </c>
      <c r="L29" s="4" t="n">
        <v>2153</v>
      </c>
      <c r="M29" t="n">
        <v>6986</v>
      </c>
      <c r="N29" s="6" t="n">
        <v>1106086</v>
      </c>
      <c r="O29" t="n">
        <v>20</v>
      </c>
      <c r="Q29" t="inlineStr">
        <is>
          <t>EA</t>
        </is>
      </c>
      <c r="R29" t="inlineStr">
        <is>
          <t>М</t>
        </is>
      </c>
      <c r="S29" s="2">
        <f>HYPERLINK("https://yandex.ru/maps/?&amp;text=54.711005, 55.989198", "54.711005, 55.989198")</f>
        <v/>
      </c>
      <c r="T29" s="2">
        <f>HYPERLINK("D:\venv_torgi\env\cache\objs_in_district/54.711005_55.989198.json", "54.711005_55.989198.json")</f>
        <v/>
      </c>
      <c r="U29" t="inlineStr">
        <is>
          <t>02:55:010807:79</t>
        </is>
      </c>
      <c r="V29" s="7" t="inlineStr">
        <is>
          <t>0</t>
        </is>
      </c>
      <c r="W29" s="17" t="n">
        <v>26846.54262748949</v>
      </c>
      <c r="X29" s="19" t="n">
        <v>-16214.36740116381</v>
      </c>
      <c r="Y29" t="n">
        <v>0</v>
      </c>
    </row>
    <row r="30">
      <c r="A30" s="8" t="n">
        <v>28</v>
      </c>
      <c r="B30" t="n">
        <v>2</v>
      </c>
      <c r="C30" s="1" t="n">
        <v>143.7</v>
      </c>
      <c r="D30" s="2">
        <f>HYPERLINK("https://torgi.gov.ru/new/public/lots/lot/21000015350000000009_1/(lotInfo:info)", "21000015350000000009_1")</f>
        <v/>
      </c>
      <c r="E30" t="inlineStr">
        <is>
          <t>Нежилое помещение общей площадью 143,7 кв.м., с кадастровым № 02:55:010802:1098, расположенное по адресу: Республика Башкортостан, г. Уфа, ул. Менделеева, д. 10, офис 5</t>
        </is>
      </c>
      <c r="F30" s="3" t="inlineStr">
        <is>
          <t>20.09.22 06:00</t>
        </is>
      </c>
      <c r="G30" t="inlineStr">
        <is>
          <t>г Уфа, ул Менделеева, д 10</t>
        </is>
      </c>
      <c r="H30" s="4" t="n">
        <v>6526000</v>
      </c>
      <c r="I30" s="4" t="n">
        <v>45414.05706332638</v>
      </c>
      <c r="J30" t="inlineStr">
        <is>
          <t>офис</t>
        </is>
      </c>
      <c r="K30" s="5" t="n">
        <v>9.75</v>
      </c>
      <c r="L30" s="4" t="n">
        <v>1464.97</v>
      </c>
      <c r="M30" t="n">
        <v>4658</v>
      </c>
      <c r="N30" s="6" t="n">
        <v>1106086</v>
      </c>
      <c r="O30" t="n">
        <v>31</v>
      </c>
      <c r="Q30" t="inlineStr">
        <is>
          <t>EA</t>
        </is>
      </c>
      <c r="R30" t="inlineStr">
        <is>
          <t>М</t>
        </is>
      </c>
      <c r="S30" s="2">
        <f>HYPERLINK("https://yandex.ru/maps/?&amp;text=54.709616, 55.969767", "54.709616, 55.969767")</f>
        <v/>
      </c>
      <c r="T30" s="2">
        <f>HYPERLINK("D:\venv_torgi\env\cache\objs_in_district/54.709616_55.969767.json", "54.709616_55.969767.json")</f>
        <v/>
      </c>
      <c r="U30" t="inlineStr">
        <is>
          <t xml:space="preserve">02:55:010802:1098, </t>
        </is>
      </c>
      <c r="W30" s="17" t="n">
        <v>26846.54262748949</v>
      </c>
      <c r="X30" s="19" t="n">
        <v>-18567.51443583689</v>
      </c>
      <c r="Y30" t="n">
        <v>0</v>
      </c>
    </row>
    <row r="31">
      <c r="A31" s="8" t="n">
        <v>29</v>
      </c>
      <c r="B31" t="n">
        <v>2</v>
      </c>
      <c r="C31" s="1" t="n">
        <v>104</v>
      </c>
      <c r="D31" s="2">
        <f>HYPERLINK("https://torgi.gov.ru/new/public/lots/lot/21000015350000000008_1/(lotInfo:info)", "21000015350000000008_1")</f>
        <v/>
      </c>
      <c r="E31" t="inlineStr">
        <is>
          <t>Нежилое помещение общей площадью 104,0 кв.м., с кадастровым № 02:55:010802:1099, расположенное по адресу: Республика Башкортостан, г. Уфа, ул. Менделеева, д. 10, офис 6</t>
        </is>
      </c>
      <c r="F31" s="3" t="inlineStr">
        <is>
          <t>20.09.22 06:00</t>
        </is>
      </c>
      <c r="G31" t="inlineStr">
        <is>
          <t>г Уфа, ул Менделеева, д 10</t>
        </is>
      </c>
      <c r="H31" s="4" t="n">
        <v>4845000</v>
      </c>
      <c r="I31" s="4" t="n">
        <v>46586.53846153846</v>
      </c>
      <c r="J31" t="inlineStr">
        <is>
          <t>офис</t>
        </is>
      </c>
      <c r="K31" s="5" t="n">
        <v>10</v>
      </c>
      <c r="L31" s="4" t="n">
        <v>1502.77</v>
      </c>
      <c r="M31" t="n">
        <v>4658</v>
      </c>
      <c r="N31" s="6" t="n">
        <v>1106086</v>
      </c>
      <c r="O31" t="n">
        <v>31</v>
      </c>
      <c r="Q31" t="inlineStr">
        <is>
          <t>EA</t>
        </is>
      </c>
      <c r="R31" t="inlineStr">
        <is>
          <t>М</t>
        </is>
      </c>
      <c r="S31" s="2">
        <f>HYPERLINK("https://yandex.ru/maps/?&amp;text=54.709616, 55.969767", "54.709616, 55.969767")</f>
        <v/>
      </c>
      <c r="T31" s="2">
        <f>HYPERLINK("D:\venv_torgi\env\cache\objs_in_district/54.709616_55.969767.json", "54.709616_55.969767.json")</f>
        <v/>
      </c>
      <c r="U31" t="inlineStr">
        <is>
          <t xml:space="preserve">02:55:010802:1099, </t>
        </is>
      </c>
      <c r="W31" s="17" t="n">
        <v>26846.54262748949</v>
      </c>
      <c r="X31" s="19" t="n">
        <v>-19739.99583404898</v>
      </c>
      <c r="Y31" t="n">
        <v>0</v>
      </c>
    </row>
    <row r="32">
      <c r="A32" s="8" t="n">
        <v>30</v>
      </c>
      <c r="B32" t="n">
        <v>2</v>
      </c>
      <c r="C32" s="1" t="n">
        <v>33</v>
      </c>
      <c r="D32" s="2">
        <f>HYPERLINK("https://torgi.gov.ru/new/public/lots/lot/21000022850000000080_52/(lotInfo:info)", "21000022850000000080_52")</f>
        <v/>
      </c>
      <c r="E32" t="inlineStr">
        <is>
          <t>Лот №52(повторно): Нежилое помещение, площадью 33 кв.м., адрес - Республика Башкортостан, г. Уфа, Октябрьский, пр-кт. Октября, д. 63, корп. 4, кв. 20, кадастровый №02:55:020110:4865. Собственник (правообладатель) - Быковских Алексей Александрович. Обременение: арест. Начальная цена: 2 690 250,00 руб. Сумма задатка: 672 562,50 руб. Шаг аукциона (1% от начальной цены): 26 902,50 руб.</t>
        </is>
      </c>
      <c r="F32" s="3" t="inlineStr">
        <is>
          <t>04.09.22 20:59</t>
        </is>
      </c>
      <c r="G32" t="inlineStr">
        <is>
          <t>г Уфа, пр-кт Октября, д 63 к 4</t>
        </is>
      </c>
      <c r="H32" s="4" t="n">
        <v>2690250</v>
      </c>
      <c r="I32" s="4" t="n">
        <v>81522.72727272728</v>
      </c>
      <c r="J32" t="inlineStr">
        <is>
          <t>Нежилое помещение</t>
        </is>
      </c>
      <c r="K32" s="5" t="n">
        <v>12.08</v>
      </c>
      <c r="L32" s="4" t="n">
        <v>1538.15</v>
      </c>
      <c r="M32" t="n">
        <v>6750</v>
      </c>
      <c r="N32" s="6" t="n">
        <v>1106086</v>
      </c>
      <c r="O32" t="n">
        <v>53</v>
      </c>
      <c r="Q32" t="inlineStr">
        <is>
          <t>EA</t>
        </is>
      </c>
      <c r="R32" t="inlineStr">
        <is>
          <t>Д</t>
        </is>
      </c>
      <c r="S32" s="2">
        <f>HYPERLINK("https://yandex.ru/maps/?&amp;text=54.758896, 56.007568", "54.758896, 56.007568")</f>
        <v/>
      </c>
      <c r="T32" s="2">
        <f>HYPERLINK("D:\venv_torgi\env\cache\objs_in_district/54.758896_56.007568.json", "54.758896_56.007568.json")</f>
        <v/>
      </c>
      <c r="U32" t="inlineStr">
        <is>
          <t>02:55:020110:4865</t>
        </is>
      </c>
      <c r="W32" s="17" t="n">
        <v>45758.35757593202</v>
      </c>
      <c r="X32" s="19" t="n">
        <v>-35764.36969679526</v>
      </c>
      <c r="Y32" t="n">
        <v>0</v>
      </c>
    </row>
    <row r="33">
      <c r="A33" s="8" t="n">
        <v>31</v>
      </c>
      <c r="B33" t="n">
        <v>2</v>
      </c>
      <c r="C33" s="1" t="n">
        <v>15.9</v>
      </c>
      <c r="D33" s="2">
        <f>HYPERLINK("https://torgi.gov.ru/new/public/lots/lot/21000002210000000844_2/(lotInfo:info)", "21000002210000000844_2")</f>
        <v/>
      </c>
      <c r="E33" t="inlineStr">
        <is>
          <t>Нежилые помещения первого этажа четырехэтажного жилого здания (кадастровый номер: 02:55:010506:346), расположенного по адресу: Республика Башкортостан, г. Уфа, Советский район, проспект Октября, 3. Площадь 15,9 кв.м. Этаж / этажность - 1 / 4. Год постройки – 1953, материал стен – кирпич, высота помещений – 4,20м., износ – 41%, коммуникации: центральное отопление, электроснабжение</t>
        </is>
      </c>
      <c r="F33" s="3" t="inlineStr">
        <is>
          <t>05.09.22 19:00</t>
        </is>
      </c>
      <c r="G33" t="inlineStr">
        <is>
          <t>г Уфа, пр-кт Октября, д 3</t>
        </is>
      </c>
      <c r="H33" s="4" t="n">
        <v>2795000</v>
      </c>
      <c r="I33" s="4" t="n">
        <v>175786.1635220126</v>
      </c>
      <c r="J33" t="inlineStr">
        <is>
          <t>Нежилое помещение</t>
        </is>
      </c>
      <c r="K33" s="5" t="n">
        <v>24.7</v>
      </c>
      <c r="L33" s="4" t="n">
        <v>2746.66</v>
      </c>
      <c r="M33" t="n">
        <v>7116</v>
      </c>
      <c r="N33" s="6" t="n">
        <v>1106086</v>
      </c>
      <c r="O33" t="n">
        <v>64</v>
      </c>
      <c r="Q33" t="inlineStr">
        <is>
          <t>EA</t>
        </is>
      </c>
      <c r="R33" t="inlineStr">
        <is>
          <t>М</t>
        </is>
      </c>
      <c r="S33" s="2">
        <f>HYPERLINK("https://yandex.ru/maps/?&amp;text=54.740911, 55.985317", "54.740911, 55.985317")</f>
        <v/>
      </c>
      <c r="T33" s="2">
        <f>HYPERLINK("D:\venv_torgi\env\cache\objs_in_district/54.740911_55.985317.json", "54.740911_55.985317.json")</f>
        <v/>
      </c>
      <c r="U33" t="inlineStr">
        <is>
          <t>02:55:010506:346</t>
        </is>
      </c>
      <c r="V33" s="7" t="inlineStr">
        <is>
          <t>1</t>
        </is>
      </c>
      <c r="W33" s="17" t="n">
        <v>45758.35757593202</v>
      </c>
      <c r="X33" s="19" t="n">
        <v>-130027.8059460806</v>
      </c>
      <c r="Y33" t="n">
        <v>0</v>
      </c>
    </row>
    <row r="34">
      <c r="A34" s="8" t="n">
        <v>32</v>
      </c>
      <c r="B34" t="n">
        <v>3</v>
      </c>
      <c r="C34" s="1" t="n">
        <v>547</v>
      </c>
      <c r="D34" s="2">
        <f>HYPERLINK("https://torgi.gov.ru/new/public/lots/lot/22000005550000000002_1/(lotInfo:info)", "22000005550000000002_1")</f>
        <v/>
      </c>
      <c r="E34" t="inlineStr">
        <is>
          <t>нежилые помещения, площадь 547,0 м2, этажность: 1,2, местонахождение: 671710, Республика Бурятия, Северо-Байкальский район, пос. Нижнеангарск, ул. Победы, д.55, кадастровый номер 03:17:080241:159</t>
        </is>
      </c>
      <c r="F34" s="3" t="inlineStr">
        <is>
          <t>05.09.22 00:00</t>
        </is>
      </c>
      <c r="G34" t="inlineStr">
        <is>
          <t>Северо-Байкальский район, пос. Нижнеангарск, ул. Победы, д.55</t>
        </is>
      </c>
      <c r="H34" s="4" t="n">
        <v>2989067.37</v>
      </c>
      <c r="I34" s="4" t="n">
        <v>5464.474168190128</v>
      </c>
      <c r="J34" t="inlineStr">
        <is>
          <t>Нежилое помещение</t>
        </is>
      </c>
      <c r="K34" s="5" t="n">
        <v>5.06</v>
      </c>
      <c r="L34" s="4" t="n">
        <v>2732</v>
      </c>
      <c r="M34" t="n">
        <v>1079</v>
      </c>
      <c r="N34" s="6" t="n">
        <v>4270</v>
      </c>
      <c r="O34" t="n">
        <v>2</v>
      </c>
      <c r="Q34" t="inlineStr">
        <is>
          <t>EA</t>
        </is>
      </c>
      <c r="R34" t="inlineStr">
        <is>
          <t>М</t>
        </is>
      </c>
      <c r="S34" s="2">
        <f>HYPERLINK("https://yandex.ru/maps/?&amp;text=55.77594, 109.565952", "55.77594, 109.565952")</f>
        <v/>
      </c>
      <c r="T34" s="2">
        <f>HYPERLINK("D:\venv_torgi\env\cache\objs_in_district/55.77594_109.565952.json", "55.77594_109.565952.json")</f>
        <v/>
      </c>
      <c r="U34" t="inlineStr">
        <is>
          <t>03:17:080241:159</t>
        </is>
      </c>
      <c r="V34" s="7" t="inlineStr">
        <is>
          <t>1</t>
        </is>
      </c>
      <c r="W34" s="20" t="n">
        <v>4495.121984005761</v>
      </c>
      <c r="X34" s="23" t="n">
        <v>-969.3521841843667</v>
      </c>
      <c r="Y34" t="n">
        <v>0</v>
      </c>
    </row>
    <row r="35">
      <c r="A35" s="8" t="n">
        <v>33</v>
      </c>
      <c r="B35" t="n">
        <v>3</v>
      </c>
      <c r="C35" s="1" t="n">
        <v>40.4</v>
      </c>
      <c r="D35" s="2">
        <f>HYPERLINK("https://torgi.gov.ru/new/public/lots/lot/21000031670000000159_3/(lotInfo:info)", "21000031670000000159_3")</f>
        <v/>
      </c>
      <c r="E35" t="inlineStr">
        <is>
          <t>Нежилое помещение, расположенное по адресу: Республика Бурятия, г. Улан-Удэ, ул. Гастелло, д. 7, площадь 40,4 кв.м., кадастровый номер 03:24:021628:453.</t>
        </is>
      </c>
      <c r="F35" s="3" t="inlineStr">
        <is>
          <t>01.09.22 09:00</t>
        </is>
      </c>
      <c r="G35" t="inlineStr">
        <is>
          <t>г Улан-Удэ, ул Гастелло, д 7</t>
        </is>
      </c>
      <c r="H35" s="4" t="n">
        <v>1122000</v>
      </c>
      <c r="I35" s="4" t="n">
        <v>27772.27722772277</v>
      </c>
      <c r="J35" t="inlineStr">
        <is>
          <t>Нежилое помещение</t>
        </is>
      </c>
      <c r="K35" s="5" t="n">
        <v>6.92</v>
      </c>
      <c r="L35" s="4" t="n">
        <v>2136.31</v>
      </c>
      <c r="M35" t="n">
        <v>4014</v>
      </c>
      <c r="N35" s="6" t="n">
        <v>430186</v>
      </c>
      <c r="O35" t="n">
        <v>13</v>
      </c>
      <c r="Q35" t="inlineStr">
        <is>
          <t>EA</t>
        </is>
      </c>
      <c r="R35" t="inlineStr">
        <is>
          <t>Д</t>
        </is>
      </c>
      <c r="S35" s="2">
        <f>HYPERLINK("https://yandex.ru/maps/?&amp;text=51.865414, 107.72488", "51.865414, 107.72488")</f>
        <v/>
      </c>
      <c r="T35" s="2">
        <f>HYPERLINK("D:\venv_torgi\env\cache\objs_in_district/51.865414_107.72488.json", "51.865414_107.72488.json")</f>
        <v/>
      </c>
      <c r="U35" t="inlineStr">
        <is>
          <t>03:24:021628:453</t>
        </is>
      </c>
      <c r="W35" s="20" t="n">
        <v>26866.27840984939</v>
      </c>
      <c r="X35" s="23" t="n">
        <v>-905.9988178733765</v>
      </c>
      <c r="Y35" t="n">
        <v>0</v>
      </c>
    </row>
    <row r="36">
      <c r="A36" s="8" t="n">
        <v>34</v>
      </c>
      <c r="B36" t="n">
        <v>3</v>
      </c>
      <c r="C36" s="1" t="n">
        <v>154.7</v>
      </c>
      <c r="D36" s="2">
        <f>HYPERLINK("https://torgi.gov.ru/new/public/lots/lot/21000031670000000173_2/(lotInfo:info)", "21000031670000000173_2")</f>
        <v/>
      </c>
      <c r="E36" t="inlineStr">
        <is>
          <t>Нежилое помещение, расположенное по адресу: Республика Бурятия, г. Улан-Удэ, пер. Невского, д. 4А, пом. II, площадь 154,70 кв.м., кадастровый номер 03:24:000000:18599.</t>
        </is>
      </c>
      <c r="F36" s="3" t="inlineStr">
        <is>
          <t>14.09.22 09:00</t>
        </is>
      </c>
      <c r="G36" t="inlineStr">
        <is>
          <t>г Улан-Удэ, пер Невского, д 4А</t>
        </is>
      </c>
      <c r="H36" s="4" t="n">
        <v>5814000</v>
      </c>
      <c r="I36" s="4" t="n">
        <v>37582.41758241758</v>
      </c>
      <c r="J36" t="inlineStr">
        <is>
          <t>Нежилое помещение</t>
        </is>
      </c>
      <c r="K36" s="5" t="n">
        <v>10.01</v>
      </c>
      <c r="L36" s="10" t="n"/>
      <c r="M36" t="n">
        <v>3756</v>
      </c>
      <c r="N36" s="6" t="n">
        <v>430186</v>
      </c>
      <c r="O36" t="inlineStr">
        <is>
          <t>0</t>
        </is>
      </c>
      <c r="Q36" t="inlineStr">
        <is>
          <t>EA</t>
        </is>
      </c>
      <c r="R36" t="inlineStr">
        <is>
          <t>Д</t>
        </is>
      </c>
      <c r="S36" s="2">
        <f>HYPERLINK("https://yandex.ru/maps/?&amp;text=51.860207, 107.714982", "51.860207, 107.714982")</f>
        <v/>
      </c>
      <c r="T36" s="11">
        <f>HYPERLINK("D:\venv_torgi\env\cache\objs_in_district/51.860207_107.714982.json", "51.860207_107.714982.json")</f>
        <v/>
      </c>
      <c r="U36" t="inlineStr">
        <is>
          <t>03:24:000000:18599</t>
        </is>
      </c>
      <c r="W36" s="20" t="n">
        <v>26866.27840984939</v>
      </c>
      <c r="X36" s="23" t="n">
        <v>-10716.13917256819</v>
      </c>
      <c r="Y36" t="n">
        <v>0</v>
      </c>
    </row>
    <row r="37">
      <c r="A37" s="8" t="n">
        <v>35</v>
      </c>
      <c r="B37" t="n">
        <v>5</v>
      </c>
      <c r="C37" s="1" t="n">
        <v>34.2</v>
      </c>
      <c r="D37" s="2">
        <f>HYPERLINK("https://torgi.gov.ru/new/public/lots/lot/21000013200000000053_9/(lotInfo:info)", "21000013200000000053_9")</f>
        <v/>
      </c>
      <c r="E37" t="inlineStr">
        <is>
          <t>Нежилое помещение, площадь 34,2 кв. м., этаж 1-й, кадастровый номер: 05:40:000052:4060, местоположение: Республика Дагестан, г. Махачкала, ул. Дахадаева, д. 21, корп. А, стоимость 2 685 600 руб., задаток 134 280 руб.</t>
        </is>
      </c>
      <c r="F37" s="3" t="inlineStr">
        <is>
          <t>05.09.22 15:00</t>
        </is>
      </c>
      <c r="G37" t="inlineStr">
        <is>
          <t>г Махачкала, ул Дахадаева, д 21 к а</t>
        </is>
      </c>
      <c r="H37" s="4" t="n">
        <v>2685600</v>
      </c>
      <c r="I37" s="4" t="n">
        <v>78526.31578947368</v>
      </c>
      <c r="J37" t="inlineStr">
        <is>
          <t>Нежилое помещение</t>
        </is>
      </c>
      <c r="K37" s="5" t="n">
        <v>9.75</v>
      </c>
      <c r="L37" s="4" t="n">
        <v>618.3099999999999</v>
      </c>
      <c r="M37" t="n">
        <v>8058</v>
      </c>
      <c r="N37" s="6" t="n">
        <v>726654</v>
      </c>
      <c r="O37" t="n">
        <v>127</v>
      </c>
      <c r="Q37" t="inlineStr">
        <is>
          <t>EA</t>
        </is>
      </c>
      <c r="R37" t="inlineStr">
        <is>
          <t>Д</t>
        </is>
      </c>
      <c r="S37" s="2">
        <f>HYPERLINK("https://yandex.ru/maps/?&amp;text=42.976491, 47.501915", "42.976491, 47.501915")</f>
        <v/>
      </c>
      <c r="T37" s="2">
        <f>HYPERLINK("D:\venv_torgi\env\cache\objs_in_district/42.976491_47.501915.json", "42.976491_47.501915.json")</f>
        <v/>
      </c>
      <c r="U37" t="inlineStr">
        <is>
          <t xml:space="preserve">05:40:000052:4060, </t>
        </is>
      </c>
      <c r="V37" s="7" t="inlineStr">
        <is>
          <t>1</t>
        </is>
      </c>
      <c r="W37" s="20" t="n">
        <v>26866.27840984939</v>
      </c>
      <c r="X37" s="23" t="n">
        <v>-51660.03737962429</v>
      </c>
      <c r="Y37" t="n">
        <v>0</v>
      </c>
    </row>
    <row r="38">
      <c r="A38" s="8" t="n">
        <v>36</v>
      </c>
      <c r="B38" t="n">
        <v>10</v>
      </c>
      <c r="C38" s="1" t="n">
        <v>196.7</v>
      </c>
      <c r="D38" s="2">
        <f>HYPERLINK("https://torgi.gov.ru/new/public/lots/lot/22000047180000000003_1/(lotInfo:info)", "22000047180000000003_1")</f>
        <v/>
      </c>
      <c r="E38" t="inlineStr">
        <is>
          <t>Назначение: нежилое, площадь 196,7 кв.м., кадастровый номер: 10:14:0010122:260</t>
        </is>
      </c>
      <c r="F38" s="3" t="inlineStr">
        <is>
          <t>13.09.22 10:00</t>
        </is>
      </c>
      <c r="G38" t="inlineStr">
        <is>
          <t xml:space="preserve">г. Олонец, пер Кирпичный, д. б/н, помещение 2. </t>
        </is>
      </c>
      <c r="H38" s="4" t="n">
        <v>246480.36</v>
      </c>
      <c r="I38" s="4" t="n">
        <v>1253.077580071174</v>
      </c>
      <c r="J38" t="inlineStr">
        <is>
          <t>Нежилое помещение</t>
        </is>
      </c>
      <c r="Q38" t="inlineStr">
        <is>
          <t>EA</t>
        </is>
      </c>
      <c r="R38" t="inlineStr">
        <is>
          <t>М</t>
        </is>
      </c>
      <c r="U38" t="inlineStr">
        <is>
          <t>10:14:0010122:260</t>
        </is>
      </c>
      <c r="Y38" t="n">
        <v>0</v>
      </c>
    </row>
    <row r="39">
      <c r="A39" s="8" t="n">
        <v>37</v>
      </c>
      <c r="B39" t="n">
        <v>10</v>
      </c>
      <c r="C39" s="1" t="n">
        <v>104.4</v>
      </c>
      <c r="D39" s="2">
        <f>HYPERLINK("https://torgi.gov.ru/new/public/lots/lot/22000020710000000009_3/(lotInfo:info)", "22000020710000000009_3")</f>
        <v/>
      </c>
      <c r="E39" t="inlineStr">
        <is>
          <t>Нежилое помещение с кадастровым номером 10:01:0030127:357, общей площадью 104,4 кв.м, расположенное в цокольном этаже многоквартирного дома</t>
        </is>
      </c>
      <c r="F39" s="3" t="inlineStr">
        <is>
          <t>15.09.22 12:00</t>
        </is>
      </c>
      <c r="G39" t="inlineStr">
        <is>
          <t>г Петрозаводск, р-н Октябрьский, ул Советская, д 31</t>
        </is>
      </c>
      <c r="H39" s="4" t="n">
        <v>780000</v>
      </c>
      <c r="I39" s="4" t="n">
        <v>7471.264367816091</v>
      </c>
      <c r="J39" t="inlineStr">
        <is>
          <t>Нежилое помещение</t>
        </is>
      </c>
      <c r="K39" s="5" t="n">
        <v>1.01</v>
      </c>
      <c r="L39" s="4" t="n">
        <v>173.74</v>
      </c>
      <c r="M39" t="n">
        <v>7425</v>
      </c>
      <c r="N39" s="6" t="n">
        <v>277111</v>
      </c>
      <c r="O39" t="n">
        <v>43</v>
      </c>
      <c r="P39" s="21" t="n">
        <v>2.595948033318304</v>
      </c>
      <c r="Q39" t="inlineStr">
        <is>
          <t>EA</t>
        </is>
      </c>
      <c r="R39" t="inlineStr">
        <is>
          <t>М</t>
        </is>
      </c>
      <c r="S39" s="2">
        <f>HYPERLINK("https://yandex.ru/maps/?&amp;text=61.802273, 34.324043", "61.802273, 34.324043")</f>
        <v/>
      </c>
      <c r="T39" s="2">
        <f>HYPERLINK("D:\venv_torgi\env\cache\objs_in_district/61.802273_34.324043.json", "61.802273_34.324043.json")</f>
        <v/>
      </c>
      <c r="U39" t="inlineStr">
        <is>
          <t xml:space="preserve">10:01:0030127:357, </t>
        </is>
      </c>
      <c r="V39" s="7" t="inlineStr">
        <is>
          <t>0</t>
        </is>
      </c>
      <c r="W39" s="20" t="n">
        <v>26866.27840984939</v>
      </c>
      <c r="X39" s="22" t="n">
        <v>19395.0140420333</v>
      </c>
      <c r="Y39" t="n">
        <v>0</v>
      </c>
    </row>
    <row r="40">
      <c r="A40" s="8" t="n">
        <v>38</v>
      </c>
      <c r="B40" t="n">
        <v>10</v>
      </c>
      <c r="C40" s="1" t="n">
        <v>104.2</v>
      </c>
      <c r="D40" s="2">
        <f>HYPERLINK("https://torgi.gov.ru/new/public/lots/lot/22000058800000000003_1/(lotInfo:info)", "22000058800000000003_1")</f>
        <v/>
      </c>
      <c r="E40" t="inlineStr">
        <is>
          <t>нежилое помещение (кадастровый номер 10:20:0040101:852), общей площадью 104,2 кв.м., расположенное на первом этаже здания по адресу: Республика Карелия, р-н Прионежский, п. Мелиоративный, ул. Строительная, д. 6а, пом. 1</t>
        </is>
      </c>
      <c r="F40" s="3" t="inlineStr">
        <is>
          <t>29.08.22 07:00</t>
        </is>
      </c>
      <c r="G40" t="inlineStr">
        <is>
          <t>Респ Карелия, Прионежский р-н, поселок Мелиоративный, ул Строительная, д 6а</t>
        </is>
      </c>
      <c r="H40" s="4" t="n">
        <v>1968000</v>
      </c>
      <c r="I40" s="4" t="n">
        <v>18886.75623800384</v>
      </c>
      <c r="J40" t="inlineStr">
        <is>
          <t>Нежилое помещение</t>
        </is>
      </c>
      <c r="K40" s="5" t="n">
        <v>7.47</v>
      </c>
      <c r="L40" s="4" t="n">
        <v>472.15</v>
      </c>
      <c r="M40" t="n">
        <v>2528</v>
      </c>
      <c r="N40" s="6" t="n">
        <v>2264</v>
      </c>
      <c r="O40" t="n">
        <v>40</v>
      </c>
      <c r="P40" s="21" t="n">
        <v>0.4224929930418225</v>
      </c>
      <c r="Q40" t="inlineStr">
        <is>
          <t>PP</t>
        </is>
      </c>
      <c r="R40" t="inlineStr">
        <is>
          <t>М</t>
        </is>
      </c>
      <c r="S40" s="2">
        <f>HYPERLINK("https://yandex.ru/maps/?&amp;text=61.86624, 34.24332", "61.86624, 34.24332")</f>
        <v/>
      </c>
      <c r="T40" s="2">
        <f>HYPERLINK("D:\venv_torgi\env\cache\objs_in_district/61.86624_34.24332.json", "61.86624_34.24332.json")</f>
        <v/>
      </c>
      <c r="U40" t="inlineStr">
        <is>
          <t>10:20:0040101:852</t>
        </is>
      </c>
      <c r="V40" s="7" t="inlineStr">
        <is>
          <t>1</t>
        </is>
      </c>
      <c r="W40" s="20" t="n">
        <v>26866.27840984939</v>
      </c>
      <c r="X40" s="22" t="n">
        <v>7979.522171845554</v>
      </c>
      <c r="Y40" t="n">
        <v>0</v>
      </c>
    </row>
    <row r="41">
      <c r="A41" s="8" t="n">
        <v>39</v>
      </c>
      <c r="B41" t="n">
        <v>10</v>
      </c>
      <c r="C41" s="1" t="n">
        <v>17.6</v>
      </c>
      <c r="D41" s="2">
        <f>HYPERLINK("https://torgi.gov.ru/new/public/lots/lot/22000020710000000009_1/(lotInfo:info)", "22000020710000000009_1")</f>
        <v/>
      </c>
      <c r="E41" t="inlineStr">
        <is>
          <t>Нежилое помещение с кадастровым номером 10:01:0200127:747, общей площадью 17,6 кв.м, расположенное на 1 этаже многоквартирного дома</t>
        </is>
      </c>
      <c r="F41" s="3" t="inlineStr">
        <is>
          <t>15.09.22 12:00</t>
        </is>
      </c>
      <c r="G41" t="inlineStr">
        <is>
          <t>г Петрозаводск, р-н Сулажгора, ул Жуковского, д 63А</t>
        </is>
      </c>
      <c r="H41" s="4" t="n">
        <v>544000</v>
      </c>
      <c r="I41" s="4" t="n">
        <v>30909.09090909091</v>
      </c>
      <c r="J41" t="inlineStr">
        <is>
          <t>Нежилое помещение</t>
        </is>
      </c>
      <c r="K41" s="5" t="n">
        <v>11.96</v>
      </c>
      <c r="L41" s="4" t="n">
        <v>1287.88</v>
      </c>
      <c r="M41" t="n">
        <v>2584</v>
      </c>
      <c r="N41" s="6" t="n">
        <v>277111</v>
      </c>
      <c r="O41" t="n">
        <v>24</v>
      </c>
      <c r="P41" s="21" t="n">
        <v>0.2496968017044239</v>
      </c>
      <c r="Q41" t="inlineStr">
        <is>
          <t>EA</t>
        </is>
      </c>
      <c r="R41" t="inlineStr">
        <is>
          <t>М</t>
        </is>
      </c>
      <c r="S41" s="2">
        <f>HYPERLINK("https://yandex.ru/maps/?&amp;text=61.811063, 34.272246", "61.811063, 34.272246")</f>
        <v/>
      </c>
      <c r="T41" s="2">
        <f>HYPERLINK("D:\venv_torgi\env\cache\objs_in_district/61.811063_34.272246.json", "61.811063_34.272246.json")</f>
        <v/>
      </c>
      <c r="U41" t="inlineStr">
        <is>
          <t xml:space="preserve">10:01:0200127:747, </t>
        </is>
      </c>
      <c r="V41" s="7" t="inlineStr">
        <is>
          <t>1</t>
        </is>
      </c>
      <c r="W41" s="20" t="n">
        <v>38626.9920526822</v>
      </c>
      <c r="X41" s="22" t="n">
        <v>7717.901143591283</v>
      </c>
      <c r="Y41" t="n">
        <v>0</v>
      </c>
    </row>
    <row r="42">
      <c r="A42" s="8" t="n">
        <v>40</v>
      </c>
      <c r="B42" t="n">
        <v>10</v>
      </c>
      <c r="C42" s="1" t="n">
        <v>96.3</v>
      </c>
      <c r="D42" s="2">
        <f>HYPERLINK("https://torgi.gov.ru/new/public/lots/lot/22000069990000000003_1/(lotInfo:info)", "22000069990000000003_1")</f>
        <v/>
      </c>
      <c r="E42" t="inlineStr">
        <is>
          <t>Представляют собой обособленные нежилые помещения на 1м этаже здания в центре г.Сортавала.Характеристика Объекта: пол – деревянный (линолеум); стены – бетонные (частично обои, частично окрашено); потолок – бетонный (частично побелка, покраска, оклеено потолочными панелями из пенопласта); двери – деревянные внутренние, железная внешняя; электричество – имеется – открытая проводка, розетки, светильники; водоснабжение/водоотведение – есть санузел непосредственно в помещениях.</t>
        </is>
      </c>
      <c r="F42" s="3" t="inlineStr">
        <is>
          <t>08.09.22 21:00</t>
        </is>
      </c>
      <c r="G42" t="inlineStr">
        <is>
          <t>Респ Карелия, г Сортавала, ул Вяйнемяйнена, д 6</t>
        </is>
      </c>
      <c r="H42" s="4" t="n">
        <v>5000000</v>
      </c>
      <c r="I42" s="4" t="n">
        <v>51921.07995846314</v>
      </c>
      <c r="J42" t="inlineStr">
        <is>
          <t>Нежилое помещение</t>
        </is>
      </c>
      <c r="K42" s="5" t="n">
        <v>13.72</v>
      </c>
      <c r="L42" s="4" t="n">
        <v>558.29</v>
      </c>
      <c r="M42" t="n">
        <v>3784</v>
      </c>
      <c r="N42" s="6" t="n">
        <v>18762</v>
      </c>
      <c r="O42" t="n">
        <v>93</v>
      </c>
      <c r="Q42" t="inlineStr">
        <is>
          <t>EA</t>
        </is>
      </c>
      <c r="R42" t="inlineStr">
        <is>
          <t>М</t>
        </is>
      </c>
      <c r="S42" s="2">
        <f>HYPERLINK("https://yandex.ru/maps/?&amp;text=61.701971, 30.690618", "61.701971, 30.690618")</f>
        <v/>
      </c>
      <c r="T42" s="2">
        <f>HYPERLINK("D:\venv_torgi\env\cache\objs_in_district/61.701971_30.690618.json", "61.701971_30.690618.json")</f>
        <v/>
      </c>
      <c r="U42" t="inlineStr">
        <is>
          <t xml:space="preserve">10:07:0010121:280, </t>
        </is>
      </c>
      <c r="V42" s="7" t="inlineStr">
        <is>
          <t>1</t>
        </is>
      </c>
      <c r="W42" s="20" t="n">
        <v>26866.27840984939</v>
      </c>
      <c r="X42" s="23" t="n">
        <v>-25054.80154861374</v>
      </c>
      <c r="Y42" t="n">
        <v>0</v>
      </c>
    </row>
    <row r="43">
      <c r="A43" s="8" t="n">
        <v>41</v>
      </c>
      <c r="B43" t="n">
        <v>11</v>
      </c>
      <c r="C43" s="1" t="n">
        <v>567</v>
      </c>
      <c r="D43" s="2">
        <f>HYPERLINK("https://torgi.gov.ru/new/public/lots/lot/21000001360000000021_1/(lotInfo:info)", "21000001360000000021_1")</f>
        <v/>
      </c>
      <c r="E43" t="inlineStr">
        <is>
          <t>Часть здания профилактория по заявочному ремонту автобусов (Литер А) (номера помещений на поэтажном плане №1, 3, 4, 4а, 5, 6, 6а, 6б, 6в, 7, 7а, 11, 14-26), назначение: нежилое помещение, этаж №1, площадь 567 кв.м., адрес объекта: Республика Коми, г.Ухта, ул. Моторная, д. 1/9, кадастровый номер 11:20:0607002:858.</t>
        </is>
      </c>
      <c r="F43" s="3" t="inlineStr">
        <is>
          <t>24.09.22 14:00</t>
        </is>
      </c>
      <c r="G43" t="inlineStr">
        <is>
          <t>Респ Коми, г Ухта, ул Моторная, д 1/9</t>
        </is>
      </c>
      <c r="H43" s="4" t="n">
        <v>2448000</v>
      </c>
      <c r="I43" s="4" t="n">
        <v>4317.460317460317</v>
      </c>
      <c r="J43" t="inlineStr">
        <is>
          <t>Нежилое помещение</t>
        </is>
      </c>
      <c r="K43" s="5" t="n">
        <v>6.05</v>
      </c>
      <c r="L43" s="4" t="n">
        <v>1439</v>
      </c>
      <c r="M43" t="n">
        <v>714</v>
      </c>
      <c r="N43" s="6" t="n">
        <v>116904</v>
      </c>
      <c r="O43" t="n">
        <v>3</v>
      </c>
      <c r="P43" s="21" t="n">
        <v>0.04114957717780503</v>
      </c>
      <c r="Q43" t="inlineStr">
        <is>
          <t>PP</t>
        </is>
      </c>
      <c r="R43" t="inlineStr">
        <is>
          <t>М</t>
        </is>
      </c>
      <c r="S43" s="2">
        <f>HYPERLINK("https://yandex.ru/maps/?&amp;text=63.5450316, 53.749994", "63.5450316, 53.749994")</f>
        <v/>
      </c>
      <c r="T43" s="2">
        <f>HYPERLINK("D:\venv_torgi\env\cache\objs_in_district/63.5450316_53.749994.json", "63.5450316_53.749994.json")</f>
        <v/>
      </c>
      <c r="U43" t="inlineStr">
        <is>
          <t>11:20:0607002:858</t>
        </is>
      </c>
      <c r="V43" s="7" t="inlineStr">
        <is>
          <t>1</t>
        </is>
      </c>
      <c r="W43" s="20" t="n">
        <v>4495.121984005761</v>
      </c>
      <c r="X43" s="22" t="n">
        <v>177.6616665454439</v>
      </c>
      <c r="Y43" t="n">
        <v>0</v>
      </c>
    </row>
    <row r="44">
      <c r="A44" s="8" t="n">
        <v>42</v>
      </c>
      <c r="B44" t="n">
        <v>11</v>
      </c>
      <c r="C44" s="1" t="n">
        <v>1362.4</v>
      </c>
      <c r="D44" s="2">
        <f>HYPERLINK("https://torgi.gov.ru/new/public/lots/lot/22000078220000000046_15/(lotInfo:info)", "22000078220000000046_15")</f>
        <v/>
      </c>
      <c r="E44" t="inlineStr">
        <is>
          <t>80-03-22 Нежилое помещение площадью 1362,40 кв.м, расположенное по адресу: Республика Коми, г. Ухта, ул. Железнодорожная, 16а, кадастровый № 11:20:0606001:661. Вид права: собственность</t>
        </is>
      </c>
      <c r="F44" s="3" t="inlineStr">
        <is>
          <t>29.08.22 21:00</t>
        </is>
      </c>
      <c r="G44" t="inlineStr">
        <is>
          <t>Респ Коми, г Ухта, ул Железнодорожная, д 16А</t>
        </is>
      </c>
      <c r="H44" s="4" t="n">
        <v>6009600</v>
      </c>
      <c r="I44" s="4" t="n">
        <v>4411.039342337052</v>
      </c>
      <c r="J44" t="inlineStr">
        <is>
          <t>Нежилое помещение</t>
        </is>
      </c>
      <c r="K44" s="5" t="n">
        <v>2.65</v>
      </c>
      <c r="L44" s="4" t="n">
        <v>401</v>
      </c>
      <c r="M44" t="n">
        <v>1666</v>
      </c>
      <c r="N44" s="6" t="n">
        <v>116904</v>
      </c>
      <c r="O44" t="n">
        <v>11</v>
      </c>
      <c r="P44" s="21" t="n">
        <v>0.5290726543952561</v>
      </c>
      <c r="Q44" t="inlineStr">
        <is>
          <t>EA</t>
        </is>
      </c>
      <c r="R44" t="inlineStr">
        <is>
          <t>Д</t>
        </is>
      </c>
      <c r="S44" s="2">
        <f>HYPERLINK("https://yandex.ru/maps/?&amp;text=63.557551, 53.718769", "63.557551, 53.718769")</f>
        <v/>
      </c>
      <c r="T44" s="2">
        <f>HYPERLINK("D:\venv_torgi\env\cache\objs_in_district/63.557551_53.718769.json", "63.557551_53.718769.json")</f>
        <v/>
      </c>
      <c r="U44" t="inlineStr">
        <is>
          <t>11:20:0606001:661</t>
        </is>
      </c>
      <c r="W44" s="20" t="n">
        <v>6744.799635829221</v>
      </c>
      <c r="X44" s="22" t="n">
        <v>2333.760293492169</v>
      </c>
      <c r="Y44" t="n">
        <v>0</v>
      </c>
    </row>
    <row r="45">
      <c r="A45" s="8" t="n">
        <v>43</v>
      </c>
      <c r="B45" t="n">
        <v>11</v>
      </c>
      <c r="C45" s="1" t="n">
        <v>500.8</v>
      </c>
      <c r="D45" s="2">
        <f>HYPERLINK("https://torgi.gov.ru/new/public/lots/lot/22000078220000000048_12/(lotInfo:info)", "22000078220000000048_12")</f>
        <v/>
      </c>
      <c r="E45" t="inlineStr">
        <is>
          <t>3-04-22 Нежилое помещение (здание УПК) общей площадью 500,80 кв. м., расположенное по адресу: Республика Коми, г. Печора, ул. Гагарина, д. 53А, 2 этажа, кадастровый № 11:12:1701003:126. Вид права: собственность. – 2 475 700,00 руб.; Земельный участок, назначение: для обслуживания здания учебно-производственного корпуса, общей площадью 1230 кв. м. Местоположение установлено относительно ориентира, расположенного за пределами участка. Почтовый адрес ориентира: Республика Коми, г. Печора, ул. Гагарина, з/у 53А, кадастровый № 11:12:1701003:1016. – 275 800,00 руб.</t>
        </is>
      </c>
      <c r="F45" s="3" t="inlineStr">
        <is>
          <t>31.08.22 21:00</t>
        </is>
      </c>
      <c r="G45" t="inlineStr">
        <is>
          <t>Респ Коми, г Печора, ул Гагарина, д 53а</t>
        </is>
      </c>
      <c r="H45" s="4" t="n">
        <v>2338775</v>
      </c>
      <c r="I45" s="4" t="n">
        <v>4670.077875399361</v>
      </c>
      <c r="J45" t="inlineStr">
        <is>
          <t xml:space="preserve">здание УПК) </t>
        </is>
      </c>
      <c r="K45" s="5" t="n">
        <v>1.22</v>
      </c>
      <c r="L45" s="4" t="n">
        <v>65.77</v>
      </c>
      <c r="M45" t="n">
        <v>3816</v>
      </c>
      <c r="N45" s="6" t="n">
        <v>47969</v>
      </c>
      <c r="O45" t="n">
        <v>71</v>
      </c>
      <c r="P45" s="21" t="n">
        <v>0.6231620631415997</v>
      </c>
      <c r="Q45" t="inlineStr">
        <is>
          <t>EA</t>
        </is>
      </c>
      <c r="R45" t="inlineStr">
        <is>
          <t>Д</t>
        </is>
      </c>
      <c r="S45" s="2">
        <f>HYPERLINK("https://yandex.ru/maps/?&amp;text=65.12935, 57.15776", "65.12935, 57.15776")</f>
        <v/>
      </c>
      <c r="T45" s="2">
        <f>HYPERLINK("D:\venv_torgi\env\cache\objs_in_district/65.12935_57.15776.json", "65.12935_57.15776.json")</f>
        <v/>
      </c>
      <c r="U45" t="inlineStr">
        <is>
          <t>11:12:1701003:126</t>
        </is>
      </c>
      <c r="V45" s="7" t="inlineStr">
        <is>
          <t>2</t>
        </is>
      </c>
      <c r="W45" s="20" t="n">
        <v>7580.293239265166</v>
      </c>
      <c r="X45" s="22" t="n">
        <v>2910.215363865805</v>
      </c>
      <c r="Y45" t="n">
        <v>0</v>
      </c>
    </row>
    <row r="46">
      <c r="A46" s="8" t="n">
        <v>44</v>
      </c>
      <c r="B46" t="n">
        <v>11</v>
      </c>
      <c r="C46" s="1" t="n">
        <v>22.8</v>
      </c>
      <c r="D46" s="2">
        <f>HYPERLINK("https://torgi.gov.ru/new/public/lots/lot/22000078220000000052_2/(lotInfo:info)", "22000078220000000052_2")</f>
        <v/>
      </c>
      <c r="E46" t="inlineStr">
        <is>
          <t>2-13-22-1 Здание диспетчерской, назначение: нежилое, общей площадью 22,8 кв.м., расположенное по адресу: Республика Коми, Корткеросский район, п. Усть-Лэкчим, ул. Октябрьская, д. 2в, кадастровый номер 11:06:4301001:161, вид права: собственность. Согласно информации, представленной судебным приставом-исполнителем,  Сыктывкарское отделение Северного филиала АО «Ростехинвентаризация – Федеральное БТИ» не располагает сведениями на объект капитального строительства, передаваемого на реализацию. Земельный участок под объектом недвижимости находится в аренде</t>
        </is>
      </c>
      <c r="F46" s="3" t="inlineStr">
        <is>
          <t>29.09.22 21:00</t>
        </is>
      </c>
      <c r="G46" t="inlineStr">
        <is>
          <t>Респ Коми, Корткеросский р-н, поселок Усть-Лэкчим, ул Октябрьская, д 2в</t>
        </is>
      </c>
      <c r="H46" s="4" t="n">
        <v>150450</v>
      </c>
      <c r="I46" s="4" t="n">
        <v>6598.684210526316</v>
      </c>
      <c r="J46" t="inlineStr">
        <is>
          <t xml:space="preserve">Здание </t>
        </is>
      </c>
      <c r="K46" s="5" t="n">
        <v>44.58</v>
      </c>
      <c r="M46" t="n">
        <v>148</v>
      </c>
      <c r="N46" s="6" t="n">
        <v>787</v>
      </c>
      <c r="P46" s="21" t="n">
        <v>2.940165394054447</v>
      </c>
      <c r="Q46" t="inlineStr">
        <is>
          <t>EA</t>
        </is>
      </c>
      <c r="R46" t="inlineStr">
        <is>
          <t>Д</t>
        </is>
      </c>
      <c r="S46" s="2">
        <f>HYPERLINK("https://yandex.ru/maps/?&amp;text=61.780942, 51.702231", "61.780942, 51.702231")</f>
        <v/>
      </c>
      <c r="U46" t="inlineStr">
        <is>
          <t xml:space="preserve">11:06:4301001:161, </t>
        </is>
      </c>
      <c r="V46" s="7" t="inlineStr">
        <is>
          <t>1</t>
        </is>
      </c>
      <c r="W46" s="20" t="n">
        <v>25999.90717260928</v>
      </c>
      <c r="X46" s="22" t="n">
        <v>19401.22296208296</v>
      </c>
      <c r="Y46" t="n">
        <v>0</v>
      </c>
    </row>
    <row r="47">
      <c r="A47" s="8" t="n">
        <v>45</v>
      </c>
      <c r="B47" t="n">
        <v>11</v>
      </c>
      <c r="C47" s="1" t="n">
        <v>34.5</v>
      </c>
      <c r="D47" s="2">
        <f>HYPERLINK("https://torgi.gov.ru/new/public/lots/lot/22000078220000000052_3/(lotInfo:info)", "22000078220000000052_3")</f>
        <v/>
      </c>
      <c r="E47" t="inlineStr">
        <is>
          <t>2-13-22-2 Административно-бытовое здание, назначение: нежилое, общей площадью 34,5 кв.м., расположенное по адресу: Республика Коми, Корткеросский район, п. Усть-Лэкчим, ул. Октябрьская, д. 2/1, кадастровый номер 11:06:4301001:162, вид права: собственность. Согласно информации, представленной судебным приставом-исполнителем,  Сыктывкарское отделение Северного филиала АО «Ростехинвентаризация – Федеральное БТИ» не располагает сведениями на объект капитального строительства, передаваемого на реализацию. Земельный участок под объектом недвижимости находится в аренде</t>
        </is>
      </c>
      <c r="F47" s="3" t="inlineStr">
        <is>
          <t>29.09.22 21:00</t>
        </is>
      </c>
      <c r="G47" t="inlineStr">
        <is>
          <t>Респ Коми, Корткеросский р-н, поселок Усть-Лэкчим, ул Октябрьская, д 2/1</t>
        </is>
      </c>
      <c r="H47" s="4" t="n">
        <v>254150</v>
      </c>
      <c r="I47" s="4" t="n">
        <v>7366.666666666667</v>
      </c>
      <c r="J47" t="inlineStr">
        <is>
          <t xml:space="preserve">здание, </t>
        </is>
      </c>
      <c r="K47" s="5" t="n">
        <v>49.77</v>
      </c>
      <c r="M47" t="n">
        <v>148</v>
      </c>
      <c r="N47" s="6" t="n">
        <v>787</v>
      </c>
      <c r="P47" s="21" t="n">
        <v>2.529399163702617</v>
      </c>
      <c r="Q47" t="inlineStr">
        <is>
          <t>EA</t>
        </is>
      </c>
      <c r="R47" t="inlineStr">
        <is>
          <t>Д</t>
        </is>
      </c>
      <c r="S47" s="2">
        <f>HYPERLINK("https://yandex.ru/maps/?&amp;text=61.780942, 51.702231", "61.780942, 51.702231")</f>
        <v/>
      </c>
      <c r="U47" t="inlineStr">
        <is>
          <t xml:space="preserve">11:06:4301001:162, </t>
        </is>
      </c>
      <c r="V47" s="7" t="inlineStr">
        <is>
          <t>1</t>
        </is>
      </c>
      <c r="W47" s="20" t="n">
        <v>25999.90717260928</v>
      </c>
      <c r="X47" s="22" t="n">
        <v>18633.24050594261</v>
      </c>
      <c r="Y47" t="n">
        <v>0</v>
      </c>
    </row>
    <row r="48">
      <c r="A48" s="8" t="n">
        <v>46</v>
      </c>
      <c r="B48" t="n">
        <v>11</v>
      </c>
      <c r="C48" s="1" t="n">
        <v>242.9</v>
      </c>
      <c r="D48" s="2">
        <f>HYPERLINK("https://torgi.gov.ru/new/public/lots/lot/21000001360000000020_1/(lotInfo:info)", "21000001360000000020_1")</f>
        <v/>
      </c>
      <c r="E48" t="inlineStr">
        <is>
          <t>Бюджетно-страховая аптека №120, назначение: нежилое, площадь 242,9 кв.м, этаж №1, адрес объекта: Республика Коми, г.Ухта, п. Шудаяг, ул. Шахтинская, д.5а, кадастровый номер 11:20:0901001:3342</t>
        </is>
      </c>
      <c r="F48" s="3" t="inlineStr">
        <is>
          <t>24.09.22 14:00</t>
        </is>
      </c>
      <c r="G48" t="inlineStr">
        <is>
          <t>Респ Коми, г Ухта, пгт Шудаяг, ул Шахтинская, д 5а, помещ 1Н</t>
        </is>
      </c>
      <c r="H48" s="4" t="n">
        <v>2019000</v>
      </c>
      <c r="I48" s="4" t="n">
        <v>8312.062577192261</v>
      </c>
      <c r="J48" t="inlineStr">
        <is>
          <t>аптека</t>
        </is>
      </c>
      <c r="K48" s="5" t="n">
        <v>2.1</v>
      </c>
      <c r="L48" s="4" t="n">
        <v>554.13</v>
      </c>
      <c r="M48" t="n">
        <v>3966</v>
      </c>
      <c r="N48" s="6" t="n">
        <v>116904</v>
      </c>
      <c r="O48" t="n">
        <v>15</v>
      </c>
      <c r="P48" s="21" t="n">
        <v>1.042604909774883</v>
      </c>
      <c r="Q48" t="inlineStr">
        <is>
          <t>EA</t>
        </is>
      </c>
      <c r="R48" t="inlineStr">
        <is>
          <t>М</t>
        </is>
      </c>
      <c r="S48" s="2">
        <f>HYPERLINK("https://yandex.ru/maps/?&amp;text=63.52591, 53.6055558", "63.52591, 53.6055558")</f>
        <v/>
      </c>
      <c r="T48" s="2">
        <f>HYPERLINK("D:\venv_torgi\env\cache\objs_in_district/63.52591_53.6055558.json", "63.52591_53.6055558.json")</f>
        <v/>
      </c>
      <c r="U48" t="inlineStr">
        <is>
          <t>11:20:0901001:3342</t>
        </is>
      </c>
      <c r="V48" s="7" t="inlineStr">
        <is>
          <t>1</t>
        </is>
      </c>
      <c r="W48" s="20" t="n">
        <v>16978.25983052898</v>
      </c>
      <c r="X48" s="22" t="n">
        <v>8666.197253336715</v>
      </c>
      <c r="Y48" t="n">
        <v>0</v>
      </c>
    </row>
    <row r="49">
      <c r="A49" s="8" t="n">
        <v>47</v>
      </c>
      <c r="B49" t="n">
        <v>11</v>
      </c>
      <c r="C49" s="1" t="n">
        <v>306.9</v>
      </c>
      <c r="D49" s="2">
        <f>HYPERLINK("https://torgi.gov.ru/new/public/lots/lot/22000078220000000052_4/(lotInfo:info)", "22000078220000000052_4")</f>
        <v/>
      </c>
      <c r="E49" t="inlineStr">
        <is>
          <t>2-13-22-3 Здание навеса, назначение: нежилое, общей площадью 306,9 кв.м., расположенное по адресу: Республика Коми, Корткеросский район, п. Усть-Лэкчим, ул. Октябрьская, д. 2/2, кадастровый номер 11:06:4301001:212, вид права: собственность. Согласно информации, представленной судебным приставом-исполнителем,  Сыктывкарское отделение Северного филиала АО «Ростехинвентаризация – Федеральное БТИ» не располагает сведениями на объект капитального строительства, передаваемого на реализацию. Земельный участок под объектом недвижимости находится в аренде</t>
        </is>
      </c>
      <c r="F49" s="3" t="inlineStr">
        <is>
          <t>29.09.22 21:00</t>
        </is>
      </c>
      <c r="G49" t="inlineStr">
        <is>
          <t>Респ Коми, Корткеросский р-н, поселок Усть-Лэкчим, ул Октябрьская, д 2/2</t>
        </is>
      </c>
      <c r="H49" s="4" t="n">
        <v>2742950</v>
      </c>
      <c r="I49" s="4" t="n">
        <v>8937.601824698599</v>
      </c>
      <c r="J49" t="inlineStr">
        <is>
          <t xml:space="preserve">Здание </t>
        </is>
      </c>
      <c r="K49" s="5" t="n">
        <v>60.39</v>
      </c>
      <c r="M49" t="n">
        <v>148</v>
      </c>
      <c r="N49" s="6" t="n">
        <v>787</v>
      </c>
      <c r="Q49" t="inlineStr">
        <is>
          <t>EA</t>
        </is>
      </c>
      <c r="R49" t="inlineStr">
        <is>
          <t>Д</t>
        </is>
      </c>
      <c r="S49" s="2">
        <f>HYPERLINK("https://yandex.ru/maps/?&amp;text=61.780942, 51.702231", "61.780942, 51.702231")</f>
        <v/>
      </c>
      <c r="U49" t="inlineStr">
        <is>
          <t xml:space="preserve">11:06:4301001:212, </t>
        </is>
      </c>
      <c r="V49" s="7" t="inlineStr">
        <is>
          <t>1</t>
        </is>
      </c>
      <c r="W49" s="20" t="n">
        <v>4495.121984005761</v>
      </c>
      <c r="X49" s="23" t="n">
        <v>-4442.479840692838</v>
      </c>
      <c r="Y49" t="n">
        <v>0</v>
      </c>
    </row>
    <row r="50">
      <c r="A50" s="8" t="n">
        <v>48</v>
      </c>
      <c r="B50" t="n">
        <v>11</v>
      </c>
      <c r="C50" s="1" t="n">
        <v>92.3</v>
      </c>
      <c r="D50" s="2">
        <f>HYPERLINK("https://torgi.gov.ru/new/public/lots/lot/21000001360000000016_1/(lotInfo:info)", "21000001360000000016_1")</f>
        <v/>
      </c>
      <c r="E50" t="inlineStr">
        <is>
          <t>Помещение, назначение: нежилое, этаж № 1, площадь 92,3 кв.м., адрес объекта: Российская Федерация, Республика Коми, городской округ Ухта, г. Ухта, пгт. Ярега, ул. Строительная, д.1, пом. Н-III, кадастровый номер 11:20:1001002:8627</t>
        </is>
      </c>
      <c r="F50" s="3" t="inlineStr">
        <is>
          <t>10.09.22 14:00</t>
        </is>
      </c>
      <c r="G50" t="inlineStr">
        <is>
          <t>Респ Коми, г Ухта, пгт Ярега, ул Строительная, д 1</t>
        </is>
      </c>
      <c r="H50" s="4" t="n">
        <v>829406.3199999999</v>
      </c>
      <c r="I50" s="4" t="n">
        <v>8985.983965330444</v>
      </c>
      <c r="J50" t="inlineStr">
        <is>
          <t>Нежилое помещение</t>
        </is>
      </c>
      <c r="K50" s="5" t="n">
        <v>8.77</v>
      </c>
      <c r="L50" s="4" t="n">
        <v>998.33</v>
      </c>
      <c r="M50" t="n">
        <v>1025</v>
      </c>
      <c r="N50" s="6" t="n">
        <v>116904</v>
      </c>
      <c r="O50" t="n">
        <v>9</v>
      </c>
      <c r="P50" s="21" t="n">
        <v>0.8053186436244548</v>
      </c>
      <c r="Q50" t="inlineStr">
        <is>
          <t>PP</t>
        </is>
      </c>
      <c r="R50" t="inlineStr">
        <is>
          <t>М</t>
        </is>
      </c>
      <c r="S50" s="2">
        <f>HYPERLINK("https://yandex.ru/maps/?&amp;text=63.4354998, 53.5946849", "63.4354998, 53.5946849")</f>
        <v/>
      </c>
      <c r="T50" s="2">
        <f>HYPERLINK("D:\venv_torgi\env\cache\objs_in_district/63.4354998_53.5946849.json", "63.4354998_53.5946849.json")</f>
        <v/>
      </c>
      <c r="U50" t="inlineStr">
        <is>
          <t>11:20:1001002:8627</t>
        </is>
      </c>
      <c r="V50" s="7" t="inlineStr">
        <is>
          <t>1</t>
        </is>
      </c>
      <c r="W50" s="20" t="n">
        <v>16222.56438392146</v>
      </c>
      <c r="X50" s="22" t="n">
        <v>7236.580418591013</v>
      </c>
      <c r="Y50" t="n">
        <v>0</v>
      </c>
    </row>
    <row r="51">
      <c r="A51" s="8" t="n">
        <v>49</v>
      </c>
      <c r="B51" t="n">
        <v>11</v>
      </c>
      <c r="C51" s="1" t="n">
        <v>612.3</v>
      </c>
      <c r="D51" s="2">
        <f>HYPERLINK("https://torgi.gov.ru/new/public/lots/lot/22000078220000000046_20/(lotInfo:info)", "22000078220000000046_20")</f>
        <v/>
      </c>
      <c r="E51" t="inlineStr">
        <is>
          <t>15-22-22 Нежилое здание (здание конторы управления), назначение: нежилое, общей площадью 612,3 кв.м., расположенное по адресу: Республика Коми, Сысольский район, с. Визинга, ул. Советская, д. 13а, кадастровый номер 11:03:2001002:631, вид права: собственность. По информации, представленной судебным приставом-исполнителем, сведения о зарегистрированных правах на земельный участок под объектом недвижимости отсутствуют</t>
        </is>
      </c>
      <c r="F51" s="3" t="inlineStr">
        <is>
          <t>29.08.22 21:00</t>
        </is>
      </c>
      <c r="G51" t="inlineStr">
        <is>
          <t>Респ Коми, село Визинга, ул Советская, д 13А</t>
        </is>
      </c>
      <c r="H51" s="4" t="n">
        <v>5681800</v>
      </c>
      <c r="I51" s="4" t="n">
        <v>9279.438183896784</v>
      </c>
      <c r="J51" t="inlineStr">
        <is>
          <t>здание (</t>
        </is>
      </c>
      <c r="K51" s="5" t="n">
        <v>11.23</v>
      </c>
      <c r="L51" s="10" t="n"/>
      <c r="M51" t="n">
        <v>826</v>
      </c>
      <c r="N51" s="6" t="n">
        <v>6855</v>
      </c>
      <c r="O51" t="inlineStr">
        <is>
          <t>0</t>
        </is>
      </c>
      <c r="Q51" t="inlineStr">
        <is>
          <t>EA</t>
        </is>
      </c>
      <c r="R51" t="inlineStr">
        <is>
          <t>Д</t>
        </is>
      </c>
      <c r="S51" s="2">
        <f>HYPERLINK("https://yandex.ru/maps/?&amp;text=61.074398, 50.072506", "61.074398, 50.072506")</f>
        <v/>
      </c>
      <c r="T51" s="11">
        <f>HYPERLINK("D:\venv_torgi\env\cache\objs_in_district/61.074398_50.072506.json", "61.074398_50.072506.json")</f>
        <v/>
      </c>
      <c r="U51" t="inlineStr">
        <is>
          <t xml:space="preserve">11:03:2001002:631, </t>
        </is>
      </c>
      <c r="V51" s="7" t="inlineStr">
        <is>
          <t>1</t>
        </is>
      </c>
      <c r="W51" s="20" t="n">
        <v>4495.121984005761</v>
      </c>
      <c r="X51" s="23" t="n">
        <v>-4784.316199891023</v>
      </c>
      <c r="Y51" t="n">
        <v>0</v>
      </c>
    </row>
    <row r="52">
      <c r="A52" s="8" t="n">
        <v>50</v>
      </c>
      <c r="B52" t="n">
        <v>11</v>
      </c>
      <c r="C52" s="1" t="n">
        <v>112.5</v>
      </c>
      <c r="D52" s="2">
        <f>HYPERLINK("https://torgi.gov.ru/new/public/lots/lot/22000078220000000050_1/(lotInfo:info)", "22000078220000000050_1")</f>
        <v/>
      </c>
      <c r="E52" t="inlineStr">
        <is>
          <t>15-09-22 Здание, назначение: нежилое, общей площадью 112,5 кв.м., расположенное по адресу: Республика Коми, Сыктывдинский район, с. Ыб, м. Погост, д. 90. Здание деревянное, двухэтажное. Кадастровый номер 11:04:5201003:88, вид права: собственность. – 983 400,00 руб.; Земельный участок, назначение: для реконструкции магазина, общей площадью 885 кв.м., расположенный по адресу: Республика Коми, Сыктывдинский район, с. Ыб, м. Погост, д. 90, на земельном участке расположено нежилое здание магазина, кадастровый номер 11:04:5201003:20, вид права: собственность. – 451 800,00 руб.;</t>
        </is>
      </c>
      <c r="F52" s="3" t="inlineStr">
        <is>
          <t>17.09.22 21:00</t>
        </is>
      </c>
      <c r="G52" t="inlineStr">
        <is>
          <t>Респ Коми, Сыктывдинский р-н, село Ыб, местечко Погост, д 90</t>
        </is>
      </c>
      <c r="H52" s="4" t="n">
        <v>1435200</v>
      </c>
      <c r="I52" s="4" t="n">
        <v>12757.33333333333</v>
      </c>
      <c r="J52" t="inlineStr">
        <is>
          <t xml:space="preserve">Здание, </t>
        </is>
      </c>
      <c r="K52" s="9" t="n"/>
      <c r="M52" t="n">
        <v>0</v>
      </c>
      <c r="N52" s="6" t="n">
        <v>497</v>
      </c>
      <c r="P52" s="21" t="n">
        <v>0.2716265978199305</v>
      </c>
      <c r="Q52" t="inlineStr">
        <is>
          <t>EA</t>
        </is>
      </c>
      <c r="R52" t="inlineStr">
        <is>
          <t>Д</t>
        </is>
      </c>
      <c r="S52" s="2">
        <f>HYPERLINK("https://yandex.ru/maps/?&amp;text=61.962898, 50.483594", "61.962898, 50.483594")</f>
        <v/>
      </c>
      <c r="U52" t="inlineStr">
        <is>
          <t xml:space="preserve">11:04:5201003:88, </t>
        </is>
      </c>
      <c r="V52" s="7" t="inlineStr">
        <is>
          <t>1</t>
        </is>
      </c>
      <c r="W52" s="20" t="n">
        <v>16222.56438392146</v>
      </c>
      <c r="X52" s="22" t="n">
        <v>3465.231050588127</v>
      </c>
      <c r="Y52" t="n">
        <v>0</v>
      </c>
    </row>
    <row r="53">
      <c r="A53" s="8" t="n">
        <v>51</v>
      </c>
      <c r="B53" t="n">
        <v>11</v>
      </c>
      <c r="C53" s="1" t="n">
        <v>25.2</v>
      </c>
      <c r="D53" s="2">
        <f>HYPERLINK("https://torgi.gov.ru/new/public/lots/lot/22000078220000000050_5/(lotInfo:info)", "22000078220000000050_5")</f>
        <v/>
      </c>
      <c r="E53" t="inlineStr">
        <is>
          <t>82-03-22 Здание (садовый домик), назначение: нежилое, общей площадью 25,2 кв.м., расположенное по адресу: Республика Коми, г. Ухта, тер. Водненский СНТ Медик, д. 2/8 кадастровый номер 11:20:0202032:128, вид права: собственность. – 282 300,00 руб.; Земельный участок, назначение: для садоводства, общей площадью 755 кв.м., расположенный по адресу: Республика Коми, г. Ухта, тер. Водненский СНТ Медик, 2/8 кадастровый номер 11:20:0202032:19, вид права: собственность. – 69 400,00 руб.,</t>
        </is>
      </c>
      <c r="F53" s="3" t="inlineStr">
        <is>
          <t>17.09.22 21:00</t>
        </is>
      </c>
      <c r="G53" t="inlineStr">
        <is>
          <t>Республика Коми, г. Ухта, тер. Водненский СНТ Медик, д. 2/8</t>
        </is>
      </c>
      <c r="H53" s="4" t="n">
        <v>351700</v>
      </c>
      <c r="I53" s="4" t="n">
        <v>13956.34920634921</v>
      </c>
      <c r="J53" t="inlineStr">
        <is>
          <t>Здание (</t>
        </is>
      </c>
      <c r="Q53" t="inlineStr">
        <is>
          <t>EA</t>
        </is>
      </c>
      <c r="R53" t="inlineStr">
        <is>
          <t>Д</t>
        </is>
      </c>
      <c r="U53" t="inlineStr">
        <is>
          <t xml:space="preserve">11:20:0202032:128, </t>
        </is>
      </c>
      <c r="V53" s="7" t="inlineStr">
        <is>
          <t>1</t>
        </is>
      </c>
      <c r="Y53" t="n">
        <v>0</v>
      </c>
    </row>
    <row r="54">
      <c r="A54" s="8" t="n">
        <v>52</v>
      </c>
      <c r="B54" t="n">
        <v>11</v>
      </c>
      <c r="C54" s="1" t="n">
        <v>17.2</v>
      </c>
      <c r="D54" s="2">
        <f>HYPERLINK("https://torgi.gov.ru/new/public/lots/lot/22000059010000000013_1/(lotInfo:info)", "22000059010000000013_1")</f>
        <v/>
      </c>
      <c r="E54" t="inlineStr">
        <is>
          <t>Общая площадь 17,2 кв.м., кадастровый номер 11:15:0102017:2699</t>
        </is>
      </c>
      <c r="F54" s="3" t="inlineStr">
        <is>
          <t>13.09.22 21:00</t>
        </is>
      </c>
      <c r="G54" t="inlineStr">
        <is>
          <t>Респ Коми, г Усинск, ул 60 лет Октября, д 6/1</t>
        </is>
      </c>
      <c r="H54" s="4" t="n">
        <v>401300</v>
      </c>
      <c r="I54" s="4" t="n">
        <v>23331.39534883721</v>
      </c>
      <c r="J54" t="inlineStr">
        <is>
          <t>Нежилое помещение</t>
        </is>
      </c>
      <c r="K54" s="5" t="n">
        <v>29.42</v>
      </c>
      <c r="M54" t="n">
        <v>793</v>
      </c>
      <c r="N54" s="6" t="n">
        <v>43147</v>
      </c>
      <c r="P54" s="21" t="n">
        <v>0.655580023189967</v>
      </c>
      <c r="Q54" t="inlineStr">
        <is>
          <t>EA</t>
        </is>
      </c>
      <c r="R54" t="inlineStr">
        <is>
          <t>М</t>
        </is>
      </c>
      <c r="S54" s="2">
        <f>HYPERLINK("https://yandex.ru/maps/?&amp;text=65.987675, 57.559669", "65.987675, 57.559669")</f>
        <v/>
      </c>
      <c r="U54" t="inlineStr">
        <is>
          <t>11:15:0102017:2699</t>
        </is>
      </c>
      <c r="W54" s="20" t="n">
        <v>38626.9920526822</v>
      </c>
      <c r="X54" s="22" t="n">
        <v>15295.59670384499</v>
      </c>
      <c r="Y54" t="n">
        <v>0</v>
      </c>
    </row>
    <row r="55">
      <c r="A55" s="8" t="n">
        <v>53</v>
      </c>
      <c r="B55" t="n">
        <v>11</v>
      </c>
      <c r="C55" s="1" t="n">
        <v>70</v>
      </c>
      <c r="D55" s="2">
        <f>HYPERLINK("https://torgi.gov.ru/new/public/lots/lot/22000078220000000046_3/(lotInfo:info)", "22000078220000000046_3")</f>
        <v/>
      </c>
      <c r="E55" t="inlineStr">
        <is>
          <t>99-03-22 Нежилое помещение – магазин «Озан», назначение: нежилое, общей площадью 70 кв.м., расположенное по адресу: Республика Коми, г. Ухта, пр-кт Ленина, д. 41, пом. 1.012, кадастровый номер 11:20:0602005:5960, вид права: собственность</t>
        </is>
      </c>
      <c r="F55" s="3" t="inlineStr">
        <is>
          <t>29.08.22 21:00</t>
        </is>
      </c>
      <c r="G55" t="inlineStr">
        <is>
          <t>Респ Коми, г Ухта, пр-кт Ленина, д 41</t>
        </is>
      </c>
      <c r="H55" s="4" t="n">
        <v>2701000</v>
      </c>
      <c r="I55" s="4" t="n">
        <v>38585.71428571428</v>
      </c>
      <c r="J55" t="inlineStr">
        <is>
          <t>магазин</t>
        </is>
      </c>
      <c r="K55" s="5" t="n">
        <v>11.67</v>
      </c>
      <c r="L55" s="4" t="n">
        <v>1071.81</v>
      </c>
      <c r="M55" t="n">
        <v>3306</v>
      </c>
      <c r="N55" s="6" t="n">
        <v>116904</v>
      </c>
      <c r="O55" t="n">
        <v>36</v>
      </c>
      <c r="Q55" t="inlineStr">
        <is>
          <t>EA</t>
        </is>
      </c>
      <c r="R55" t="inlineStr">
        <is>
          <t>Д</t>
        </is>
      </c>
      <c r="S55" s="2">
        <f>HYPERLINK("https://yandex.ru/maps/?&amp;text=63.56769, 53.660683", "63.56769, 53.660683")</f>
        <v/>
      </c>
      <c r="T55" s="2">
        <f>HYPERLINK("D:\venv_torgi\env\cache\objs_in_district/63.56769_53.660683.json", "63.56769_53.660683.json")</f>
        <v/>
      </c>
      <c r="U55" t="inlineStr">
        <is>
          <t xml:space="preserve">11:20:0602005:5960, </t>
        </is>
      </c>
      <c r="W55" s="20" t="n">
        <v>26866.27840984939</v>
      </c>
      <c r="X55" s="23" t="n">
        <v>-11719.43587586489</v>
      </c>
      <c r="Y55" t="n">
        <v>0</v>
      </c>
    </row>
    <row r="56">
      <c r="A56" s="8" t="n">
        <v>54</v>
      </c>
      <c r="B56" t="n">
        <v>13</v>
      </c>
      <c r="C56" s="1" t="n">
        <v>408.3</v>
      </c>
      <c r="D56" s="2">
        <f>HYPERLINK("https://torgi.gov.ru/new/public/lots/lot/22000086100000000029_6/(lotInfo:info)", "22000086100000000029_6")</f>
        <v/>
      </c>
      <c r="E56" t="inlineStr">
        <is>
          <t>Объект незавершённого строительства (здания компрессорной) общей площадью 408,30 кв.м., кад. № 13:12:0136001:139, принадлежащее должнику  ОАО «Ковылкинский завод строительных материалов», ИНН 1323121621. Общий процент готовности 83%.</t>
        </is>
      </c>
      <c r="F56" s="3" t="inlineStr">
        <is>
          <t>19.09.22 12:00</t>
        </is>
      </c>
      <c r="G56" t="inlineStr">
        <is>
          <t>Респ Мордовия, Ковылкинский р-н, поселок Силикатный</t>
        </is>
      </c>
      <c r="H56" s="4" t="n">
        <v>500000</v>
      </c>
      <c r="I56" s="4" t="n">
        <v>1224.589762429586</v>
      </c>
      <c r="J56" t="inlineStr">
        <is>
          <t>Нежилое помещение</t>
        </is>
      </c>
      <c r="K56" s="5" t="n">
        <v>9.49</v>
      </c>
      <c r="L56" s="10" t="n"/>
      <c r="M56" t="n">
        <v>129</v>
      </c>
      <c r="N56" s="6" t="n">
        <v>1010</v>
      </c>
      <c r="O56" t="inlineStr">
        <is>
          <t>0</t>
        </is>
      </c>
      <c r="P56" s="21" t="n">
        <v>2.670716612139105</v>
      </c>
      <c r="Q56" t="inlineStr">
        <is>
          <t>EA</t>
        </is>
      </c>
      <c r="R56" t="inlineStr">
        <is>
          <t>Д</t>
        </is>
      </c>
      <c r="S56" s="2">
        <f>HYPERLINK("https://yandex.ru/maps/?&amp;text=54.109047, 43.892844", "54.109047, 43.892844")</f>
        <v/>
      </c>
      <c r="T56" s="11">
        <f>HYPERLINK("D:\venv_torgi\env\cache\objs_in_district/54.109047_43.892844.json", "54.109047_43.892844.json")</f>
        <v/>
      </c>
      <c r="U56" t="inlineStr">
        <is>
          <t xml:space="preserve">13:12:0136001:139, </t>
        </is>
      </c>
      <c r="W56" s="20" t="n">
        <v>4495.121984005761</v>
      </c>
      <c r="X56" s="22" t="n">
        <v>3270.532221576175</v>
      </c>
      <c r="Y56" t="n">
        <v>0</v>
      </c>
    </row>
    <row r="57">
      <c r="A57" s="8" t="n">
        <v>55</v>
      </c>
      <c r="B57" t="n">
        <v>13</v>
      </c>
      <c r="C57" s="1" t="n">
        <v>72</v>
      </c>
      <c r="D57" s="2">
        <f>HYPERLINK("https://torgi.gov.ru/new/public/lots/lot/22000086100000000029_9/(lotInfo:info)", "22000086100000000029_9")</f>
        <v/>
      </c>
      <c r="E57" t="inlineStr">
        <is>
          <t>Объект незавершённого строительства (здание склада цемента) общей площадью 72,00 кв.м., кад. № 13:12:0136001:722, принадлежащее должнику  ОАО «Ковылкинский завод строительных материалов», ИНН 1323121621. Общий процент готовности 89%.</t>
        </is>
      </c>
      <c r="F57" s="3" t="inlineStr">
        <is>
          <t>19.09.22 12:00</t>
        </is>
      </c>
      <c r="G57" t="inlineStr">
        <is>
          <t>Респ Мордовия, Ковылкинский р-н, поселок Силикатный</t>
        </is>
      </c>
      <c r="H57" s="4" t="n">
        <v>292000</v>
      </c>
      <c r="I57" s="4" t="n">
        <v>4055.555555555556</v>
      </c>
      <c r="J57" t="inlineStr">
        <is>
          <t xml:space="preserve">здание </t>
        </is>
      </c>
      <c r="K57" s="5" t="n">
        <v>31.43</v>
      </c>
      <c r="L57" s="10" t="n"/>
      <c r="M57" t="n">
        <v>129</v>
      </c>
      <c r="N57" s="6" t="n">
        <v>1010</v>
      </c>
      <c r="O57" t="inlineStr">
        <is>
          <t>0</t>
        </is>
      </c>
      <c r="P57" s="21" t="n">
        <v>3.000084368638167</v>
      </c>
      <c r="Q57" t="inlineStr">
        <is>
          <t>EA</t>
        </is>
      </c>
      <c r="R57" t="inlineStr">
        <is>
          <t>Д</t>
        </is>
      </c>
      <c r="S57" s="2">
        <f>HYPERLINK("https://yandex.ru/maps/?&amp;text=54.109047, 43.892844", "54.109047, 43.892844")</f>
        <v/>
      </c>
      <c r="T57" s="11">
        <f>HYPERLINK("D:\venv_torgi\env\cache\objs_in_district/54.109047_43.892844.json", "54.109047_43.892844.json")</f>
        <v/>
      </c>
      <c r="U57" t="inlineStr">
        <is>
          <t xml:space="preserve">13:12:0136001:722, </t>
        </is>
      </c>
      <c r="W57" s="20" t="n">
        <v>16222.56438392146</v>
      </c>
      <c r="X57" s="22" t="n">
        <v>12167.0088283659</v>
      </c>
      <c r="Y57" t="n">
        <v>0</v>
      </c>
    </row>
    <row r="58">
      <c r="A58" s="8" t="n">
        <v>56</v>
      </c>
      <c r="B58" t="n">
        <v>13</v>
      </c>
      <c r="C58" s="1" t="n">
        <v>71</v>
      </c>
      <c r="D58" s="2">
        <f>HYPERLINK("https://torgi.gov.ru/new/public/lots/lot/22000086100000000029_10/(lotInfo:info)", "22000086100000000029_10")</f>
        <v/>
      </c>
      <c r="E58" t="inlineStr">
        <is>
          <t>Объект незавершённого строительства (здание административно-бытового корпуса) общей площадью 71,00 кв.м., кад № 13:12:0136001:719, принадлежащее должнику  ОАО «Ковылкинский завод строительных материалов», ИНН 1323121621. Общий процент готовности 71%.</t>
        </is>
      </c>
      <c r="F58" s="3" t="inlineStr">
        <is>
          <t>19.09.22 12:00</t>
        </is>
      </c>
      <c r="G58" t="inlineStr">
        <is>
          <t>Респ Мордовия, Ковылкинский р-н, поселок Силикатный</t>
        </is>
      </c>
      <c r="H58" s="4" t="n">
        <v>552000</v>
      </c>
      <c r="I58" s="4" t="n">
        <v>7774.647887323944</v>
      </c>
      <c r="J58" t="inlineStr">
        <is>
          <t xml:space="preserve">здание </t>
        </is>
      </c>
      <c r="K58" s="5" t="n">
        <v>60.26</v>
      </c>
      <c r="L58" s="10" t="n"/>
      <c r="M58" t="n">
        <v>129</v>
      </c>
      <c r="N58" s="6" t="n">
        <v>1010</v>
      </c>
      <c r="O58" t="inlineStr">
        <is>
          <t>0</t>
        </is>
      </c>
      <c r="P58" s="21" t="n">
        <v>1.086597955178303</v>
      </c>
      <c r="Q58" t="inlineStr">
        <is>
          <t>EA</t>
        </is>
      </c>
      <c r="R58" t="inlineStr">
        <is>
          <t>Д</t>
        </is>
      </c>
      <c r="S58" s="2">
        <f>HYPERLINK("https://yandex.ru/maps/?&amp;text=54.109047, 43.892844", "54.109047, 43.892844")</f>
        <v/>
      </c>
      <c r="T58" s="11">
        <f>HYPERLINK("D:\venv_torgi\env\cache\objs_in_district/54.109047_43.892844.json", "54.109047_43.892844.json")</f>
        <v/>
      </c>
      <c r="U58" t="inlineStr">
        <is>
          <t>13:12:0136001:719</t>
        </is>
      </c>
      <c r="W58" s="20" t="n">
        <v>16222.56438392146</v>
      </c>
      <c r="X58" s="22" t="n">
        <v>8447.916496597514</v>
      </c>
      <c r="Y58" t="n">
        <v>0</v>
      </c>
    </row>
    <row r="59">
      <c r="A59" s="8" t="n">
        <v>57</v>
      </c>
      <c r="B59" t="n">
        <v>13</v>
      </c>
      <c r="C59" s="1" t="n">
        <v>173.6</v>
      </c>
      <c r="D59" s="2">
        <f>HYPERLINK("https://torgi.gov.ru/new/public/lots/lot/22000059440000000028_4/(lotInfo:info)", "22000059440000000028_4")</f>
        <v/>
      </c>
      <c r="E59" t="inlineStr">
        <is>
          <t>. Краткая характеристика помещения: год постройки – 1986. Площадь – 173,6 кв.м., этаж 1. Фундамент – железобетонные блоки, перекрытие железобетонные плиты, стены – кирпичные, полы – линолеум, двери – входная ПВХ, окна ПВХ, внутренняя отделка – окраска, побелка, панели ПВХ. В помещении имеется электроосвещение, центральное отопление, водопровод, канализация.</t>
        </is>
      </c>
      <c r="F59" s="3" t="inlineStr">
        <is>
          <t>31.08.22 12:00</t>
        </is>
      </c>
      <c r="G59" t="inlineStr">
        <is>
          <t>г Саранск, ул Ульянова, д 18А</t>
        </is>
      </c>
      <c r="H59" s="4" t="n">
        <v>2804000</v>
      </c>
      <c r="I59" s="4" t="n">
        <v>16152.07373271889</v>
      </c>
      <c r="J59" t="inlineStr">
        <is>
          <t>Нежилое помещение</t>
        </is>
      </c>
      <c r="K59" s="5" t="n">
        <v>3.73</v>
      </c>
      <c r="L59" s="4" t="n">
        <v>807.6</v>
      </c>
      <c r="M59" t="n">
        <v>4332</v>
      </c>
      <c r="N59" s="6" t="n">
        <v>347657</v>
      </c>
      <c r="O59" t="n">
        <v>20</v>
      </c>
      <c r="P59" s="21" t="n">
        <v>0.05115046596998243</v>
      </c>
      <c r="Q59" t="inlineStr">
        <is>
          <t>EA</t>
        </is>
      </c>
      <c r="R59" t="inlineStr">
        <is>
          <t>М</t>
        </is>
      </c>
      <c r="S59" s="2">
        <f>HYPERLINK("https://yandex.ru/maps/?&amp;text=54.161995, 45.15245", "54.161995, 45.15245")</f>
        <v/>
      </c>
      <c r="T59" s="2">
        <f>HYPERLINK("D:\venv_torgi\env\cache\objs_in_district/54.161995_45.15245.json", "54.161995_45.15245.json")</f>
        <v/>
      </c>
      <c r="V59" s="7" t="inlineStr">
        <is>
          <t>1</t>
        </is>
      </c>
      <c r="W59" s="20" t="n">
        <v>16978.25983052898</v>
      </c>
      <c r="X59" s="22" t="n">
        <v>826.1860978100849</v>
      </c>
      <c r="Y59" t="n">
        <v>0</v>
      </c>
    </row>
    <row r="60">
      <c r="A60" s="8" t="n">
        <v>58</v>
      </c>
      <c r="B60" t="n">
        <v>13</v>
      </c>
      <c r="C60" s="1" t="n">
        <v>25</v>
      </c>
      <c r="D60" s="2">
        <f>HYPERLINK("https://torgi.gov.ru/new/public/lots/lot/22000086100000000029_7/(lotInfo:info)", "22000086100000000029_7")</f>
        <v/>
      </c>
      <c r="E60" t="inlineStr">
        <is>
          <t>Объект незавершённого строительства (здание склада алюминиевой пудры) общей площадью 25,00 кв.м., кад. № 13:12:0136001:720, принадлежащее должнику  ОАО «Ковылкинский завод строительных материалов», ИНН 1323121621. Общий процент готовности 30 %.</t>
        </is>
      </c>
      <c r="F60" s="3" t="inlineStr">
        <is>
          <t>19.09.22 12:00</t>
        </is>
      </c>
      <c r="G60" t="inlineStr">
        <is>
          <t>Респ Мордовия, Ковылкинский р-н, поселок Силикатный</t>
        </is>
      </c>
      <c r="H60" s="4" t="n">
        <v>542000</v>
      </c>
      <c r="I60" s="4" t="n">
        <v>21680</v>
      </c>
      <c r="J60" t="inlineStr">
        <is>
          <t xml:space="preserve">здание </t>
        </is>
      </c>
      <c r="K60" s="5" t="n">
        <v>168.06</v>
      </c>
      <c r="L60" s="10" t="n"/>
      <c r="M60" t="n">
        <v>129</v>
      </c>
      <c r="N60" s="6" t="n">
        <v>1010</v>
      </c>
      <c r="O60" t="inlineStr">
        <is>
          <t>0</t>
        </is>
      </c>
      <c r="P60" s="21" t="n">
        <v>0.1992577109137122</v>
      </c>
      <c r="Q60" t="inlineStr">
        <is>
          <t>EA</t>
        </is>
      </c>
      <c r="R60" t="inlineStr">
        <is>
          <t>Д</t>
        </is>
      </c>
      <c r="S60" s="2">
        <f>HYPERLINK("https://yandex.ru/maps/?&amp;text=54.109047, 43.892844", "54.109047, 43.892844")</f>
        <v/>
      </c>
      <c r="T60" s="11">
        <f>HYPERLINK("D:\venv_torgi\env\cache\objs_in_district/54.109047_43.892844.json", "54.109047_43.892844.json")</f>
        <v/>
      </c>
      <c r="U60" t="inlineStr">
        <is>
          <t xml:space="preserve">13:12:0136001:720, </t>
        </is>
      </c>
      <c r="W60" s="20" t="n">
        <v>25999.90717260928</v>
      </c>
      <c r="X60" s="22" t="n">
        <v>4319.907172609281</v>
      </c>
      <c r="Y60" t="n">
        <v>0</v>
      </c>
    </row>
    <row r="61">
      <c r="A61" s="8" t="n">
        <v>59</v>
      </c>
      <c r="B61" t="n">
        <v>13</v>
      </c>
      <c r="C61" s="1" t="n">
        <v>137.3</v>
      </c>
      <c r="D61" s="2">
        <f>HYPERLINK("https://torgi.gov.ru/new/public/lots/lot/22000059440000000028_7/(lotInfo:info)", "22000059440000000028_7")</f>
        <v/>
      </c>
      <c r="E61" t="inlineStr">
        <is>
          <t>Краткая характеристика помещения: год постройки – 1964. Площадь – 137,3 кв.м., этаж 1. Фундамент – бутовый ленточный, перекрытие – железобетонные, наружные стены – кирпичные, полы – дощатые, окрашенные, двери – простые, окна – двойные створчатые, внутренняя отделка: штукатурка, оклейка, наружная отделка: облицовочный кирпич. В помещении имеется электроосвещение, центральное отопление, водопровод, канализация.</t>
        </is>
      </c>
      <c r="F61" s="3" t="inlineStr">
        <is>
          <t>31.08.22 12:00</t>
        </is>
      </c>
      <c r="G61" t="inlineStr">
        <is>
          <t>г Саранск, ул Вакеева, д 5</t>
        </is>
      </c>
      <c r="H61" s="4" t="n">
        <v>3176000</v>
      </c>
      <c r="I61" s="4" t="n">
        <v>23131.82811361981</v>
      </c>
      <c r="J61" t="inlineStr">
        <is>
          <t>Нежилое помещение</t>
        </is>
      </c>
      <c r="K61" s="5" t="n">
        <v>5.48</v>
      </c>
      <c r="L61" s="4" t="n">
        <v>2891.38</v>
      </c>
      <c r="M61" t="n">
        <v>4218</v>
      </c>
      <c r="N61" s="6" t="n">
        <v>347657</v>
      </c>
      <c r="O61" t="n">
        <v>8</v>
      </c>
      <c r="P61" s="21" t="n">
        <v>0.1614420735744087</v>
      </c>
      <c r="Q61" t="inlineStr">
        <is>
          <t>EA</t>
        </is>
      </c>
      <c r="R61" t="inlineStr">
        <is>
          <t>М</t>
        </is>
      </c>
      <c r="S61" s="2">
        <f>HYPERLINK("https://yandex.ru/maps/?&amp;text=54.214067, 45.194763", "54.214067, 45.194763")</f>
        <v/>
      </c>
      <c r="T61" s="2">
        <f>HYPERLINK("D:\venv_torgi\env\cache\objs_in_district/54.214067_45.194763.json", "54.214067_45.194763.json")</f>
        <v/>
      </c>
      <c r="V61" s="7" t="inlineStr">
        <is>
          <t>1</t>
        </is>
      </c>
      <c r="W61" s="20" t="n">
        <v>26866.27840984939</v>
      </c>
      <c r="X61" s="22" t="n">
        <v>3734.450296229585</v>
      </c>
      <c r="Y61" t="n">
        <v>0</v>
      </c>
    </row>
    <row r="62">
      <c r="A62" s="8" t="n">
        <v>60</v>
      </c>
      <c r="B62" t="n">
        <v>13</v>
      </c>
      <c r="C62" s="1" t="n">
        <v>126.5</v>
      </c>
      <c r="D62" s="2">
        <f>HYPERLINK("https://torgi.gov.ru/new/public/lots/lot/22000059440000000028_3/(lotInfo:info)", "22000059440000000028_3")</f>
        <v/>
      </c>
      <c r="E62" t="inlineStr">
        <is>
          <t>Краткая характеристика помещения: год постройки – 1980. Площадь – 126,5 кв.м., этаж 2. Фундамент – железобетонные блоки, перекрытие – железобетонное, наружные стены – конструкции сборного железобетона, крыша - мягкая кровля, полы – линолеум, дверь – простая металлическая, наружная отделка: штукатурка, побелка. В помещении имеется электроосвещение, центральное отопление, водопровод, канализация</t>
        </is>
      </c>
      <c r="F62" s="3" t="inlineStr">
        <is>
          <t>31.08.22 12:00</t>
        </is>
      </c>
      <c r="G62" t="inlineStr">
        <is>
          <t>г Саранск, ул Косарева, д 19</t>
        </is>
      </c>
      <c r="H62" s="4" t="n">
        <v>3023000</v>
      </c>
      <c r="I62" s="4" t="n">
        <v>23897.23320158103</v>
      </c>
      <c r="J62" t="inlineStr">
        <is>
          <t>Нежилое помещение</t>
        </is>
      </c>
      <c r="K62" s="5" t="n">
        <v>3</v>
      </c>
      <c r="L62" s="4" t="n">
        <v>362.08</v>
      </c>
      <c r="M62" t="n">
        <v>7975</v>
      </c>
      <c r="N62" s="6" t="n">
        <v>347657</v>
      </c>
      <c r="O62" t="n">
        <v>66</v>
      </c>
      <c r="P62" s="21" t="n">
        <v>0.1242422159596255</v>
      </c>
      <c r="Q62" t="inlineStr">
        <is>
          <t>EA</t>
        </is>
      </c>
      <c r="R62" t="inlineStr">
        <is>
          <t>М</t>
        </is>
      </c>
      <c r="S62" s="2">
        <f>HYPERLINK("https://yandex.ru/maps/?&amp;text=54.196462, 45.240514", "54.196462, 45.240514")</f>
        <v/>
      </c>
      <c r="T62" s="2">
        <f>HYPERLINK("D:\venv_torgi\env\cache\objs_in_district/54.196462_45.240514.json", "54.196462_45.240514.json")</f>
        <v/>
      </c>
      <c r="V62" s="7" t="inlineStr">
        <is>
          <t>2</t>
        </is>
      </c>
      <c r="W62" s="20" t="n">
        <v>26866.27840984939</v>
      </c>
      <c r="X62" s="22" t="n">
        <v>2969.045208268362</v>
      </c>
      <c r="Y62" t="n">
        <v>0</v>
      </c>
    </row>
    <row r="63">
      <c r="A63" s="8" t="n">
        <v>61</v>
      </c>
      <c r="B63" t="n">
        <v>13</v>
      </c>
      <c r="C63" s="1" t="n">
        <v>36.4</v>
      </c>
      <c r="D63" s="2">
        <f>HYPERLINK("https://torgi.gov.ru/new/public/lots/lot/22000086100000000026_2/(lotInfo:info)", "22000086100000000026_2")</f>
        <v/>
      </c>
      <c r="E63" t="inlineStr">
        <is>
          <t>нежилое помещение общей площадью 36,40 кв.м., кад. № 13:22:0115010:1189,  принадлежащее должнику Якшамкину Е.А. Сведениями о размере задолженности по коммунальным и иным платежам организатор торгов не располагает.</t>
        </is>
      </c>
      <c r="F63" s="3" t="inlineStr">
        <is>
          <t>04.09.22 21:00</t>
        </is>
      </c>
      <c r="G63" t="inlineStr">
        <is>
          <t>Чамзинский р-н, р.п. Комсомольский, ул. Микрорайон-2,  д. 31</t>
        </is>
      </c>
      <c r="H63" s="4" t="n">
        <v>873800</v>
      </c>
      <c r="I63" s="4" t="n">
        <v>24005.49450549451</v>
      </c>
      <c r="J63" t="inlineStr">
        <is>
          <t>Нежилое помещение</t>
        </is>
      </c>
      <c r="K63" s="5" t="n">
        <v>6.75</v>
      </c>
      <c r="L63" s="4" t="n">
        <v>1043.7</v>
      </c>
      <c r="M63" t="n">
        <v>3558</v>
      </c>
      <c r="N63" s="6" t="n">
        <v>12525</v>
      </c>
      <c r="O63" t="n">
        <v>23</v>
      </c>
      <c r="P63" s="21" t="n">
        <v>0.1191720463704713</v>
      </c>
      <c r="Q63" t="inlineStr">
        <is>
          <t>EA</t>
        </is>
      </c>
      <c r="R63" t="inlineStr">
        <is>
          <t>Д</t>
        </is>
      </c>
      <c r="S63" s="2">
        <f>HYPERLINK("https://yandex.ru/maps/?&amp;text=54.432972, 45.812948", "54.432972, 45.812948")</f>
        <v/>
      </c>
      <c r="T63" s="2">
        <f>HYPERLINK("D:\venv_torgi\env\cache\objs_in_district/54.432972_45.812948.json", "54.432972_45.812948.json")</f>
        <v/>
      </c>
      <c r="U63" t="inlineStr">
        <is>
          <t xml:space="preserve">13:22:0115010:1189,  </t>
        </is>
      </c>
      <c r="W63" s="20" t="n">
        <v>26866.27840984939</v>
      </c>
      <c r="X63" s="22" t="n">
        <v>2860.783904354885</v>
      </c>
      <c r="Y63" t="n">
        <v>0</v>
      </c>
    </row>
    <row r="64">
      <c r="A64" s="8" t="n">
        <v>62</v>
      </c>
      <c r="B64" t="n">
        <v>13</v>
      </c>
      <c r="C64" s="1" t="n">
        <v>23</v>
      </c>
      <c r="D64" s="2">
        <f>HYPERLINK("https://torgi.gov.ru/new/public/lots/lot/22000059440000000028_6/(lotInfo:info)", "22000059440000000028_6")</f>
        <v/>
      </c>
      <c r="E64" t="inlineStr">
        <is>
          <t>Краткая характеристика помещений: год постройки  - 1990 г. Площадь – 12,3 кв.м, и 10,7 кв.м, этаж 1. Фундамент – железобетонный ленточный, наружные стены – кирпичные, перекрытие – железобетонные плиты, полы – линолеум, окна – ПВХ стеклопакет, двери – простая, металлическая, внутренняя отделка – оклейка обоями, панели ПВХ. В помещении имеется центральное отопление, электроосвещение.</t>
        </is>
      </c>
      <c r="F64" s="3" t="inlineStr">
        <is>
          <t>31.08.22 12:00</t>
        </is>
      </c>
      <c r="G64" t="inlineStr">
        <is>
          <t>г Саранск, ул Ботевградская, д 25</t>
        </is>
      </c>
      <c r="H64" s="4" t="n">
        <v>658000</v>
      </c>
      <c r="I64" s="4" t="n">
        <v>28608.69565217391</v>
      </c>
      <c r="J64" t="inlineStr">
        <is>
          <t>Нежилое помещение</t>
        </is>
      </c>
      <c r="K64" s="5" t="n">
        <v>6.07</v>
      </c>
      <c r="L64" s="4" t="n">
        <v>468.98</v>
      </c>
      <c r="M64" t="n">
        <v>4713</v>
      </c>
      <c r="N64" s="6" t="n">
        <v>347657</v>
      </c>
      <c r="O64" t="n">
        <v>61</v>
      </c>
      <c r="Q64" t="inlineStr">
        <is>
          <t>EA</t>
        </is>
      </c>
      <c r="R64" t="inlineStr">
        <is>
          <t>М</t>
        </is>
      </c>
      <c r="S64" s="2">
        <f>HYPERLINK("https://yandex.ru/maps/?&amp;text=54.183276, 45.172368", "54.183276, 45.172368")</f>
        <v/>
      </c>
      <c r="T64" s="2">
        <f>HYPERLINK("D:\venv_torgi\env\cache\objs_in_district/54.183276_45.172368.json", "54.183276_45.172368.json")</f>
        <v/>
      </c>
      <c r="V64" s="7" t="inlineStr">
        <is>
          <t>1</t>
        </is>
      </c>
      <c r="W64" s="20" t="n">
        <v>26866.27840984939</v>
      </c>
      <c r="X64" s="23" t="n">
        <v>-1742.417242324515</v>
      </c>
      <c r="Y64" t="n">
        <v>0</v>
      </c>
    </row>
    <row r="65">
      <c r="A65" s="8" t="n">
        <v>63</v>
      </c>
      <c r="B65" t="n">
        <v>13</v>
      </c>
      <c r="C65" s="1" t="n">
        <v>179.9</v>
      </c>
      <c r="D65" s="2">
        <f>HYPERLINK("https://torgi.gov.ru/new/public/lots/lot/22000059440000000028_1/(lotInfo:info)", "22000059440000000028_1")</f>
        <v/>
      </c>
      <c r="E65" t="inlineStr">
        <is>
          <t>Краткая характеристика помещения: год постройки – 1954. Площадь – 179,9 кв.м, этаж 1. Фундамент – железобетонные блоки, перекрытие – железобетонное, наружные стены – кирпичные, полы – линолеум, двери – простые, деревянные, окна – двойные створные, внутренняя отделка – побелка, обои, окраска. В помещении имеется электроосвещение, центральное отопление, водопровод, канализация.</t>
        </is>
      </c>
      <c r="F65" s="3" t="inlineStr">
        <is>
          <t>31.08.22 12:00</t>
        </is>
      </c>
      <c r="G65" t="inlineStr">
        <is>
          <t>г. Саранск,                            ул. Полежаева, д. № 163.</t>
        </is>
      </c>
      <c r="H65" s="4" t="n">
        <v>5427000</v>
      </c>
      <c r="I65" s="4" t="n">
        <v>30166.75931072818</v>
      </c>
      <c r="J65" t="inlineStr">
        <is>
          <t>Нежилое помещение</t>
        </is>
      </c>
      <c r="K65" s="5" t="n">
        <v>6.27</v>
      </c>
      <c r="L65" s="4" t="n">
        <v>478.83</v>
      </c>
      <c r="M65" t="n">
        <v>4808</v>
      </c>
      <c r="N65" s="6" t="n">
        <v>347657</v>
      </c>
      <c r="O65" t="n">
        <v>63</v>
      </c>
      <c r="Q65" t="inlineStr">
        <is>
          <t>EA</t>
        </is>
      </c>
      <c r="R65" t="inlineStr">
        <is>
          <t>М</t>
        </is>
      </c>
      <c r="S65" s="2">
        <f>HYPERLINK("https://yandex.ru/maps/?&amp;text=54.191284, 45.164472", "54.191284, 45.164472")</f>
        <v/>
      </c>
      <c r="T65" s="2">
        <f>HYPERLINK("D:\venv_torgi\env\cache\objs_in_district/54.191284_45.164472.json", "54.191284_45.164472.json")</f>
        <v/>
      </c>
      <c r="V65" s="7" t="inlineStr">
        <is>
          <t>1</t>
        </is>
      </c>
      <c r="W65" s="20" t="n">
        <v>16978.25983052898</v>
      </c>
      <c r="X65" s="23" t="n">
        <v>-13188.4994801992</v>
      </c>
      <c r="Y65" t="n">
        <v>0</v>
      </c>
    </row>
    <row r="66">
      <c r="A66" s="8" t="n">
        <v>64</v>
      </c>
      <c r="B66" t="n">
        <v>13</v>
      </c>
      <c r="C66" s="1" t="n">
        <v>122.9</v>
      </c>
      <c r="D66" s="2">
        <f>HYPERLINK("https://torgi.gov.ru/new/public/lots/lot/22000059440000000028_9/(lotInfo:info)", "22000059440000000028_9")</f>
        <v/>
      </c>
      <c r="E66" t="inlineStr">
        <is>
          <t>постановление Администрации городского округа Саранск от 25 июля                  2022 года № 1045 «Об утверждении решений об условиях приватизации муниципального имущества».</t>
        </is>
      </c>
      <c r="F66" s="3" t="inlineStr">
        <is>
          <t>31.08.22 12:00</t>
        </is>
      </c>
      <c r="G66" t="inlineStr">
        <is>
          <t>г Саранск, ул Федосеенко, д 17</t>
        </is>
      </c>
      <c r="H66" s="4" t="n">
        <v>4759000</v>
      </c>
      <c r="I66" s="4" t="n">
        <v>38722.53864930838</v>
      </c>
      <c r="J66" t="inlineStr">
        <is>
          <t>Нежилое помещение</t>
        </is>
      </c>
      <c r="K66" s="5" t="n">
        <v>5.59</v>
      </c>
      <c r="L66" s="4" t="n">
        <v>614.63</v>
      </c>
      <c r="M66" t="n">
        <v>6933</v>
      </c>
      <c r="N66" s="6" t="n">
        <v>347657</v>
      </c>
      <c r="O66" t="n">
        <v>63</v>
      </c>
      <c r="Q66" t="inlineStr">
        <is>
          <t>EA</t>
        </is>
      </c>
      <c r="R66" t="inlineStr">
        <is>
          <t>М</t>
        </is>
      </c>
      <c r="S66" s="2">
        <f>HYPERLINK("https://yandex.ru/maps/?&amp;text=54.193653, 45.179195", "54.193653, 45.179195")</f>
        <v/>
      </c>
      <c r="T66" s="2">
        <f>HYPERLINK("D:\venv_torgi\env\cache\objs_in_district/54.193653_45.179195.json", "54.193653_45.179195.json")</f>
        <v/>
      </c>
      <c r="W66" s="20" t="n">
        <v>26866.27840984939</v>
      </c>
      <c r="X66" s="23" t="n">
        <v>-11856.26023945898</v>
      </c>
      <c r="Y66" t="n">
        <v>0</v>
      </c>
    </row>
    <row r="67">
      <c r="A67" s="8" t="n">
        <v>65</v>
      </c>
      <c r="B67" t="n">
        <v>18</v>
      </c>
      <c r="C67" s="1" t="n">
        <v>330.4</v>
      </c>
      <c r="D67" s="2">
        <f>HYPERLINK("https://torgi.gov.ru/new/public/lots/lot/21000005540000000009_1/(lotInfo:info)", "21000005540000000009_1")</f>
        <v/>
      </c>
      <c r="E67" t="inlineStr">
        <is>
          <t>Нежилое помещение (назначение: нежилое помещение, площадь 330,4 кв.м, этаж цокольный, номера на поэтажном плане 1-28, 37)</t>
        </is>
      </c>
      <c r="F67" s="3" t="inlineStr">
        <is>
          <t>05.09.22 13:27</t>
        </is>
      </c>
      <c r="G67" t="inlineStr">
        <is>
          <t>Удмуртская Респ, г Воткинск, ул Молодежная, д 1</t>
        </is>
      </c>
      <c r="H67" s="4" t="n">
        <v>974000</v>
      </c>
      <c r="I67" s="4" t="n">
        <v>2947.941888619855</v>
      </c>
      <c r="J67" t="inlineStr">
        <is>
          <t>Нежилое помещение</t>
        </is>
      </c>
      <c r="K67" s="5" t="n">
        <v>2.41</v>
      </c>
      <c r="L67" s="4" t="n">
        <v>589.4</v>
      </c>
      <c r="M67" t="n">
        <v>1224</v>
      </c>
      <c r="N67" s="6" t="n">
        <v>97345</v>
      </c>
      <c r="O67" t="n">
        <v>5</v>
      </c>
      <c r="P67" s="21" t="n">
        <v>0.5248339871822416</v>
      </c>
      <c r="Q67" t="inlineStr">
        <is>
          <t>EA</t>
        </is>
      </c>
      <c r="R67" t="inlineStr">
        <is>
          <t>М</t>
        </is>
      </c>
      <c r="S67" s="2">
        <f>HYPERLINK("https://yandex.ru/maps/?&amp;text=57.077656, 53.979694", "57.077656, 53.979694")</f>
        <v/>
      </c>
      <c r="T67" s="2">
        <f>HYPERLINK("D:\venv_torgi\env\cache\objs_in_district/57.077656_53.979694.json", "57.077656_53.979694.json")</f>
        <v/>
      </c>
      <c r="U67" t="inlineStr">
        <is>
          <t>18:27:010012:3423</t>
        </is>
      </c>
      <c r="V67" s="7" t="inlineStr">
        <is>
          <t>0</t>
        </is>
      </c>
      <c r="W67" s="20" t="n">
        <v>4495.121984005761</v>
      </c>
      <c r="X67" s="22" t="n">
        <v>1547.180095385906</v>
      </c>
      <c r="Y67" t="n">
        <v>0</v>
      </c>
    </row>
    <row r="68">
      <c r="A68" s="8" t="n">
        <v>66</v>
      </c>
      <c r="B68" t="n">
        <v>18</v>
      </c>
      <c r="C68" s="1" t="n">
        <v>48</v>
      </c>
      <c r="D68" s="2">
        <f>HYPERLINK("https://torgi.gov.ru/new/public/lots/lot/22000091820000000001_1/(lotInfo:info)", "22000091820000000001_1")</f>
        <v/>
      </c>
      <c r="E68" t="inlineStr">
        <is>
          <t>нежилое помещение, назначение: нежилое, этаж: 1, общая площадь 48 кв.м., адрес объекта: Удмуртская Республика, Завьяловский район, д. Старые Кены, ул. Механизаторов, д. 17/2, кадастровый номер: 18:08:149001:343, принадлежащего на праве собственности Удмуртской Республики и закрепленного на праве оперативного управления за БУЗ УР «Завьяловская РБ МЗ УР».</t>
        </is>
      </c>
      <c r="F68" s="3" t="inlineStr">
        <is>
          <t>20.09.22 13:00</t>
        </is>
      </c>
      <c r="G68" t="inlineStr">
        <is>
          <t>Удмуртская Респ, Завьяловский р-н, деревня Старые Кены, ул Механизаторов, д 17/2</t>
        </is>
      </c>
      <c r="H68" s="4" t="n">
        <v>211000</v>
      </c>
      <c r="I68" s="4" t="n">
        <v>4395.833333333333</v>
      </c>
      <c r="J68" t="inlineStr">
        <is>
          <t>Нежилое помещение</t>
        </is>
      </c>
      <c r="K68" s="5" t="n">
        <v>22.31</v>
      </c>
      <c r="M68" t="n">
        <v>197</v>
      </c>
      <c r="N68" s="6" t="n">
        <v>571</v>
      </c>
      <c r="P68" s="21" t="n">
        <v>4.914670825996424</v>
      </c>
      <c r="Q68" t="inlineStr">
        <is>
          <t>EA</t>
        </is>
      </c>
      <c r="R68" t="inlineStr">
        <is>
          <t>М</t>
        </is>
      </c>
      <c r="S68" s="2">
        <f>HYPERLINK("https://yandex.ru/maps/?&amp;text=56.708855, 53.293273", "56.708855, 53.293273")</f>
        <v/>
      </c>
      <c r="U68" t="inlineStr">
        <is>
          <t xml:space="preserve">18:08:149001:343, </t>
        </is>
      </c>
      <c r="V68" s="7" t="inlineStr">
        <is>
          <t>1</t>
        </is>
      </c>
      <c r="W68" s="20" t="n">
        <v>25999.90717260928</v>
      </c>
      <c r="X68" s="22" t="n">
        <v>21604.07383927595</v>
      </c>
      <c r="Y68" t="n">
        <v>0</v>
      </c>
    </row>
    <row r="69">
      <c r="A69" s="8" t="n">
        <v>67</v>
      </c>
      <c r="B69" t="n">
        <v>18</v>
      </c>
      <c r="C69" s="1" t="n">
        <v>124</v>
      </c>
      <c r="D69" s="2">
        <f>HYPERLINK("https://torgi.gov.ru/new/public/lots/lot/21000023790000000008_1/(lotInfo:info)", "21000023790000000008_1")</f>
        <v/>
      </c>
      <c r="E69" t="inlineStr">
        <is>
          <t>Нежилые помещения, назначение: нежилое помещение, площадь 124 кв. м., этаж: Цокольный, кадастровый номер: 18:29:003393:968</t>
        </is>
      </c>
      <c r="F69" s="3" t="inlineStr">
        <is>
          <t>05.09.22 12:30</t>
        </is>
      </c>
      <c r="G69" t="inlineStr">
        <is>
          <t>Удмуртская Респ, г Можга, ул Ленина, д 4</t>
        </is>
      </c>
      <c r="H69" s="4" t="n">
        <v>711200</v>
      </c>
      <c r="I69" s="4" t="n">
        <v>5735.483870967741</v>
      </c>
      <c r="J69" t="inlineStr">
        <is>
          <t>Нежилое помещение</t>
        </is>
      </c>
      <c r="K69" s="5" t="n">
        <v>1.69</v>
      </c>
      <c r="L69" s="4" t="n">
        <v>286.75</v>
      </c>
      <c r="M69" t="n">
        <v>3390</v>
      </c>
      <c r="N69" s="6" t="n">
        <v>49093</v>
      </c>
      <c r="O69" t="n">
        <v>20</v>
      </c>
      <c r="P69" s="21" t="n">
        <v>3.684221769996239</v>
      </c>
      <c r="Q69" t="inlineStr">
        <is>
          <t>EA</t>
        </is>
      </c>
      <c r="R69" t="inlineStr">
        <is>
          <t>М</t>
        </is>
      </c>
      <c r="S69" s="2">
        <f>HYPERLINK("https://yandex.ru/maps/?&amp;text=56.443954, 52.19988", "56.443954, 52.19988")</f>
        <v/>
      </c>
      <c r="T69" s="2">
        <f>HYPERLINK("D:\venv_torgi\env\cache\objs_in_district/56.443954_52.19988.json", "56.443954_52.19988.json")</f>
        <v/>
      </c>
      <c r="U69" t="inlineStr">
        <is>
          <t>18:29:003393:968</t>
        </is>
      </c>
      <c r="V69" s="7" t="inlineStr">
        <is>
          <t>0</t>
        </is>
      </c>
      <c r="W69" s="20" t="n">
        <v>26866.27840984939</v>
      </c>
      <c r="X69" s="22" t="n">
        <v>21130.79453888165</v>
      </c>
      <c r="Y69" t="n">
        <v>0</v>
      </c>
    </row>
    <row r="70">
      <c r="A70" s="8" t="n">
        <v>68</v>
      </c>
      <c r="B70" t="n">
        <v>18</v>
      </c>
      <c r="C70" s="1" t="n">
        <v>114</v>
      </c>
      <c r="D70" s="2">
        <f>HYPERLINK("https://torgi.gov.ru/new/public/lots/lot/21000023790000000004_1/(lotInfo:info)", "21000023790000000004_1")</f>
        <v/>
      </c>
      <c r="E70" t="inlineStr">
        <is>
          <t>«Помещение», назначение: нежилое помещение, площадь 114 кв.м., этаж: цокольный, кадастровый номер: 18:29:004516:421, Помещение расположено в многоквартирном пятиэтажном кирпичном доме.Отличное местоположение с удобной транспортной развязкой. В помещении сделан косметический ремонт. Все коммуникации в исправном состоянии. Рядом остановка общественного транспорта, имеется парковка.</t>
        </is>
      </c>
      <c r="F70" s="3" t="inlineStr">
        <is>
          <t>29.08.22 12:30</t>
        </is>
      </c>
      <c r="G70" t="inlineStr">
        <is>
          <t>Удмуртская Респ, г Можга, ул Весенняя, д 12</t>
        </is>
      </c>
      <c r="H70" s="4" t="n">
        <v>948000</v>
      </c>
      <c r="I70" s="4" t="n">
        <v>8315.78947368421</v>
      </c>
      <c r="J70" t="inlineStr">
        <is>
          <t>Нежилое помещение</t>
        </is>
      </c>
      <c r="K70" s="5" t="n">
        <v>11.19</v>
      </c>
      <c r="L70" s="4" t="n">
        <v>8315</v>
      </c>
      <c r="M70" t="n">
        <v>743</v>
      </c>
      <c r="N70" s="6" t="n">
        <v>49093</v>
      </c>
      <c r="O70" t="n">
        <v>1</v>
      </c>
      <c r="P70" s="21" t="n">
        <v>0.9508147043956183</v>
      </c>
      <c r="Q70" t="inlineStr">
        <is>
          <t>EA</t>
        </is>
      </c>
      <c r="R70" t="inlineStr">
        <is>
          <t>М</t>
        </is>
      </c>
      <c r="S70" s="2">
        <f>HYPERLINK("https://yandex.ru/maps/?&amp;text=56.450012, 52.2579", "56.450012, 52.2579")</f>
        <v/>
      </c>
      <c r="T70" s="2">
        <f>HYPERLINK("D:\venv_torgi\env\cache\objs_in_district/56.450012_52.2579.json", "56.450012_52.2579.json")</f>
        <v/>
      </c>
      <c r="U70" t="inlineStr">
        <is>
          <t xml:space="preserve">18:29:004516:421, </t>
        </is>
      </c>
      <c r="V70" s="7" t="inlineStr">
        <is>
          <t>0</t>
        </is>
      </c>
      <c r="W70" s="20" t="n">
        <v>16222.56438392146</v>
      </c>
      <c r="X70" s="22" t="n">
        <v>7906.774910237247</v>
      </c>
      <c r="Y70" t="n">
        <v>0</v>
      </c>
    </row>
    <row r="71">
      <c r="A71" s="8" t="n">
        <v>69</v>
      </c>
      <c r="B71" t="n">
        <v>18</v>
      </c>
      <c r="C71" s="1" t="n">
        <v>143</v>
      </c>
      <c r="D71" s="2">
        <f>HYPERLINK("https://torgi.gov.ru/new/public/lots/lot/22000013180000000008_3/(lotInfo:info)", "22000013180000000008_3")</f>
        <v/>
      </c>
      <c r="E71" t="inlineStr">
        <is>
          <t>нежилое помещение, общей площадью 143 кв.м. (Литера: А; а1, П; этаж: цокольный, номера на поэтажном плане:  цокольный этаж литера А: 1-7, литера а1: 1, литера П: 1; согласно кадастровому паспорту помещения № 1800/501/14-339294 от 04.12.2014г.), расположенное по адресу: Удмуртская Республика, г. Ижевск, ул. Четырнадцатая, д. 60а, кадастровый номер 18:26:040586:211.</t>
        </is>
      </c>
      <c r="F71" s="3" t="inlineStr">
        <is>
          <t>29.08.22 12:30</t>
        </is>
      </c>
      <c r="G71" t="inlineStr">
        <is>
          <t>г. Ижевск, ул. Четырнадцатая, д. 60а</t>
        </is>
      </c>
      <c r="H71" s="4" t="n">
        <v>1230886.8</v>
      </c>
      <c r="I71" s="4" t="n">
        <v>8607.6</v>
      </c>
      <c r="J71" t="inlineStr">
        <is>
          <t>Нежилое помещение</t>
        </is>
      </c>
      <c r="K71" s="5" t="n">
        <v>1.74</v>
      </c>
      <c r="L71" s="4" t="n">
        <v>662.08</v>
      </c>
      <c r="M71" t="n">
        <v>4937</v>
      </c>
      <c r="N71" s="6" t="n">
        <v>648944</v>
      </c>
      <c r="O71" t="n">
        <v>13</v>
      </c>
      <c r="P71" s="21" t="n">
        <v>2.121227567480993</v>
      </c>
      <c r="Q71" t="inlineStr">
        <is>
          <t>PP</t>
        </is>
      </c>
      <c r="R71" t="inlineStr">
        <is>
          <t>М</t>
        </is>
      </c>
      <c r="S71" s="2">
        <f>HYPERLINK("https://yandex.ru/maps/?&amp;text=56.833033, 53.156433", "56.833033, 53.156433")</f>
        <v/>
      </c>
      <c r="T71" s="2">
        <f>HYPERLINK("D:\venv_torgi\env\cache\objs_in_district/56.833033_53.156433.json", "56.833033_53.156433.json")</f>
        <v/>
      </c>
      <c r="U71" t="inlineStr">
        <is>
          <t>18:26:040586:211</t>
        </is>
      </c>
      <c r="V71" s="7" t="inlineStr">
        <is>
          <t>0</t>
        </is>
      </c>
      <c r="W71" s="20" t="n">
        <v>26866.27840984939</v>
      </c>
      <c r="X71" s="22" t="n">
        <v>18258.6784098494</v>
      </c>
      <c r="Y71" t="n">
        <v>0</v>
      </c>
    </row>
    <row r="72">
      <c r="A72" s="8" t="n">
        <v>70</v>
      </c>
      <c r="B72" t="n">
        <v>18</v>
      </c>
      <c r="C72" s="1" t="n">
        <v>102.8</v>
      </c>
      <c r="D72" s="2">
        <f>HYPERLINK("https://torgi.gov.ru/new/public/lots/lot/22000013180000000011_2/(lotInfo:info)", "22000013180000000011_2")</f>
        <v/>
      </c>
      <c r="E72" t="inlineStr">
        <is>
          <t>нежилое помещение в цоколе общежития, общей площадью 102,8 кв.м. (Литера: А; этаж: цоколь; номера на поэтажном плане: 9а, 10а, 11а, 27, 28; согласно выписки из технического паспорта № 29346 от 25.09.2006 г.), расположенное по адресу: Удмуртская Республика, г. Ижевск, ул. 50 лет Пионерии, 45, кадастровый номер 18:26:010604:788</t>
        </is>
      </c>
      <c r="F72" s="3" t="inlineStr">
        <is>
          <t>19.09.22 12:30</t>
        </is>
      </c>
      <c r="G72" t="inlineStr">
        <is>
          <t>г Ижевск, ул 50 лет Пионерии, д 45</t>
        </is>
      </c>
      <c r="H72" s="4" t="n">
        <v>986633.28</v>
      </c>
      <c r="I72" s="4" t="n">
        <v>9597.6</v>
      </c>
      <c r="J72" t="inlineStr">
        <is>
          <t>Нежилое помещение</t>
        </is>
      </c>
      <c r="K72" s="5" t="n">
        <v>2.43</v>
      </c>
      <c r="L72" s="4" t="n">
        <v>299.91</v>
      </c>
      <c r="M72" t="n">
        <v>3945</v>
      </c>
      <c r="N72" s="6" t="n">
        <v>648944</v>
      </c>
      <c r="O72" t="n">
        <v>32</v>
      </c>
      <c r="P72" s="21" t="n">
        <v>1.799270485313974</v>
      </c>
      <c r="Q72" t="inlineStr">
        <is>
          <t>PP</t>
        </is>
      </c>
      <c r="R72" t="inlineStr">
        <is>
          <t>М</t>
        </is>
      </c>
      <c r="S72" s="2">
        <f>HYPERLINK("https://yandex.ru/maps/?&amp;text=56.859429, 53.178199", "56.859429, 53.178199")</f>
        <v/>
      </c>
      <c r="T72" s="2">
        <f>HYPERLINK("D:\venv_torgi\env\cache\objs_in_district/56.859429_53.178199.json", "56.859429_53.178199.json")</f>
        <v/>
      </c>
      <c r="U72" t="inlineStr">
        <is>
          <t>18:26:010604:788</t>
        </is>
      </c>
      <c r="V72" s="7" t="inlineStr">
        <is>
          <t>0</t>
        </is>
      </c>
      <c r="W72" s="20" t="n">
        <v>26866.27840984939</v>
      </c>
      <c r="X72" s="22" t="n">
        <v>17268.6784098494</v>
      </c>
      <c r="Y72" t="n">
        <v>0</v>
      </c>
    </row>
    <row r="73">
      <c r="A73" s="8" t="n">
        <v>71</v>
      </c>
      <c r="B73" t="n">
        <v>18</v>
      </c>
      <c r="C73" s="1" t="n">
        <v>346</v>
      </c>
      <c r="D73" s="2">
        <f>HYPERLINK("https://torgi.gov.ru/new/public/lots/lot/21000005540000000010_1/(lotInfo:info)", "21000005540000000010_1")</f>
        <v/>
      </c>
      <c r="E73" t="inlineStr">
        <is>
          <t>Нежилое помещение (назначение: нежилое, общая площадь 346 кв.м, этаж 2, мансардный этаж, номера на поэтажном плане 2 этаж: № 1-27; мансардный этаж: № 1-8)</t>
        </is>
      </c>
      <c r="F73" s="3" t="inlineStr">
        <is>
          <t>06.09.22 13:55</t>
        </is>
      </c>
      <c r="G73" t="inlineStr">
        <is>
          <t>Удмуртская Респ, г Воткинск, ул Ленина, д 2</t>
        </is>
      </c>
      <c r="H73" s="4" t="n">
        <v>3545000</v>
      </c>
      <c r="I73" s="4" t="n">
        <v>10245.66473988439</v>
      </c>
      <c r="J73" t="inlineStr">
        <is>
          <t>Нежилое помещение</t>
        </is>
      </c>
      <c r="K73" s="5" t="n">
        <v>3.84</v>
      </c>
      <c r="L73" s="4" t="n">
        <v>320.16</v>
      </c>
      <c r="M73" t="n">
        <v>2667</v>
      </c>
      <c r="N73" s="6" t="n">
        <v>97345</v>
      </c>
      <c r="O73" t="n">
        <v>32</v>
      </c>
      <c r="P73" s="21" t="n">
        <v>0.09530575696217919</v>
      </c>
      <c r="Q73" t="inlineStr">
        <is>
          <t>EA</t>
        </is>
      </c>
      <c r="R73" t="inlineStr">
        <is>
          <t>М</t>
        </is>
      </c>
      <c r="S73" s="2">
        <f>HYPERLINK("https://yandex.ru/maps/?&amp;text=57.052795, 53.987453", "57.052795, 53.987453")</f>
        <v/>
      </c>
      <c r="T73" s="2">
        <f>HYPERLINK("D:\venv_torgi\env\cache\objs_in_district/57.052795_53.987453.json", "57.052795_53.987453.json")</f>
        <v/>
      </c>
      <c r="U73" t="inlineStr">
        <is>
          <t>18:27:030612:135</t>
        </is>
      </c>
      <c r="V73" s="7" t="inlineStr">
        <is>
          <t>2</t>
        </is>
      </c>
      <c r="W73" s="20" t="n">
        <v>11222.13557349978</v>
      </c>
      <c r="X73" s="22" t="n">
        <v>976.4708336153908</v>
      </c>
      <c r="Y73" t="n">
        <v>0</v>
      </c>
    </row>
    <row r="74">
      <c r="A74" s="8" t="n">
        <v>72</v>
      </c>
      <c r="B74" t="n">
        <v>18</v>
      </c>
      <c r="C74" s="1" t="n">
        <v>52.5</v>
      </c>
      <c r="D74" s="2">
        <f>HYPERLINK("https://torgi.gov.ru/new/public/lots/lot/22000013180000000011_4/(lotInfo:info)", "22000013180000000011_4")</f>
        <v/>
      </c>
      <c r="E74" t="inlineStr">
        <is>
          <t>- нежилое помещение, площадью 11,9 кв.м. (цокольный этаж б/н, согласно кадастровому паспорту помещения № 1800/501/16-331524 от 19.10.2016 г.), расположенное по адресу: Удмуртская Республика, г. Ижевск, ул. Удмуртская, д. 247, пом. I, 4, кадастровый номер 18:26:020621:1019;- нежилое помещение, площадью 40,6 кв.м. (цокольный этаж б/н, согласно кадастровому паспорту помещения № 1800/501/16-331525 от 19.10.2016 г.), расположенное по адресу: Удмуртская Республика, г. Ижевск, ул. Удмуртская, д. 247, пом. 2, 2а, 3, кадастровый номер 18:26:020621:1018</t>
        </is>
      </c>
      <c r="F74" s="3" t="inlineStr">
        <is>
          <t>19.09.22 12:30</t>
        </is>
      </c>
      <c r="G74" t="inlineStr">
        <is>
          <t>г Ижевск, ул Удмуртская, д 247</t>
        </is>
      </c>
      <c r="H74" s="4" t="n">
        <v>868581</v>
      </c>
      <c r="I74" s="4" t="n">
        <v>16544.4</v>
      </c>
      <c r="J74" t="inlineStr">
        <is>
          <t>Нежилое помещение</t>
        </is>
      </c>
      <c r="K74" s="5" t="n">
        <v>3.16</v>
      </c>
      <c r="L74" s="4" t="n">
        <v>223.57</v>
      </c>
      <c r="M74" t="n">
        <v>5236</v>
      </c>
      <c r="N74" s="6" t="n">
        <v>648944</v>
      </c>
      <c r="O74" t="n">
        <v>74</v>
      </c>
      <c r="P74" s="21" t="n">
        <v>0.6238895583913223</v>
      </c>
      <c r="Q74" t="inlineStr">
        <is>
          <t>PP</t>
        </is>
      </c>
      <c r="R74" t="inlineStr">
        <is>
          <t>М</t>
        </is>
      </c>
      <c r="S74" s="2">
        <f>HYPERLINK("https://yandex.ru/maps/?&amp;text=56.856599, 53.220914", "56.856599, 53.220914")</f>
        <v/>
      </c>
      <c r="T74" s="2">
        <f>HYPERLINK("D:\venv_torgi\env\cache\objs_in_district/56.856599_53.220914.json", "56.856599_53.220914.json")</f>
        <v/>
      </c>
      <c r="U74" t="inlineStr">
        <is>
          <t>18:26:020621:1019;</t>
        </is>
      </c>
      <c r="V74" s="7" t="inlineStr">
        <is>
          <t>0</t>
        </is>
      </c>
      <c r="W74" s="20" t="n">
        <v>26866.27840984939</v>
      </c>
      <c r="X74" s="22" t="n">
        <v>10321.87840984939</v>
      </c>
      <c r="Y74" t="n">
        <v>0</v>
      </c>
    </row>
    <row r="75">
      <c r="A75" s="8" t="n">
        <v>73</v>
      </c>
      <c r="B75" t="n">
        <v>20</v>
      </c>
      <c r="C75" s="1" t="n">
        <v>24.7</v>
      </c>
      <c r="D75" s="2">
        <f>HYPERLINK("https://torgi.gov.ru/new/public/lots/lot/22000011830000000021_2/(lotInfo:info)", "22000011830000000021_2")</f>
        <v/>
      </c>
      <c r="E75" t="inlineStr">
        <is>
          <t>Нежилое здание (контора), литер «Б», общей площадью 24,7 кв.м., кадастровый номер 20:11:0000000:975, расположенное по адресу Чеченская Республика, г. Урус-Мартан, ул. М.Мерзоева, б/н.</t>
        </is>
      </c>
      <c r="F75" s="3" t="inlineStr">
        <is>
          <t>15.09.22 15:00</t>
        </is>
      </c>
      <c r="G75" t="inlineStr">
        <is>
          <t>Чеченская Респ, г Урус-Мартан, ул Хаваджи Магомед-Мирзоева, д 12Б</t>
        </is>
      </c>
      <c r="H75" s="4" t="n">
        <v>136800</v>
      </c>
      <c r="I75" s="4" t="n">
        <v>5538.461538461539</v>
      </c>
      <c r="J75" t="inlineStr">
        <is>
          <t>здание (</t>
        </is>
      </c>
      <c r="K75" s="5" t="n">
        <v>2.64</v>
      </c>
      <c r="M75" t="n">
        <v>2099</v>
      </c>
      <c r="N75" s="6" t="n">
        <v>61221</v>
      </c>
      <c r="P75" s="21" t="n">
        <v>3.694427683943342</v>
      </c>
      <c r="Q75" t="inlineStr">
        <is>
          <t>EA</t>
        </is>
      </c>
      <c r="R75" t="inlineStr">
        <is>
          <t>Д</t>
        </is>
      </c>
      <c r="S75" s="2">
        <f>HYPERLINK("https://yandex.ru/maps/?&amp;text=43.138486, 45.526035", "43.138486, 45.526035")</f>
        <v/>
      </c>
      <c r="U75" t="inlineStr">
        <is>
          <t xml:space="preserve">20:11:0000000:975, </t>
        </is>
      </c>
      <c r="W75" s="20" t="n">
        <v>25999.90717260928</v>
      </c>
      <c r="X75" s="22" t="n">
        <v>20461.44563414774</v>
      </c>
      <c r="Y75" t="n">
        <v>0</v>
      </c>
    </row>
    <row r="76">
      <c r="A76" s="8" t="n">
        <v>74</v>
      </c>
      <c r="B76" t="n">
        <v>20</v>
      </c>
      <c r="C76" s="1" t="n">
        <v>256.7</v>
      </c>
      <c r="D76" s="2">
        <f>HYPERLINK("https://torgi.gov.ru/new/public/lots/lot/22000011830000000021_1/(lotInfo:info)", "22000011830000000021_1")</f>
        <v/>
      </c>
      <c r="E76" t="inlineStr">
        <is>
          <t>Нежилое здание (магазин), литер «А», общей площадью 256,7 кв.м., кадастровый номер 20:11:0101032:67, расположенное по адресу Чеченская Республика, г. Урус-Мартан, ул. М.Мерзоева, б/н.</t>
        </is>
      </c>
      <c r="F76" s="3" t="inlineStr">
        <is>
          <t>15.09.22 15:00</t>
        </is>
      </c>
      <c r="G76" t="inlineStr">
        <is>
          <t>Чеченская Респ, г Урус-Мартан, ул Хаваджи Магомед-Мирзоева, д 12Б</t>
        </is>
      </c>
      <c r="H76" s="4" t="n">
        <v>1424000</v>
      </c>
      <c r="I76" s="4" t="n">
        <v>5547.331515387612</v>
      </c>
      <c r="J76" t="inlineStr">
        <is>
          <t>здание (</t>
        </is>
      </c>
      <c r="K76" s="5" t="n">
        <v>2.64</v>
      </c>
      <c r="M76" t="n">
        <v>2099</v>
      </c>
      <c r="N76" s="6" t="n">
        <v>61221</v>
      </c>
      <c r="P76" s="21" t="n">
        <v>0.8359379832168629</v>
      </c>
      <c r="Q76" t="inlineStr">
        <is>
          <t>EA</t>
        </is>
      </c>
      <c r="R76" t="inlineStr">
        <is>
          <t>Д</t>
        </is>
      </c>
      <c r="S76" s="2">
        <f>HYPERLINK("https://yandex.ru/maps/?&amp;text=43.138486, 45.526035", "43.138486, 45.526035")</f>
        <v/>
      </c>
      <c r="U76" t="inlineStr">
        <is>
          <t xml:space="preserve">20:11:0101032:67, </t>
        </is>
      </c>
      <c r="W76" s="20" t="n">
        <v>10184.55663459608</v>
      </c>
      <c r="X76" s="22" t="n">
        <v>4637.225119208464</v>
      </c>
      <c r="Y76" t="n">
        <v>0</v>
      </c>
    </row>
    <row r="77">
      <c r="A77" s="8" t="n">
        <v>75</v>
      </c>
      <c r="B77" t="n">
        <v>22</v>
      </c>
      <c r="C77" s="1" t="n">
        <v>334.3</v>
      </c>
      <c r="D77" s="2">
        <f>HYPERLINK("https://torgi.gov.ru/new/public/lots/lot/22000138980000000001_1/(lotInfo:info)", "22000138980000000001_1")</f>
        <v/>
      </c>
      <c r="E77" t="inlineStr">
        <is>
          <t>Нежилое помещение Н-5, общей площадью 334,3 кв.м., кадастровый номер 22:04:070003:1192, этажность-1, по адресу: Алтайский край, Бийский район, с. Верх-Катунское, ул. Мира,д.2г., пом.Н-5</t>
        </is>
      </c>
      <c r="F77" s="3" t="inlineStr">
        <is>
          <t>18.09.22 17:00</t>
        </is>
      </c>
      <c r="G77" t="inlineStr">
        <is>
          <t>Алтайский край, Бийский р-н, село Верх-Катунское, ул Мира</t>
        </is>
      </c>
      <c r="H77" s="4" t="n">
        <v>380000</v>
      </c>
      <c r="I77" s="4" t="n">
        <v>1136.703559676937</v>
      </c>
      <c r="J77" t="inlineStr">
        <is>
          <t>Нежилое помещение</t>
        </is>
      </c>
      <c r="K77" s="5" t="n">
        <v>2.52</v>
      </c>
      <c r="M77" t="n">
        <v>451</v>
      </c>
      <c r="N77" s="6" t="n">
        <v>2762</v>
      </c>
      <c r="P77" s="21" t="n">
        <v>2.954524419087174</v>
      </c>
      <c r="Q77" t="inlineStr">
        <is>
          <t>EA</t>
        </is>
      </c>
      <c r="R77" t="inlineStr">
        <is>
          <t>М</t>
        </is>
      </c>
      <c r="S77" s="2">
        <f>HYPERLINK("https://yandex.ru/maps/?&amp;text=52.449662, 85.436108", "52.449662, 85.436108")</f>
        <v/>
      </c>
      <c r="U77" t="inlineStr">
        <is>
          <t xml:space="preserve">22:04:070003:1192, </t>
        </is>
      </c>
      <c r="V77" s="7" t="inlineStr">
        <is>
          <t>1</t>
        </is>
      </c>
      <c r="W77" s="20" t="n">
        <v>4495.121984005761</v>
      </c>
      <c r="X77" s="22" t="n">
        <v>3358.418424328824</v>
      </c>
      <c r="Y77" t="n">
        <v>0</v>
      </c>
    </row>
    <row r="78">
      <c r="A78" s="8" t="n">
        <v>76</v>
      </c>
      <c r="B78" t="n">
        <v>22</v>
      </c>
      <c r="C78" s="1" t="n">
        <v>195</v>
      </c>
      <c r="D78" s="2">
        <f>HYPERLINK("https://torgi.gov.ru/new/public/lots/lot/21000012250000000029_2/(lotInfo:info)", "21000012250000000029_2")</f>
        <v/>
      </c>
      <c r="E78" t="inlineStr">
        <is>
          <t>нежилое помещение, общей площадью 195,5 кв.м., кадастровый № 22:05:050309:7430, расположенное по адресу: Алтайский край, Благовещенский район, р.п. Благовещенка, ул. 40 лет Октября, д. 2, пом. 13</t>
        </is>
      </c>
      <c r="F78" s="3" t="inlineStr">
        <is>
          <t>18.10.22 05:00</t>
        </is>
      </c>
      <c r="G78" t="inlineStr">
        <is>
          <t>Алтайский край, рп Благовещенка, ул 40 лет Октября, д 2</t>
        </is>
      </c>
      <c r="H78" s="4" t="n">
        <v>260000</v>
      </c>
      <c r="I78" s="4" t="n">
        <v>1333.333333333333</v>
      </c>
      <c r="J78" t="inlineStr">
        <is>
          <t>Нежилое помещение</t>
        </is>
      </c>
      <c r="K78" s="5" t="n">
        <v>1.2</v>
      </c>
      <c r="L78" s="4" t="n">
        <v>222.17</v>
      </c>
      <c r="M78" t="n">
        <v>1113</v>
      </c>
      <c r="N78" s="6" t="n">
        <v>11445</v>
      </c>
      <c r="O78" t="n">
        <v>6</v>
      </c>
      <c r="P78" s="21" t="n">
        <v>6.638417475947058</v>
      </c>
      <c r="Q78" t="inlineStr">
        <is>
          <t>EA</t>
        </is>
      </c>
      <c r="R78" t="inlineStr">
        <is>
          <t>М</t>
        </is>
      </c>
      <c r="S78" s="2">
        <f>HYPERLINK("https://yandex.ru/maps/?&amp;text=52.831026, 79.890017", "52.831026, 79.890017")</f>
        <v/>
      </c>
      <c r="T78" s="2">
        <f>HYPERLINK("D:\venv_torgi\env\cache\objs_in_district/52.831026_79.890017.json", "52.831026_79.890017.json")</f>
        <v/>
      </c>
      <c r="U78" t="inlineStr">
        <is>
          <t xml:space="preserve">22:05:050309:7430, </t>
        </is>
      </c>
      <c r="W78" s="20" t="n">
        <v>10184.55663459608</v>
      </c>
      <c r="X78" s="22" t="n">
        <v>8851.223301262744</v>
      </c>
      <c r="Y78" t="n">
        <v>0</v>
      </c>
    </row>
    <row r="79">
      <c r="A79" s="8" t="n">
        <v>77</v>
      </c>
      <c r="B79" t="n">
        <v>22</v>
      </c>
      <c r="C79" s="1" t="n">
        <v>94</v>
      </c>
      <c r="D79" s="2">
        <f>HYPERLINK("https://torgi.gov.ru/new/public/lots/lot/21000012250000000029_1/(lotInfo:info)", "21000012250000000029_1")</f>
        <v/>
      </c>
      <c r="E79" t="inlineStr">
        <is>
          <t>нежилое помещение, общей площадью 93,5 кв.м., кадастровый № 22:05:050309:7431, расположенное по адресу: Алтайский край, Благовещенский район, р.п. Благовещенка, ул. 40 лет Октября, д. 2, пом. 12</t>
        </is>
      </c>
      <c r="F79" s="3" t="inlineStr">
        <is>
          <t>18.10.22 05:00</t>
        </is>
      </c>
      <c r="G79" t="inlineStr">
        <is>
          <t>Алтайский край, рп Благовещенка, ул 40 лет Октября, д 2</t>
        </is>
      </c>
      <c r="H79" s="4" t="n">
        <v>181000</v>
      </c>
      <c r="I79" s="4" t="n">
        <v>1925.531914893617</v>
      </c>
      <c r="J79" t="inlineStr">
        <is>
          <t>Нежилое помещение</t>
        </is>
      </c>
      <c r="K79" s="5" t="n">
        <v>1.73</v>
      </c>
      <c r="L79" s="4" t="n">
        <v>320.83</v>
      </c>
      <c r="M79" t="n">
        <v>1113</v>
      </c>
      <c r="N79" s="6" t="n">
        <v>11445</v>
      </c>
      <c r="O79" t="n">
        <v>6</v>
      </c>
      <c r="P79" s="21" t="n">
        <v>7.4249781883349</v>
      </c>
      <c r="Q79" t="inlineStr">
        <is>
          <t>EA</t>
        </is>
      </c>
      <c r="R79" t="inlineStr">
        <is>
          <t>М</t>
        </is>
      </c>
      <c r="S79" s="2">
        <f>HYPERLINK("https://yandex.ru/maps/?&amp;text=52.831026, 79.890017", "52.831026, 79.890017")</f>
        <v/>
      </c>
      <c r="T79" s="2">
        <f>HYPERLINK("D:\venv_torgi\env\cache\objs_in_district/52.831026_79.890017.json", "52.831026_79.890017.json")</f>
        <v/>
      </c>
      <c r="U79" t="inlineStr">
        <is>
          <t xml:space="preserve">22:05:050309:7431, </t>
        </is>
      </c>
      <c r="W79" s="20" t="n">
        <v>16222.56438392146</v>
      </c>
      <c r="X79" s="22" t="n">
        <v>14297.03246902784</v>
      </c>
      <c r="Y79" t="n">
        <v>0</v>
      </c>
    </row>
    <row r="80">
      <c r="A80" s="8" t="n">
        <v>78</v>
      </c>
      <c r="B80" t="n">
        <v>22</v>
      </c>
      <c r="C80" s="1" t="n">
        <v>2368.6</v>
      </c>
      <c r="D80" s="2">
        <f>HYPERLINK("https://torgi.gov.ru/new/public/lots/lot/21000004470000000017_12/(lotInfo:info)", "21000004470000000017_12")</f>
        <v/>
      </c>
      <c r="E80" t="inlineStr">
        <is>
          <t>Лот№12 Нежилое помещение, кадастровый №22:65:011433:119, площадь - 2368, 60 м2, этаж - 1, 2, адрес: АК, г. Бийск, территория ОАО "Полиэкс" пом. Н-1. Нач.цена 9498125 руб. 25 коп. Начальная цена лота указана без НДС. Окончательный размер НДС в договоре купли-продажи будет рассчитан после проведения аукциона (ООО «Новосил», запрет на р/д) (1112)</t>
        </is>
      </c>
      <c r="F80" s="3" t="inlineStr">
        <is>
          <t>05.09.22 08:00</t>
        </is>
      </c>
      <c r="G80" t="inlineStr">
        <is>
          <t>Алтайский край г. Бийск, территория Полиэкс</t>
        </is>
      </c>
      <c r="H80" s="4" t="n">
        <v>9498125.25</v>
      </c>
      <c r="I80" s="4" t="n">
        <v>4010.016570970194</v>
      </c>
      <c r="J80" t="inlineStr">
        <is>
          <t>Нежилое помещение</t>
        </is>
      </c>
      <c r="K80" s="5" t="n">
        <v>1.7</v>
      </c>
      <c r="L80" s="10" t="n"/>
      <c r="M80" t="n">
        <v>2362</v>
      </c>
      <c r="N80" s="6" t="n">
        <v>210229</v>
      </c>
      <c r="O80" t="inlineStr">
        <is>
          <t>0</t>
        </is>
      </c>
      <c r="P80" s="21" t="n">
        <v>0.6819879709867052</v>
      </c>
      <c r="Q80" t="inlineStr">
        <is>
          <t>EA</t>
        </is>
      </c>
      <c r="R80" t="inlineStr">
        <is>
          <t>Д</t>
        </is>
      </c>
      <c r="S80" s="2">
        <f>HYPERLINK("https://yandex.ru/maps/?&amp;text=52.486277, 85.075937", "52.486277, 85.075937")</f>
        <v/>
      </c>
      <c r="T80" s="11">
        <f>HYPERLINK("D:\venv_torgi\env\cache\objs_in_district/52.486277_85.075937.json", "52.486277_85.075937.json")</f>
        <v/>
      </c>
      <c r="U80" t="inlineStr">
        <is>
          <t xml:space="preserve">22:65:011433:119, </t>
        </is>
      </c>
      <c r="W80" s="20" t="n">
        <v>6744.799635829221</v>
      </c>
      <c r="X80" s="22" t="n">
        <v>2734.783064859027</v>
      </c>
      <c r="Y80" t="n">
        <v>0</v>
      </c>
    </row>
    <row r="81">
      <c r="A81" s="8" t="n">
        <v>79</v>
      </c>
      <c r="B81" t="n">
        <v>22</v>
      </c>
      <c r="C81" s="1" t="n">
        <v>218</v>
      </c>
      <c r="D81" s="2">
        <f>HYPERLINK("https://torgi.gov.ru/new/public/lots/lot/21000012250000000028_1/(lotInfo:info)", "21000012250000000028_1")</f>
        <v/>
      </c>
      <c r="E81" t="inlineStr">
        <is>
          <t>нежилое помещение общей площадью 218,0 кв.м., расположенное по адресу: Алтайский край, Благовещенский район, р.п. Благовещенка, ул. 40 лет Октября, 2/3</t>
        </is>
      </c>
      <c r="F81" s="3" t="inlineStr">
        <is>
          <t>20.09.22 05:00</t>
        </is>
      </c>
      <c r="G81" t="inlineStr">
        <is>
          <t>Алтайский край, рп Благовещенка, ул 40 лет Октября, д 2/3</t>
        </is>
      </c>
      <c r="H81" s="4" t="n">
        <v>950000</v>
      </c>
      <c r="I81" s="4" t="n">
        <v>4357.798165137615</v>
      </c>
      <c r="J81" t="inlineStr">
        <is>
          <t>Нежилое помещение</t>
        </is>
      </c>
      <c r="K81" s="5" t="n">
        <v>3.91</v>
      </c>
      <c r="L81" s="4" t="n">
        <v>726.17</v>
      </c>
      <c r="M81" t="n">
        <v>1113</v>
      </c>
      <c r="N81" s="6" t="n">
        <v>11445</v>
      </c>
      <c r="O81" t="n">
        <v>6</v>
      </c>
      <c r="P81" s="21" t="n">
        <v>1.337087732991521</v>
      </c>
      <c r="Q81" t="inlineStr">
        <is>
          <t>PP</t>
        </is>
      </c>
      <c r="R81" t="inlineStr">
        <is>
          <t>М</t>
        </is>
      </c>
      <c r="S81" s="2">
        <f>HYPERLINK("https://yandex.ru/maps/?&amp;text=52.831026, 79.890017", "52.831026, 79.890017")</f>
        <v/>
      </c>
      <c r="T81" s="2">
        <f>HYPERLINK("D:\venv_torgi\env\cache\objs_in_district/52.831026_79.890017.json", "52.831026_79.890017.json")</f>
        <v/>
      </c>
      <c r="U81" t="inlineStr">
        <is>
          <t>22:05:050229:16</t>
        </is>
      </c>
      <c r="W81" s="20" t="n">
        <v>10184.55663459608</v>
      </c>
      <c r="X81" s="22" t="n">
        <v>5826.758469458461</v>
      </c>
      <c r="Y81" t="n">
        <v>0</v>
      </c>
    </row>
    <row r="82">
      <c r="A82" s="8" t="n">
        <v>80</v>
      </c>
      <c r="B82" t="n">
        <v>22</v>
      </c>
      <c r="C82" s="1" t="n">
        <v>46.2</v>
      </c>
      <c r="D82" s="2">
        <f>HYPERLINK("https://torgi.gov.ru/new/public/lots/lot/21000015510000000027_1/(lotInfo:info)", "21000015510000000027_1")</f>
        <v/>
      </c>
      <c r="E82" t="inlineStr">
        <is>
          <t>Нежилое помещение №14 на 1-м этаже общей площадью 46,2 кв.м по пр-кту Ленина, 65.</t>
        </is>
      </c>
      <c r="F82" s="3" t="inlineStr">
        <is>
          <t>29.08.22 14:00</t>
        </is>
      </c>
      <c r="G82" t="inlineStr">
        <is>
          <t>г Барнаул, пр-кт Ленина, д 65</t>
        </is>
      </c>
      <c r="H82" s="4" t="n">
        <v>460000</v>
      </c>
      <c r="I82" s="4" t="n">
        <v>9956.709956709956</v>
      </c>
      <c r="J82" t="inlineStr">
        <is>
          <t>Нежилое помещение</t>
        </is>
      </c>
      <c r="K82" s="5" t="n">
        <v>2.03</v>
      </c>
      <c r="M82" t="n">
        <v>4898</v>
      </c>
      <c r="N82" s="6" t="n">
        <v>696217</v>
      </c>
      <c r="P82" s="21" t="n">
        <v>1.698308831597918</v>
      </c>
      <c r="Q82" t="inlineStr">
        <is>
          <t>EA</t>
        </is>
      </c>
      <c r="R82" t="inlineStr">
        <is>
          <t>М</t>
        </is>
      </c>
      <c r="S82" s="2">
        <f>HYPERLINK("https://yandex.ru/maps/?&amp;text=53.349241, 83.773658", "53.349241, 83.773658")</f>
        <v/>
      </c>
      <c r="U82" t="inlineStr">
        <is>
          <t>22:63:040413:2952</t>
        </is>
      </c>
      <c r="V82" s="7" t="inlineStr">
        <is>
          <t>1</t>
        </is>
      </c>
      <c r="W82" s="20" t="n">
        <v>26866.27840984939</v>
      </c>
      <c r="X82" s="22" t="n">
        <v>16909.56845313944</v>
      </c>
      <c r="Y82" t="n">
        <v>0</v>
      </c>
    </row>
    <row r="83">
      <c r="A83" s="8" t="n">
        <v>81</v>
      </c>
      <c r="B83" t="n">
        <v>22</v>
      </c>
      <c r="C83" s="1" t="n">
        <v>31.8</v>
      </c>
      <c r="D83" s="2">
        <f>HYPERLINK("https://torgi.gov.ru/new/public/lots/lot/22000080430000000047_7/(lotInfo:info)", "22000080430000000047_7")</f>
        <v/>
      </c>
      <c r="E83" t="inlineStr">
        <is>
          <t>Лот№7 Нежилое помещение (гаражный бокс), кадастровый № 22:63:010401:8206, площадь 31,8 кв.м., этаж – 1, адрес: Алтайский край, г. Барнаул, ул. Кавалерийская, д. 14, гаражный бокс 82, ПГК № 293. Начальная цена 442 000 руб. 00 коп. (Масальских А.К., запреты на совершение регистрационных действий) (1110) (повторные).</t>
        </is>
      </c>
      <c r="F83" s="3" t="inlineStr">
        <is>
          <t>21.09.22 04:00</t>
        </is>
      </c>
      <c r="G83" t="inlineStr">
        <is>
          <t>г Барнаул, ул Кавалерийская, д 14</t>
        </is>
      </c>
      <c r="H83" s="4" t="n">
        <v>442000</v>
      </c>
      <c r="I83" s="4" t="n">
        <v>13899.37106918239</v>
      </c>
      <c r="J83" t="inlineStr">
        <is>
          <t>гаражный бокс</t>
        </is>
      </c>
      <c r="K83" s="5" t="n">
        <v>4.34</v>
      </c>
      <c r="M83" t="n">
        <v>3203</v>
      </c>
      <c r="N83" s="6" t="n">
        <v>696217</v>
      </c>
      <c r="P83" s="21" t="n">
        <v>0.9329132430615626</v>
      </c>
      <c r="Q83" t="inlineStr">
        <is>
          <t>EA</t>
        </is>
      </c>
      <c r="R83" t="inlineStr">
        <is>
          <t>Д</t>
        </is>
      </c>
      <c r="S83" s="2">
        <f>HYPERLINK("https://yandex.ru/maps/?&amp;text=53.378521, 83.67046", "53.378521, 83.67046")</f>
        <v/>
      </c>
      <c r="U83" t="inlineStr">
        <is>
          <t xml:space="preserve">22:63:010401:8206, </t>
        </is>
      </c>
      <c r="W83" s="20" t="n">
        <v>26866.27840984939</v>
      </c>
      <c r="X83" s="22" t="n">
        <v>12966.907340667</v>
      </c>
      <c r="Y83" t="n">
        <v>0</v>
      </c>
    </row>
    <row r="84">
      <c r="A84" s="8" t="n">
        <v>82</v>
      </c>
      <c r="B84" t="n">
        <v>22</v>
      </c>
      <c r="C84" s="1" t="n">
        <v>260.5</v>
      </c>
      <c r="D84" s="2">
        <f>HYPERLINK("https://torgi.gov.ru/new/public/lots/lot/22000080430000000039_12/(lotInfo:info)", "22000080430000000039_12")</f>
        <v/>
      </c>
      <c r="E84" t="inlineStr">
        <is>
          <t>Нежилое помещение, кадастровый № 22:63:050111:265, площадь 260,50 кв.м., адрес: Алтайский край, г. Барнаул, ул. Чкалова, д. 21, пом. Н2</t>
        </is>
      </c>
      <c r="F84" s="3" t="inlineStr">
        <is>
          <t>31.08.22 04:00</t>
        </is>
      </c>
      <c r="G84" t="inlineStr">
        <is>
          <t>г Барнаул, ул Чкалова, д 21</t>
        </is>
      </c>
      <c r="H84" s="4" t="n">
        <v>3738436</v>
      </c>
      <c r="I84" s="4" t="n">
        <v>14351.0019193858</v>
      </c>
      <c r="J84" t="inlineStr">
        <is>
          <t>Нежилое помещение</t>
        </is>
      </c>
      <c r="K84" s="5" t="n">
        <v>3.77</v>
      </c>
      <c r="L84" s="4" t="n">
        <v>1594.56</v>
      </c>
      <c r="M84" t="n">
        <v>3807</v>
      </c>
      <c r="N84" s="6" t="n">
        <v>696217</v>
      </c>
      <c r="O84" t="n">
        <v>9</v>
      </c>
      <c r="Q84" t="inlineStr">
        <is>
          <t>EA</t>
        </is>
      </c>
      <c r="R84" t="inlineStr">
        <is>
          <t>Д</t>
        </is>
      </c>
      <c r="S84" s="2">
        <f>HYPERLINK("https://yandex.ru/maps/?&amp;text=53.34514, 83.793682", "53.34514, 83.793682")</f>
        <v/>
      </c>
      <c r="T84" s="2">
        <f>HYPERLINK("D:\venv_torgi\env\cache\objs_in_district/53.34514_83.793682.json", "53.34514_83.793682.json")</f>
        <v/>
      </c>
      <c r="U84" t="inlineStr">
        <is>
          <t xml:space="preserve">22:63:050111:265, </t>
        </is>
      </c>
      <c r="W84" s="20" t="n">
        <v>10184.55663459608</v>
      </c>
      <c r="X84" s="23" t="n">
        <v>-4166.445284789725</v>
      </c>
      <c r="Y84" t="n">
        <v>0</v>
      </c>
    </row>
    <row r="85">
      <c r="A85" s="8" t="n">
        <v>83</v>
      </c>
      <c r="B85" t="n">
        <v>22</v>
      </c>
      <c r="C85" s="1" t="n">
        <v>55.6</v>
      </c>
      <c r="D85" s="2">
        <f>HYPERLINK("https://torgi.gov.ru/new/public/lots/lot/21000020060000000004_3/(lotInfo:info)", "21000020060000000004_3")</f>
        <v/>
      </c>
      <c r="E85" t="inlineStr">
        <is>
          <t>нежилое помещение №10, расположенное по адресу: Алтайский край, г. Алейск, ул. Советская, 7а, общей площадью 55,6 кв.м., кадастровый номер объекта: 22:62:020713:157</t>
        </is>
      </c>
      <c r="F85" s="3" t="inlineStr">
        <is>
          <t>13.09.22 10:00</t>
        </is>
      </c>
      <c r="G85" t="inlineStr">
        <is>
          <t>Алтайский край, г Алейск, ул Советская, д 7а</t>
        </is>
      </c>
      <c r="H85" s="4" t="n">
        <v>1000000</v>
      </c>
      <c r="I85" s="4" t="n">
        <v>17985.61151079136</v>
      </c>
      <c r="J85" t="inlineStr">
        <is>
          <t>Нежилое помещение</t>
        </is>
      </c>
      <c r="K85" s="5" t="n">
        <v>11.95</v>
      </c>
      <c r="L85" s="4" t="n">
        <v>8992.5</v>
      </c>
      <c r="M85" t="n">
        <v>1505</v>
      </c>
      <c r="N85" s="6" t="n">
        <v>29249</v>
      </c>
      <c r="O85" t="n">
        <v>2</v>
      </c>
      <c r="P85" s="21" t="n">
        <v>0.4455948387970763</v>
      </c>
      <c r="Q85" t="inlineStr">
        <is>
          <t>EA</t>
        </is>
      </c>
      <c r="R85" t="inlineStr">
        <is>
          <t>М</t>
        </is>
      </c>
      <c r="S85" s="2">
        <f>HYPERLINK("https://yandex.ru/maps/?&amp;text=52.501751, 82.792213", "52.501751, 82.792213")</f>
        <v/>
      </c>
      <c r="T85" s="2">
        <f>HYPERLINK("D:\venv_torgi\env\cache\objs_in_district/52.501751_82.792213.json", "52.501751_82.792213.json")</f>
        <v/>
      </c>
      <c r="U85" t="inlineStr">
        <is>
          <t>22:62:020713:157</t>
        </is>
      </c>
      <c r="W85" s="20" t="n">
        <v>25999.90717260928</v>
      </c>
      <c r="X85" s="22" t="n">
        <v>8014.29566181792</v>
      </c>
      <c r="Y85" t="n">
        <v>0</v>
      </c>
    </row>
    <row r="86">
      <c r="A86" s="8" t="n">
        <v>84</v>
      </c>
      <c r="B86" t="n">
        <v>22</v>
      </c>
      <c r="C86" s="1" t="n">
        <v>29</v>
      </c>
      <c r="D86" s="2">
        <f>HYPERLINK("https://torgi.gov.ru/new/public/lots/lot/21000020060000000004_2/(lotInfo:info)", "21000020060000000004_2")</f>
        <v/>
      </c>
      <c r="E86" t="inlineStr">
        <is>
          <t>нежилое помещение №9, расположенное по адресу: Алтайский край, г. Алейск, ул. Советская, 7а, общей площадью 29 кв.м., кадастровый номер объекта: 22:62:020713:156</t>
        </is>
      </c>
      <c r="F86" s="3" t="inlineStr">
        <is>
          <t>13.09.22 10:00</t>
        </is>
      </c>
      <c r="G86" t="inlineStr">
        <is>
          <t>Алтайский край, г Алейск, ул Советская, д 7а</t>
        </is>
      </c>
      <c r="H86" s="4" t="n">
        <v>537000</v>
      </c>
      <c r="I86" s="4" t="n">
        <v>18517.24137931034</v>
      </c>
      <c r="J86" t="inlineStr">
        <is>
          <t>Нежилое помещение</t>
        </is>
      </c>
      <c r="K86" s="5" t="n">
        <v>12.3</v>
      </c>
      <c r="L86" s="4" t="n">
        <v>9258.5</v>
      </c>
      <c r="M86" t="n">
        <v>1505</v>
      </c>
      <c r="N86" s="6" t="n">
        <v>29249</v>
      </c>
      <c r="O86" t="n">
        <v>2</v>
      </c>
      <c r="P86" s="21" t="n">
        <v>0.4040918212396076</v>
      </c>
      <c r="Q86" t="inlineStr">
        <is>
          <t>EA</t>
        </is>
      </c>
      <c r="R86" t="inlineStr">
        <is>
          <t>М</t>
        </is>
      </c>
      <c r="S86" s="2">
        <f>HYPERLINK("https://yandex.ru/maps/?&amp;text=52.501751, 82.792213", "52.501751, 82.792213")</f>
        <v/>
      </c>
      <c r="T86" s="2">
        <f>HYPERLINK("D:\venv_torgi\env\cache\objs_in_district/52.501751_82.792213.json", "52.501751_82.792213.json")</f>
        <v/>
      </c>
      <c r="U86" t="inlineStr">
        <is>
          <t>22:62:020713:156</t>
        </is>
      </c>
      <c r="W86" s="20" t="n">
        <v>25999.90717260928</v>
      </c>
      <c r="X86" s="22" t="n">
        <v>7482.66579329894</v>
      </c>
      <c r="Y86" t="n">
        <v>0</v>
      </c>
    </row>
    <row r="87">
      <c r="A87" s="8" t="n">
        <v>85</v>
      </c>
      <c r="B87" t="n">
        <v>22</v>
      </c>
      <c r="C87" s="1" t="n">
        <v>36</v>
      </c>
      <c r="D87" s="2">
        <f>HYPERLINK("https://torgi.gov.ru/new/public/lots/lot/21000020060000000004_1/(lotInfo:info)", "21000020060000000004_1")</f>
        <v/>
      </c>
      <c r="E87" t="inlineStr">
        <is>
          <t>нежилое помещение №64, расположенное по адресу: Алтайский край, г. Алейск, ул. Советская, 7а, общей площадью 36,0 кв.м., кадастровый номер объекта: 22:62:020713:53</t>
        </is>
      </c>
      <c r="F87" s="3" t="inlineStr">
        <is>
          <t>13.09.22 10:00</t>
        </is>
      </c>
      <c r="G87" t="inlineStr">
        <is>
          <t>Алтайский край, г Алейск, ул Советская, д 7а</t>
        </is>
      </c>
      <c r="H87" s="4" t="n">
        <v>667000</v>
      </c>
      <c r="I87" s="4" t="n">
        <v>18527.77777777778</v>
      </c>
      <c r="J87" t="inlineStr">
        <is>
          <t>Нежилое помещение</t>
        </is>
      </c>
      <c r="K87" s="5" t="n">
        <v>12.31</v>
      </c>
      <c r="L87" s="4" t="n">
        <v>9263.5</v>
      </c>
      <c r="M87" t="n">
        <v>1505</v>
      </c>
      <c r="N87" s="6" t="n">
        <v>29249</v>
      </c>
      <c r="O87" t="n">
        <v>2</v>
      </c>
      <c r="P87" s="21" t="n">
        <v>0.4032933406505757</v>
      </c>
      <c r="Q87" t="inlineStr">
        <is>
          <t>EA</t>
        </is>
      </c>
      <c r="R87" t="inlineStr">
        <is>
          <t>М</t>
        </is>
      </c>
      <c r="S87" s="2">
        <f>HYPERLINK("https://yandex.ru/maps/?&amp;text=52.501751, 82.792213", "52.501751, 82.792213")</f>
        <v/>
      </c>
      <c r="T87" s="2">
        <f>HYPERLINK("D:\venv_torgi\env\cache\objs_in_district/52.501751_82.792213.json", "52.501751_82.792213.json")</f>
        <v/>
      </c>
      <c r="U87" t="inlineStr">
        <is>
          <t>22:62:020713:53</t>
        </is>
      </c>
      <c r="W87" s="20" t="n">
        <v>25999.90717260928</v>
      </c>
      <c r="X87" s="22" t="n">
        <v>7472.1293948315</v>
      </c>
      <c r="Y87" t="n">
        <v>0</v>
      </c>
    </row>
    <row r="88">
      <c r="A88" s="8" t="n">
        <v>86</v>
      </c>
      <c r="B88" t="n">
        <v>22</v>
      </c>
      <c r="C88" s="1" t="n">
        <v>21.2</v>
      </c>
      <c r="D88" s="2">
        <f>HYPERLINK("https://torgi.gov.ru/new/public/lots/lot/22000080430000000047_11/(lotInfo:info)", "22000080430000000047_11")</f>
        <v/>
      </c>
      <c r="E88" t="inlineStr">
        <is>
          <t>Лот№11 Нежилое помещение, кадастровый № 22:63:020618:1494, площадь 21,2 кв.м., этаж – 1, адрес: Алтайский край, г. Барнаул, ул. П.С. Кулагина, д. 10Б, бокс 173. Начальная цена 432 000 руб. 00 коп. (Винокуров В.С., запреты на совершение регистрационных действий) (1557).</t>
        </is>
      </c>
      <c r="F88" s="3" t="inlineStr">
        <is>
          <t>21.09.22 04:00</t>
        </is>
      </c>
      <c r="G88" t="inlineStr">
        <is>
          <t>г Барнаул, ул П.С.Кулагина, д 10б</t>
        </is>
      </c>
      <c r="H88" s="4" t="n">
        <v>432000</v>
      </c>
      <c r="I88" s="4" t="n">
        <v>20377.35849056604</v>
      </c>
      <c r="J88" t="inlineStr">
        <is>
          <t>Нежилое помещение</t>
        </is>
      </c>
      <c r="K88" s="5" t="n">
        <v>5.47</v>
      </c>
      <c r="M88" t="n">
        <v>3727</v>
      </c>
      <c r="N88" s="6" t="n">
        <v>696217</v>
      </c>
      <c r="P88" s="21" t="n">
        <v>0.8955838692519966</v>
      </c>
      <c r="Q88" t="inlineStr">
        <is>
          <t>EA</t>
        </is>
      </c>
      <c r="R88" t="inlineStr">
        <is>
          <t>Д</t>
        </is>
      </c>
      <c r="S88" s="2">
        <f>HYPERLINK("https://yandex.ru/maps/?&amp;text=53.371494, 83.777153", "53.371494, 83.777153")</f>
        <v/>
      </c>
      <c r="U88" t="inlineStr">
        <is>
          <t xml:space="preserve">22:63:020618:1494, </t>
        </is>
      </c>
      <c r="W88" s="20" t="n">
        <v>38626.9920526822</v>
      </c>
      <c r="X88" s="22" t="n">
        <v>18249.63356211616</v>
      </c>
      <c r="Y88" t="n">
        <v>0</v>
      </c>
    </row>
    <row r="89">
      <c r="A89" s="8" t="n">
        <v>87</v>
      </c>
      <c r="B89" t="n">
        <v>22</v>
      </c>
      <c r="C89" s="1" t="n">
        <v>23.2</v>
      </c>
      <c r="D89" s="2">
        <f>HYPERLINK("https://torgi.gov.ru/new/public/lots/lot/22000080430000000037_6/(lotInfo:info)", "22000080430000000037_6")</f>
        <v/>
      </c>
      <c r="E89" t="inlineStr">
        <is>
          <t>Лот№6 Гаражный бокс, назначение - нежилое, кадастровый № 22:63:010603:191, площадь 23,2 кв.м., адрес: Алтайский край, г. Барнаул, ул. Юрина, д. 168Е, бокс 25, ПГК – 44Б. Начальная цена 525 000 руб. 00 коп. (Брылев А.Л., запреты на совершение регистрационных действий) (1400).</t>
        </is>
      </c>
      <c r="F89" s="3" t="inlineStr">
        <is>
          <t>31.08.22 04:00</t>
        </is>
      </c>
      <c r="G89" t="inlineStr">
        <is>
          <t>г Барнаул, ул Юрина, д 168Е</t>
        </is>
      </c>
      <c r="H89" s="4" t="n">
        <v>525000</v>
      </c>
      <c r="I89" s="4" t="n">
        <v>22629.31034482759</v>
      </c>
      <c r="J89" t="inlineStr">
        <is>
          <t>Гаражный бокс</t>
        </is>
      </c>
      <c r="K89" s="5" t="n">
        <v>7.7</v>
      </c>
      <c r="L89" s="4" t="n">
        <v>1740.69</v>
      </c>
      <c r="M89" t="n">
        <v>2939</v>
      </c>
      <c r="N89" s="6" t="n">
        <v>696217</v>
      </c>
      <c r="O89" t="n">
        <v>13</v>
      </c>
      <c r="P89" s="21" t="n">
        <v>0.187233636397154</v>
      </c>
      <c r="Q89" t="inlineStr">
        <is>
          <t>EA</t>
        </is>
      </c>
      <c r="R89" t="inlineStr">
        <is>
          <t>Д</t>
        </is>
      </c>
      <c r="S89" s="2">
        <f>HYPERLINK("https://yandex.ru/maps/?&amp;text=53.3661, 83.71549", "53.3661, 83.71549")</f>
        <v/>
      </c>
      <c r="T89" s="2">
        <f>HYPERLINK("D:\venv_torgi\env\cache\objs_in_district/53.3661_83.71549.json", "53.3661_83.71549.json")</f>
        <v/>
      </c>
      <c r="U89" t="inlineStr">
        <is>
          <t xml:space="preserve">22:63:010603:191, </t>
        </is>
      </c>
      <c r="W89" s="20" t="n">
        <v>26866.27840984939</v>
      </c>
      <c r="X89" s="22" t="n">
        <v>4236.968065021803</v>
      </c>
      <c r="Y89" t="n">
        <v>0</v>
      </c>
    </row>
    <row r="90">
      <c r="A90" s="8" t="n">
        <v>88</v>
      </c>
      <c r="B90" t="n">
        <v>22</v>
      </c>
      <c r="C90" s="1" t="n">
        <v>172.2</v>
      </c>
      <c r="D90" s="2">
        <f>HYPERLINK("https://torgi.gov.ru/new/public/lots/lot/21000015510000000029_8/(lotInfo:info)", "21000015510000000029_8")</f>
        <v/>
      </c>
      <c r="E90" t="inlineStr">
        <is>
          <t>Нежилое помещение Н2 на 1-м этаже общей площадью 172,2 кв.м по ул.П.С.Кулагина, 4.</t>
        </is>
      </c>
      <c r="F90" s="3" t="inlineStr">
        <is>
          <t>12.09.22 14:00</t>
        </is>
      </c>
      <c r="G90" t="inlineStr">
        <is>
          <t>г Барнаул, ул П.С.Кулагина, д 4</t>
        </is>
      </c>
      <c r="H90" s="4" t="n">
        <v>4000000</v>
      </c>
      <c r="I90" s="4" t="n">
        <v>23228.8037166086</v>
      </c>
      <c r="J90" t="inlineStr">
        <is>
          <t>Нежилое помещение</t>
        </is>
      </c>
      <c r="K90" s="5" t="n">
        <v>4.79</v>
      </c>
      <c r="L90" s="4" t="n">
        <v>3318.29</v>
      </c>
      <c r="M90" t="n">
        <v>4846</v>
      </c>
      <c r="N90" s="6" t="n">
        <v>696217</v>
      </c>
      <c r="O90" t="n">
        <v>7</v>
      </c>
      <c r="Q90" t="inlineStr">
        <is>
          <t>EA</t>
        </is>
      </c>
      <c r="R90" t="inlineStr">
        <is>
          <t>М</t>
        </is>
      </c>
      <c r="S90" s="2">
        <f>HYPERLINK("https://yandex.ru/maps/?&amp;text=53.367023, 83.76712", "53.367023, 83.76712")</f>
        <v/>
      </c>
      <c r="T90" s="2">
        <f>HYPERLINK("D:\venv_torgi\env\cache\objs_in_district/53.367023_83.76712.json", "53.367023_83.76712.json")</f>
        <v/>
      </c>
      <c r="U90" t="inlineStr">
        <is>
          <t>22:63:020444:1256</t>
        </is>
      </c>
      <c r="V90" s="7" t="inlineStr">
        <is>
          <t>1</t>
        </is>
      </c>
      <c r="W90" s="20" t="n">
        <v>10184.55663459608</v>
      </c>
      <c r="X90" s="23" t="n">
        <v>-13044.24708201252</v>
      </c>
      <c r="Y90" t="n">
        <v>0</v>
      </c>
    </row>
    <row r="91">
      <c r="A91" s="8" t="n">
        <v>89</v>
      </c>
      <c r="B91" t="n">
        <v>22</v>
      </c>
      <c r="C91" s="1" t="n">
        <v>18.1</v>
      </c>
      <c r="D91" s="2">
        <f>HYPERLINK("https://torgi.gov.ru/new/public/lots/lot/22000080430000000039_1/(lotInfo:info)", "22000080430000000039_1")</f>
        <v/>
      </c>
      <c r="E91" t="inlineStr">
        <is>
          <t>Нежилое помещение, кадастровый № 22:63:020347:2372, площадь 18,10 кв.м., адрес: Алтайский край, г. Барнаул, ул. Северо-Западная, д. 50А, бокс 87</t>
        </is>
      </c>
      <c r="F91" s="3" t="inlineStr">
        <is>
          <t>31.08.22 04:00</t>
        </is>
      </c>
      <c r="G91" t="inlineStr">
        <is>
          <t>г Барнаул, ул Северо-Западная, зд 50а</t>
        </is>
      </c>
      <c r="H91" s="4" t="n">
        <v>443504</v>
      </c>
      <c r="I91" s="4" t="n">
        <v>24502.98342541436</v>
      </c>
      <c r="J91" t="inlineStr">
        <is>
          <t>Нежилое помещение</t>
        </is>
      </c>
      <c r="K91" s="5" t="n">
        <v>4.97</v>
      </c>
      <c r="M91" t="n">
        <v>4927</v>
      </c>
      <c r="N91" s="6" t="n">
        <v>696217</v>
      </c>
      <c r="P91" s="21" t="n">
        <v>0.5764199559723201</v>
      </c>
      <c r="Q91" t="inlineStr">
        <is>
          <t>EA</t>
        </is>
      </c>
      <c r="R91" t="inlineStr">
        <is>
          <t>Д</t>
        </is>
      </c>
      <c r="S91" s="2">
        <f>HYPERLINK("https://yandex.ru/maps/?&amp;text=53.37331, 83.74397", "53.37331, 83.74397")</f>
        <v/>
      </c>
      <c r="U91" t="inlineStr">
        <is>
          <t xml:space="preserve">22:63:020347:2372, </t>
        </is>
      </c>
      <c r="W91" s="20" t="n">
        <v>38626.9920526822</v>
      </c>
      <c r="X91" s="22" t="n">
        <v>14124.00862726783</v>
      </c>
      <c r="Y91" t="n">
        <v>0</v>
      </c>
    </row>
    <row r="92">
      <c r="A92" s="8" t="n">
        <v>90</v>
      </c>
      <c r="B92" t="n">
        <v>22</v>
      </c>
      <c r="C92" s="1" t="n">
        <v>47.7</v>
      </c>
      <c r="D92" s="2">
        <f>HYPERLINK("https://torgi.gov.ru/new/public/lots/lot/22000080430000000042_13/(lotInfo:info)", "22000080430000000042_13")</f>
        <v/>
      </c>
      <c r="E92" t="inlineStr">
        <is>
          <t>Нежилое помещение, кадастровый № 22:63:030328:353, площадь 47,70 кв.м., адрес: Алтайский край, г. Барнаул, ул. Попова, 258В. Начальная цена 1 766 000 руб.</t>
        </is>
      </c>
      <c r="F92" s="3" t="inlineStr">
        <is>
          <t>21.09.22 04:00</t>
        </is>
      </c>
      <c r="G92" t="inlineStr">
        <is>
          <t>г Барнаул, ул Попова, д 258В</t>
        </is>
      </c>
      <c r="H92" s="4" t="n">
        <v>1766000</v>
      </c>
      <c r="I92" s="4" t="n">
        <v>37023.0607966457</v>
      </c>
      <c r="J92" t="inlineStr">
        <is>
          <t>Нежилое помещение</t>
        </is>
      </c>
      <c r="K92" s="5" t="n">
        <v>10.24</v>
      </c>
      <c r="L92" s="4" t="n">
        <v>4627.88</v>
      </c>
      <c r="M92" t="n">
        <v>3617</v>
      </c>
      <c r="N92" s="6" t="n">
        <v>696217</v>
      </c>
      <c r="O92" t="n">
        <v>8</v>
      </c>
      <c r="Q92" t="inlineStr">
        <is>
          <t>EA</t>
        </is>
      </c>
      <c r="R92" t="inlineStr">
        <is>
          <t>Д</t>
        </is>
      </c>
      <c r="S92" s="2">
        <f>HYPERLINK("https://yandex.ru/maps/?&amp;text=53.319023, 83.62431", "53.319023, 83.62431")</f>
        <v/>
      </c>
      <c r="T92" s="2">
        <f>HYPERLINK("D:\venv_torgi\env\cache\objs_in_district/53.319023_83.62431.json", "53.319023_83.62431.json")</f>
        <v/>
      </c>
      <c r="U92" t="inlineStr">
        <is>
          <t xml:space="preserve">22:63:030328:353, </t>
        </is>
      </c>
      <c r="W92" s="20" t="n">
        <v>26866.27840984939</v>
      </c>
      <c r="X92" s="23" t="n">
        <v>-10156.78238679631</v>
      </c>
      <c r="Y92" t="n">
        <v>0</v>
      </c>
    </row>
    <row r="93">
      <c r="A93" s="8" t="n">
        <v>91</v>
      </c>
      <c r="B93" t="n">
        <v>22</v>
      </c>
      <c r="C93" s="1" t="n">
        <v>21.7</v>
      </c>
      <c r="D93" s="2">
        <f>HYPERLINK("https://torgi.gov.ru/new/public/lots/lot/22000080430000000039_14/(lotInfo:info)", "22000080430000000039_14")</f>
        <v/>
      </c>
      <c r="E93" t="inlineStr">
        <is>
          <t>Нежилое помещение, кадастровый № 22:63:030406:871, площадь 21,70 кв.м., этаж 2, адрес: Алтайский край, г. Барнаул, ул. Малахова, д. 134А, бокс 206</t>
        </is>
      </c>
      <c r="F93" s="3" t="inlineStr">
        <is>
          <t>31.08.22 04:00</t>
        </is>
      </c>
      <c r="G93" t="inlineStr">
        <is>
          <t>г Барнаул, ул Малахова, д 134А</t>
        </is>
      </c>
      <c r="H93" s="4" t="n">
        <v>1009723</v>
      </c>
      <c r="I93" s="4" t="n">
        <v>46531.01382488479</v>
      </c>
      <c r="J93" t="inlineStr">
        <is>
          <t>Нежилое помещение</t>
        </is>
      </c>
      <c r="K93" s="5" t="n">
        <v>7.72</v>
      </c>
      <c r="L93" s="4" t="n">
        <v>1501</v>
      </c>
      <c r="M93" t="n">
        <v>6024</v>
      </c>
      <c r="N93" s="6" t="n">
        <v>696217</v>
      </c>
      <c r="O93" t="n">
        <v>31</v>
      </c>
      <c r="Q93" t="inlineStr">
        <is>
          <t>EA</t>
        </is>
      </c>
      <c r="R93" t="inlineStr">
        <is>
          <t>Д</t>
        </is>
      </c>
      <c r="S93" s="2">
        <f>HYPERLINK("https://yandex.ru/maps/?&amp;text=53.3398266, 83.6925049", "53.3398266, 83.6925049")</f>
        <v/>
      </c>
      <c r="T93" s="2">
        <f>HYPERLINK("D:\venv_torgi\env\cache\objs_in_district/53.3398266_83.6925049.json", "53.3398266_83.6925049.json")</f>
        <v/>
      </c>
      <c r="U93" t="inlineStr">
        <is>
          <t xml:space="preserve">22:63:030406:871, </t>
        </is>
      </c>
      <c r="V93" s="7" t="inlineStr">
        <is>
          <t>2</t>
        </is>
      </c>
      <c r="W93" s="20" t="n">
        <v>38626.9920526822</v>
      </c>
      <c r="X93" s="23" t="n">
        <v>-7904.021772202592</v>
      </c>
      <c r="Y93" t="n">
        <v>0</v>
      </c>
    </row>
    <row r="94">
      <c r="A94" s="8" t="n">
        <v>92</v>
      </c>
      <c r="B94" t="n">
        <v>22</v>
      </c>
      <c r="C94" s="1" t="n">
        <v>21.6</v>
      </c>
      <c r="D94" s="2">
        <f>HYPERLINK("https://torgi.gov.ru/new/public/lots/lot/22000080430000000047_6/(lotInfo:info)", "22000080430000000047_6")</f>
        <v/>
      </c>
      <c r="E94" t="inlineStr">
        <is>
          <t>Лот№6 Нежилое помещение (гаражный бокс), кадастровый № 22:63:030412:1575, площадь 21,6 кв.м., этаж – 2, адрес: Алтайский край, г. Барнаул, ул. Балтийская, д. 8, бокс 13. Начальная цена 1 505 483 руб. 45 коп. (Тэрри Р.В., запреты на совершение регистрационных действий, арест) (1104) (повторные).</t>
        </is>
      </c>
      <c r="F94" s="3" t="inlineStr">
        <is>
          <t>21.09.22 04:00</t>
        </is>
      </c>
      <c r="G94" t="inlineStr">
        <is>
          <t>г Барнаул, ул Балтийская, д 81</t>
        </is>
      </c>
      <c r="H94" s="4" t="n">
        <v>1505483.45</v>
      </c>
      <c r="I94" s="4" t="n">
        <v>69698.30787037036</v>
      </c>
      <c r="J94" t="inlineStr">
        <is>
          <t>гаражный бокс</t>
        </is>
      </c>
      <c r="K94" s="5" t="n">
        <v>15.06</v>
      </c>
      <c r="L94" s="4" t="n">
        <v>2323.27</v>
      </c>
      <c r="M94" t="n">
        <v>4627</v>
      </c>
      <c r="N94" s="6" t="n">
        <v>696217</v>
      </c>
      <c r="O94" t="n">
        <v>30</v>
      </c>
      <c r="Q94" t="inlineStr">
        <is>
          <t>EA</t>
        </is>
      </c>
      <c r="R94" t="inlineStr">
        <is>
          <t>Д</t>
        </is>
      </c>
      <c r="S94" s="2">
        <f>HYPERLINK("https://yandex.ru/maps/?&amp;text=53.335995, 83.665886", "53.335995, 83.665886")</f>
        <v/>
      </c>
      <c r="T94" s="2">
        <f>HYPERLINK("D:\venv_torgi\env\cache\objs_in_district/53.335995_83.665886.json", "53.335995_83.665886.json")</f>
        <v/>
      </c>
      <c r="U94" t="inlineStr">
        <is>
          <t xml:space="preserve">22:63:030412:1575, </t>
        </is>
      </c>
      <c r="W94" s="20" t="n">
        <v>69698.30787037036</v>
      </c>
      <c r="X94" s="20" t="n">
        <v>0</v>
      </c>
      <c r="Y94" t="n">
        <v>0</v>
      </c>
    </row>
    <row r="95">
      <c r="A95" s="8" t="n">
        <v>93</v>
      </c>
      <c r="B95" t="n">
        <v>23</v>
      </c>
      <c r="C95" s="1" t="n">
        <v>975.7</v>
      </c>
      <c r="D95" s="2">
        <f>HYPERLINK("https://torgi.gov.ru/new/public/lots/lot/21000003580000000011_3/(lotInfo:info)", "21000003580000000011_3")</f>
        <v/>
      </c>
      <c r="E95" t="inlineStr">
        <is>
          <t>Нежилое помещение с кадастровым номером 23:38:0102002:2419 (№35, 1-й этаж), общей площадью 18, 1 кв.м.; нежилые помещения с кадастровым номером 23:38:0102002:2420 (№92-95, 1-й этаж), общей площадью 35,7 кв.м.; нежилые помещения с кадастровым номером 23:38:0102002:2417 (№83-88, 1-й этаж), общей площадью 17,3 кв.м.; нежилое помещение с кадастровым номером 23:38:0102002:2408 (№27, 1-й этаж), общей площадью 12,9 кв.м. (полный перечень имущества опубликован в прикрепленном извещении)</t>
        </is>
      </c>
      <c r="F95" s="3" t="inlineStr">
        <is>
          <t>04.10.22 20:59</t>
        </is>
      </c>
      <c r="G95" t="inlineStr">
        <is>
          <t>Краснодарский край, г Армавир, ул Вокзальная, д 6</t>
        </is>
      </c>
      <c r="H95" s="4" t="n">
        <v>5007100</v>
      </c>
      <c r="I95" s="4" t="n">
        <v>5131.802808240238</v>
      </c>
      <c r="J95" t="inlineStr">
        <is>
          <t>Нежилое помещение</t>
        </is>
      </c>
      <c r="K95" s="5" t="n">
        <v>1.74</v>
      </c>
      <c r="L95" s="4" t="n">
        <v>366.5</v>
      </c>
      <c r="M95" t="n">
        <v>2949</v>
      </c>
      <c r="N95" s="6" t="n">
        <v>205120</v>
      </c>
      <c r="O95" t="n">
        <v>14</v>
      </c>
      <c r="P95" s="21" t="n">
        <v>0.3143138752328835</v>
      </c>
      <c r="Q95" t="inlineStr">
        <is>
          <t>EA</t>
        </is>
      </c>
      <c r="R95" t="inlineStr">
        <is>
          <t>М</t>
        </is>
      </c>
      <c r="S95" s="2">
        <f>HYPERLINK("https://yandex.ru/maps/?&amp;text=45.001001, 41.081467", "45.001001, 41.081467")</f>
        <v/>
      </c>
      <c r="T95" s="2">
        <f>HYPERLINK("D:\venv_torgi\env\cache\objs_in_district/45.001001_41.081467.json", "45.001001_41.081467.json")</f>
        <v/>
      </c>
      <c r="U95" t="inlineStr">
        <is>
          <t xml:space="preserve">23:38:0102002:2419 </t>
        </is>
      </c>
      <c r="V95" s="7" t="inlineStr">
        <is>
          <t>1</t>
        </is>
      </c>
      <c r="W95" s="20" t="n">
        <v>6744.799635829221</v>
      </c>
      <c r="X95" s="22" t="n">
        <v>1612.996827588983</v>
      </c>
      <c r="Y95" t="n">
        <v>0</v>
      </c>
    </row>
    <row r="96">
      <c r="A96" s="8" t="n">
        <v>94</v>
      </c>
      <c r="B96" t="n">
        <v>23</v>
      </c>
      <c r="C96" s="1" t="n">
        <v>24.8</v>
      </c>
      <c r="D96" s="2">
        <f>HYPERLINK("https://torgi.gov.ru/new/public/lots/lot/21000031720000000005_3/(lotInfo:info)", "21000031720000000005_3")</f>
        <v/>
      </c>
      <c r="E96" t="inlineStr">
        <is>
          <t>нежилое помещение общей площадью 24,8 кв. м, кадастровый номер 23:06:0101006:330, адрес: Гулькевичский район, пос. Урожайный,                           ул. Ветеранов, 10, кв. 5</t>
        </is>
      </c>
      <c r="F96" s="3" t="inlineStr">
        <is>
          <t>19.09.22 14:00</t>
        </is>
      </c>
      <c r="G96" t="inlineStr">
        <is>
          <t>Краснодарский край, Гулькевичский р-н, поселок Урожайный, ул Ветеранов, д 10</t>
        </is>
      </c>
      <c r="H96" s="4" t="n">
        <v>139000</v>
      </c>
      <c r="I96" s="4" t="n">
        <v>5604.83870967742</v>
      </c>
      <c r="J96" t="inlineStr">
        <is>
          <t>Нежилое помещение</t>
        </is>
      </c>
      <c r="K96" s="5" t="n">
        <v>13.15</v>
      </c>
      <c r="M96" t="n">
        <v>426</v>
      </c>
      <c r="N96" s="6" t="n">
        <v>554</v>
      </c>
      <c r="P96" s="21" t="n">
        <v>3.63883235885403</v>
      </c>
      <c r="Q96" t="inlineStr">
        <is>
          <t>PP</t>
        </is>
      </c>
      <c r="R96" t="inlineStr">
        <is>
          <t>М</t>
        </is>
      </c>
      <c r="S96" s="2">
        <f>HYPERLINK("https://yandex.ru/maps/?&amp;text=45.34414, 40.473119", "45.34414, 40.473119")</f>
        <v/>
      </c>
      <c r="U96" t="inlineStr">
        <is>
          <t xml:space="preserve">23:06:0101006:330, </t>
        </is>
      </c>
      <c r="W96" s="20" t="n">
        <v>25999.90717260928</v>
      </c>
      <c r="X96" s="22" t="n">
        <v>20395.06846293186</v>
      </c>
      <c r="Y96" t="n">
        <v>0</v>
      </c>
    </row>
    <row r="97">
      <c r="A97" s="8" t="n">
        <v>95</v>
      </c>
      <c r="B97" t="n">
        <v>23</v>
      </c>
      <c r="C97" s="1" t="n">
        <v>68.59999999999999</v>
      </c>
      <c r="D97" s="2">
        <f>HYPERLINK("https://torgi.gov.ru/new/public/lots/lot/22000031450000000002_1/(lotInfo:info)", "22000031450000000002_1")</f>
        <v/>
      </c>
      <c r="E97" t="inlineStr">
        <is>
          <t>Согласно раздела Информационного сообщения (вложение): "Наименование муниципального имущества характеристика муниципального имущества"</t>
        </is>
      </c>
      <c r="F97" s="3" t="inlineStr">
        <is>
          <t>04.09.22 20:59</t>
        </is>
      </c>
      <c r="G97" t="inlineStr">
        <is>
          <t>Краснодарский край, Апшеронский р-н, ст-ца Лесогорская, ул Пушкина, д 7</t>
        </is>
      </c>
      <c r="H97" s="4" t="n">
        <v>478144</v>
      </c>
      <c r="I97" s="4" t="n">
        <v>6970.029154518951</v>
      </c>
      <c r="J97" t="inlineStr">
        <is>
          <t>здание (</t>
        </is>
      </c>
      <c r="K97" s="5" t="n">
        <v>80.11</v>
      </c>
      <c r="M97" t="n">
        <v>87</v>
      </c>
      <c r="N97" s="6" t="n">
        <v>805</v>
      </c>
      <c r="P97" s="21" t="n">
        <v>1.327474394192988</v>
      </c>
      <c r="Q97" t="inlineStr">
        <is>
          <t>EA</t>
        </is>
      </c>
      <c r="R97" t="inlineStr">
        <is>
          <t>М</t>
        </is>
      </c>
      <c r="S97" s="2">
        <f>HYPERLINK("https://yandex.ru/maps/?&amp;text=44.547967, 39.530319", "44.547967, 39.530319")</f>
        <v/>
      </c>
      <c r="U97" t="inlineStr">
        <is>
          <t>23:02:0108006:2124</t>
        </is>
      </c>
      <c r="V97" s="7" t="inlineStr">
        <is>
          <t>1</t>
        </is>
      </c>
      <c r="W97" s="20" t="n">
        <v>16222.56438392146</v>
      </c>
      <c r="X97" s="22" t="n">
        <v>9252.535229402507</v>
      </c>
      <c r="Y97" t="n">
        <v>0</v>
      </c>
    </row>
    <row r="98">
      <c r="A98" s="8" t="n">
        <v>96</v>
      </c>
      <c r="B98" t="n">
        <v>23</v>
      </c>
      <c r="C98" s="1" t="n">
        <v>29.4</v>
      </c>
      <c r="D98" s="2">
        <f>HYPERLINK("https://torgi.gov.ru/new/public/lots/lot/21000003580000000010_2/(lotInfo:info)", "21000003580000000010_2")</f>
        <v/>
      </c>
      <c r="E98" t="inlineStr">
        <is>
          <t>Нежилые помещения с кадастровым номером 23:38:0114018:404 (№23,24,25), общей площадью 29,4 квадратных метра, расположенные по адресу: Краснодарский край, город Армавир, улица Свердлова, 66</t>
        </is>
      </c>
      <c r="F98" s="3" t="inlineStr">
        <is>
          <t>04.09.22 20:59</t>
        </is>
      </c>
      <c r="G98" t="inlineStr">
        <is>
          <t>Краснодарский край, г Армавир, ул Свердлова, уч 66</t>
        </is>
      </c>
      <c r="H98" s="4" t="n">
        <v>212000</v>
      </c>
      <c r="I98" s="4" t="n">
        <v>7210.884353741497</v>
      </c>
      <c r="J98" t="inlineStr">
        <is>
          <t>Нежилое помещение</t>
        </is>
      </c>
      <c r="K98" s="5" t="n">
        <v>2.33</v>
      </c>
      <c r="M98" t="n">
        <v>3096</v>
      </c>
      <c r="N98" s="6" t="n">
        <v>205120</v>
      </c>
      <c r="P98" s="21" t="n">
        <v>2.725795213441378</v>
      </c>
      <c r="Q98" t="inlineStr">
        <is>
          <t>EA</t>
        </is>
      </c>
      <c r="R98" t="inlineStr">
        <is>
          <t>М</t>
        </is>
      </c>
      <c r="S98" s="2">
        <f>HYPERLINK("https://yandex.ru/maps/?&amp;text=44.994831, 41.117094", "44.994831, 41.117094")</f>
        <v/>
      </c>
      <c r="U98" t="inlineStr">
        <is>
          <t xml:space="preserve">23:38:0114018:404 </t>
        </is>
      </c>
      <c r="W98" s="20" t="n">
        <v>26866.27840984939</v>
      </c>
      <c r="X98" s="22" t="n">
        <v>19655.3940561079</v>
      </c>
      <c r="Y98" t="n">
        <v>0</v>
      </c>
    </row>
    <row r="99">
      <c r="A99" s="8" t="n">
        <v>97</v>
      </c>
      <c r="B99" t="n">
        <v>23</v>
      </c>
      <c r="C99" s="1" t="n">
        <v>673.9</v>
      </c>
      <c r="D99" s="2">
        <f>HYPERLINK("https://torgi.gov.ru/new/public/lots/lot/21000003580000000011_2/(lotInfo:info)", "21000003580000000011_2")</f>
        <v/>
      </c>
      <c r="E99" t="inlineStr">
        <is>
          <t>Нежилое помещение с кадастровым номером 23:38:0102002:2432 (№26, 1-й этаж), общей площадью 12,9 кв.м.; нежилое помещение с кадастровым номером 23:38:0102002:2433 (№146а, 1-й этаж), общей площадью 12,9 кв.м.; нежилое помещение с кадастровым номером 23:38:0102002:2431 (№25, 1-й этаж), общей площадью 12,3 кв.м.; нежилое помещение с кадастровым номером 23:38:0102002:2430 (№24, 1-й этаж), общей площадью 12,8 кв.м. (полный перечень имущества опубликован в прикрепленном извещении)</t>
        </is>
      </c>
      <c r="F99" s="3" t="inlineStr">
        <is>
          <t>04.10.22 20:59</t>
        </is>
      </c>
      <c r="G99" t="inlineStr">
        <is>
          <t>Краснодарский край, г Армавир, ул Вокзальная, д 6</t>
        </is>
      </c>
      <c r="H99" s="4" t="n">
        <v>4998800</v>
      </c>
      <c r="I99" s="4" t="n">
        <v>7417.717762279271</v>
      </c>
      <c r="J99" t="inlineStr">
        <is>
          <t>Нежилое помещение</t>
        </is>
      </c>
      <c r="K99" s="5" t="n">
        <v>2.52</v>
      </c>
      <c r="L99" s="4" t="n">
        <v>529.79</v>
      </c>
      <c r="M99" t="n">
        <v>2949</v>
      </c>
      <c r="N99" s="6" t="n">
        <v>205120</v>
      </c>
      <c r="O99" t="n">
        <v>14</v>
      </c>
      <c r="Q99" t="inlineStr">
        <is>
          <t>EA</t>
        </is>
      </c>
      <c r="R99" t="inlineStr">
        <is>
          <t>М</t>
        </is>
      </c>
      <c r="S99" s="2">
        <f>HYPERLINK("https://yandex.ru/maps/?&amp;text=45.001001, 41.081467", "45.001001, 41.081467")</f>
        <v/>
      </c>
      <c r="T99" s="2">
        <f>HYPERLINK("D:\venv_torgi\env\cache\objs_in_district/45.001001_41.081467.json", "45.001001_41.081467.json")</f>
        <v/>
      </c>
      <c r="U99" t="inlineStr">
        <is>
          <t xml:space="preserve">23:38:0102002:2432 </t>
        </is>
      </c>
      <c r="V99" s="7" t="inlineStr">
        <is>
          <t>1</t>
        </is>
      </c>
      <c r="W99" s="20" t="n">
        <v>6744.799635829221</v>
      </c>
      <c r="X99" s="23" t="n">
        <v>-672.9181264500494</v>
      </c>
      <c r="Y99" t="n">
        <v>0</v>
      </c>
    </row>
    <row r="100">
      <c r="A100" s="8" t="n">
        <v>98</v>
      </c>
      <c r="B100" t="n">
        <v>23</v>
      </c>
      <c r="C100" s="1" t="n">
        <v>617.9</v>
      </c>
      <c r="D100" s="2">
        <f>HYPERLINK("https://torgi.gov.ru/new/public/lots/lot/21000003580000000011_1/(lotInfo:info)", "21000003580000000011_1")</f>
        <v/>
      </c>
      <c r="E100" t="inlineStr">
        <is>
          <t>Нежилые помещения с кадастровым номером 23:38:0102002:2428 (№42-44, 1-й этаж), общей площадью 12,8 кв.м., нежилые помещения с кадастровым номером 23:38:0102002:2427 (№39-41, 1-й этаж), общей площадью 12,5 кв.м.; нежилое помещение с кадастровым номером 23:38:0102002:2425 (№111, 1-й этаж), общей площадью 12,4 кв.м.; нежилое помещение с кадастровым номером 23:38:0102002:2426 (№112, 1-й этаж), общей площадью 12,8 кв.м.; (полный перечень имущества опубликован в прикрепленном извещении)</t>
        </is>
      </c>
      <c r="F100" s="3" t="inlineStr">
        <is>
          <t>04.10.22 20:59</t>
        </is>
      </c>
      <c r="G100" t="inlineStr">
        <is>
          <t>Краснодарский край, г Армавир, ул Вокзальная, д 6</t>
        </is>
      </c>
      <c r="H100" s="4" t="n">
        <v>5002400</v>
      </c>
      <c r="I100" s="4" t="n">
        <v>8095.808383233533</v>
      </c>
      <c r="J100" t="inlineStr">
        <is>
          <t>Нежилое помещение</t>
        </is>
      </c>
      <c r="K100" s="5" t="n">
        <v>2.74</v>
      </c>
      <c r="L100" s="4" t="n">
        <v>578.21</v>
      </c>
      <c r="M100" t="n">
        <v>2949</v>
      </c>
      <c r="N100" s="6" t="n">
        <v>205120</v>
      </c>
      <c r="O100" t="n">
        <v>14</v>
      </c>
      <c r="Q100" t="inlineStr">
        <is>
          <t>EA</t>
        </is>
      </c>
      <c r="R100" t="inlineStr">
        <is>
          <t>М</t>
        </is>
      </c>
      <c r="S100" s="2">
        <f>HYPERLINK("https://yandex.ru/maps/?&amp;text=45.001001, 41.081467", "45.001001, 41.081467")</f>
        <v/>
      </c>
      <c r="T100" s="2">
        <f>HYPERLINK("D:\venv_torgi\env\cache\objs_in_district/45.001001_41.081467.json", "45.001001_41.081467.json")</f>
        <v/>
      </c>
      <c r="U100" t="inlineStr">
        <is>
          <t xml:space="preserve">23:38:0102002:2428 </t>
        </is>
      </c>
      <c r="V100" s="7" t="inlineStr">
        <is>
          <t>1</t>
        </is>
      </c>
      <c r="W100" s="20" t="n">
        <v>6744.799635829221</v>
      </c>
      <c r="X100" s="23" t="n">
        <v>-1351.008747404312</v>
      </c>
      <c r="Y100" t="n">
        <v>0</v>
      </c>
    </row>
    <row r="101">
      <c r="A101" s="8" t="n">
        <v>99</v>
      </c>
      <c r="B101" t="n">
        <v>23</v>
      </c>
      <c r="C101" s="1" t="n">
        <v>60.1</v>
      </c>
      <c r="D101" s="2">
        <f>HYPERLINK("https://torgi.gov.ru/new/public/lots/lot/21000003580000000010_4/(lotInfo:info)", "21000003580000000010_4")</f>
        <v/>
      </c>
      <c r="E101" t="inlineStr">
        <is>
          <t>Нежилые помещения с кадастровым номером 23:38:0103001:974 (№ 3-7, 9,11, 1-й этаж), общей площадью 60,1 квадратных метра, расположенные по адресу: Краснодарский край, город Армавир, улица Азовская, 24</t>
        </is>
      </c>
      <c r="F101" s="3" t="inlineStr">
        <is>
          <t>04.09.22 20:59</t>
        </is>
      </c>
      <c r="G101" t="inlineStr">
        <is>
          <t>Краснодарский край, г Армавир, ул Азовская, д 24</t>
        </is>
      </c>
      <c r="H101" s="4" t="n">
        <v>830000</v>
      </c>
      <c r="I101" s="4" t="n">
        <v>13810.31613976705</v>
      </c>
      <c r="J101" t="inlineStr">
        <is>
          <t>Нежилое помещение</t>
        </is>
      </c>
      <c r="K101" s="5" t="n">
        <v>3.12</v>
      </c>
      <c r="L101" s="4" t="n">
        <v>460.33</v>
      </c>
      <c r="M101" t="n">
        <v>4425</v>
      </c>
      <c r="N101" s="6" t="n">
        <v>205120</v>
      </c>
      <c r="O101" t="n">
        <v>30</v>
      </c>
      <c r="P101" s="21" t="n">
        <v>0.9453775089541553</v>
      </c>
      <c r="Q101" t="inlineStr">
        <is>
          <t>EA</t>
        </is>
      </c>
      <c r="R101" t="inlineStr">
        <is>
          <t>М</t>
        </is>
      </c>
      <c r="S101" s="2">
        <f>HYPERLINK("https://yandex.ru/maps/?&amp;text=44.989337, 41.060959", "44.989337, 41.060959")</f>
        <v/>
      </c>
      <c r="T101" s="2">
        <f>HYPERLINK("D:\venv_torgi\env\cache\objs_in_district/44.989337_41.060959.json", "44.989337_41.060959.json")</f>
        <v/>
      </c>
      <c r="U101" t="inlineStr">
        <is>
          <t xml:space="preserve">23:38:0103001:974 </t>
        </is>
      </c>
      <c r="V101" s="7" t="inlineStr">
        <is>
          <t>1</t>
        </is>
      </c>
      <c r="W101" s="20" t="n">
        <v>26866.27840984939</v>
      </c>
      <c r="X101" s="22" t="n">
        <v>13055.96227008234</v>
      </c>
      <c r="Y101" t="n">
        <v>0</v>
      </c>
    </row>
    <row r="102">
      <c r="A102" s="8" t="n">
        <v>100</v>
      </c>
      <c r="B102" t="n">
        <v>23</v>
      </c>
      <c r="C102" s="1" t="n">
        <v>12</v>
      </c>
      <c r="D102" s="2">
        <f>HYPERLINK("https://torgi.gov.ru/new/public/lots/lot/21000014890000000045_1/(lotInfo:info)", "21000014890000000045_1")</f>
        <v/>
      </c>
      <c r="E102" t="inlineStr">
        <is>
          <t>нежилое помещение общей площадью 12 кв. м, с кадастровым номером 24:50:0200010:1922 расположено по адресу: г. Красноярск, ул. Калинина, д. 10, пом. 71. Нежилое помещение находится на первом этаже девятиэтажного жилого дома. Отдельный вход отсутствует.</t>
        </is>
      </c>
      <c r="F102" s="3" t="inlineStr">
        <is>
          <t>14.09.22 10:00</t>
        </is>
      </c>
      <c r="G102" t="inlineStr">
        <is>
          <t>г Красноярск, ул Калинина, д 10</t>
        </is>
      </c>
      <c r="H102" s="4" t="n">
        <v>254000</v>
      </c>
      <c r="I102" s="4" t="n">
        <v>21166.66666666667</v>
      </c>
      <c r="J102" t="inlineStr">
        <is>
          <t>Нежилое помещение</t>
        </is>
      </c>
      <c r="K102" s="5" t="n">
        <v>5.26</v>
      </c>
      <c r="M102" t="n">
        <v>4023</v>
      </c>
      <c r="N102" s="6" t="n">
        <v>1067861</v>
      </c>
      <c r="P102" s="16" t="n">
        <v>1.16181216894167</v>
      </c>
      <c r="Q102" t="inlineStr">
        <is>
          <t>EA</t>
        </is>
      </c>
      <c r="R102" t="inlineStr">
        <is>
          <t>М</t>
        </is>
      </c>
      <c r="S102" s="2">
        <f>HYPERLINK("https://yandex.ru/maps/?&amp;text=56.034335, 92.818741", "56.034335, 92.818741")</f>
        <v/>
      </c>
      <c r="U102" t="inlineStr">
        <is>
          <t xml:space="preserve">24:50:0200010:1922 </t>
        </is>
      </c>
      <c r="V102" s="7" t="inlineStr">
        <is>
          <t>1</t>
        </is>
      </c>
      <c r="W102" s="17" t="n">
        <v>45758.35757593202</v>
      </c>
      <c r="X102" s="18" t="n">
        <v>24591.69090926535</v>
      </c>
      <c r="Y102" t="n">
        <v>0</v>
      </c>
    </row>
    <row r="103">
      <c r="A103" s="8" t="n">
        <v>101</v>
      </c>
      <c r="B103" t="n">
        <v>23</v>
      </c>
      <c r="C103" s="1" t="n">
        <v>28.7</v>
      </c>
      <c r="D103" s="2">
        <f>HYPERLINK("https://torgi.gov.ru/new/public/lots/lot/21000003580000000009_1/(lotInfo:info)", "21000003580000000009_1")</f>
        <v/>
      </c>
      <c r="E103" t="inlineStr">
        <is>
          <t>Нежилые помещения с кадастровым номером 23:38:0114024:307 (№130,132,133 (мезонин), общей площадью 28,7 квадратных метра, расположенные по адресу: город Армавир, улица Кирова, 48</t>
        </is>
      </c>
      <c r="F103" s="3" t="inlineStr">
        <is>
          <t>28.08.22 20:59</t>
        </is>
      </c>
      <c r="G103" t="inlineStr">
        <is>
          <t>Краснодарский край, г Армавир, ул Кирова, д 48</t>
        </is>
      </c>
      <c r="H103" s="4" t="n">
        <v>649000</v>
      </c>
      <c r="I103" s="4" t="n">
        <v>22613.24041811847</v>
      </c>
      <c r="J103" t="inlineStr">
        <is>
          <t>Нежилое помещение</t>
        </is>
      </c>
      <c r="K103" s="5" t="n">
        <v>6.91</v>
      </c>
      <c r="L103" s="4" t="n">
        <v>233.12</v>
      </c>
      <c r="M103" t="n">
        <v>3271</v>
      </c>
      <c r="N103" s="6" t="n">
        <v>205120</v>
      </c>
      <c r="O103" t="n">
        <v>97</v>
      </c>
      <c r="P103" s="21" t="n">
        <v>0.1880773349193799</v>
      </c>
      <c r="Q103" t="inlineStr">
        <is>
          <t>EK</t>
        </is>
      </c>
      <c r="R103" t="inlineStr">
        <is>
          <t>М</t>
        </is>
      </c>
      <c r="S103" s="2">
        <f>HYPERLINK("https://yandex.ru/maps/?&amp;text=45.000664, 41.131126", "45.000664, 41.131126")</f>
        <v/>
      </c>
      <c r="T103" s="2">
        <f>HYPERLINK("D:\venv_torgi\env\cache\objs_in_district/45.000664_41.131126.json", "45.000664_41.131126.json")</f>
        <v/>
      </c>
      <c r="U103" t="inlineStr">
        <is>
          <t xml:space="preserve">23:38:0114024:307 </t>
        </is>
      </c>
      <c r="W103" s="20" t="n">
        <v>26866.27840984939</v>
      </c>
      <c r="X103" s="22" t="n">
        <v>4253.037991730926</v>
      </c>
      <c r="Y103" t="n">
        <v>0</v>
      </c>
    </row>
    <row r="104">
      <c r="A104" s="8" t="n">
        <v>102</v>
      </c>
      <c r="B104" t="n">
        <v>23</v>
      </c>
      <c r="C104" s="1" t="n">
        <v>75.3</v>
      </c>
      <c r="D104" s="2">
        <f>HYPERLINK("https://torgi.gov.ru/new/public/lots/lot/22000009370000000010_1/(lotInfo:info)", "22000009370000000010_1")</f>
        <v/>
      </c>
      <c r="E104" t="inlineStr">
        <is>
          <t>Помещения №14-16; 18; 39-42 общей площадью 75,3 кв.м, адрес (местоположение): Краснодарский край, г.Геленджик, ул.Полевая, д.26, кадастровый номер 23:40:0403009:172</t>
        </is>
      </c>
      <c r="F104" s="3" t="inlineStr">
        <is>
          <t>11.09.22 07:00</t>
        </is>
      </c>
      <c r="G104" t="inlineStr">
        <is>
          <t>Краснодарский край, г Геленджик, ул Полевая, д 26</t>
        </is>
      </c>
      <c r="H104" s="4" t="n">
        <v>2560000</v>
      </c>
      <c r="I104" s="4" t="n">
        <v>33997.34395750332</v>
      </c>
      <c r="J104" t="inlineStr">
        <is>
          <t>Нежилое помещение</t>
        </is>
      </c>
      <c r="K104" s="5" t="n">
        <v>4.68</v>
      </c>
      <c r="L104" s="4" t="n">
        <v>492.71</v>
      </c>
      <c r="M104" t="n">
        <v>7260</v>
      </c>
      <c r="N104" s="6" t="n">
        <v>117641</v>
      </c>
      <c r="O104" t="n">
        <v>69</v>
      </c>
      <c r="Q104" t="inlineStr">
        <is>
          <t>EA</t>
        </is>
      </c>
      <c r="R104" t="inlineStr">
        <is>
          <t>М</t>
        </is>
      </c>
      <c r="S104" s="2">
        <f>HYPERLINK("https://yandex.ru/maps/?&amp;text=44.55089, 38.065876", "44.55089, 38.065876")</f>
        <v/>
      </c>
      <c r="T104" s="2">
        <f>HYPERLINK("D:\venv_torgi\env\cache\objs_in_district/44.55089_38.065876.json", "44.55089_38.065876.json")</f>
        <v/>
      </c>
      <c r="U104" t="inlineStr">
        <is>
          <t>23:40:0403009:172</t>
        </is>
      </c>
      <c r="W104" s="20" t="n">
        <v>26866.27840984939</v>
      </c>
      <c r="X104" s="23" t="n">
        <v>-7131.065547653925</v>
      </c>
      <c r="Y104" t="n">
        <v>0</v>
      </c>
    </row>
    <row r="105">
      <c r="A105" s="8" t="n">
        <v>103</v>
      </c>
      <c r="B105" t="n">
        <v>23</v>
      </c>
      <c r="C105" s="1" t="n">
        <v>150.4</v>
      </c>
      <c r="D105" s="2">
        <f>HYPERLINK("https://torgi.gov.ru/new/public/lots/lot/22000032330000000003_1/(lotInfo:info)", "22000032330000000003_1")</f>
        <v/>
      </c>
      <c r="E105" t="inlineStr">
        <is>
          <t>Нежилое помещение № 1, площадью 150,4 кв. м, с кадастровым номером 23:47:0305011:328</t>
        </is>
      </c>
      <c r="F105" s="3" t="inlineStr">
        <is>
          <t>05.09.22 15:00</t>
        </is>
      </c>
      <c r="G105" t="inlineStr">
        <is>
          <t>Краснодарский край, г. Новороссийск, ул. Советов/Карла Маркса/Цедрика,  д. 68/43/3.</t>
        </is>
      </c>
      <c r="H105" s="4" t="n">
        <v>8021667</v>
      </c>
      <c r="I105" s="4" t="n">
        <v>53335.55186170212</v>
      </c>
      <c r="J105" t="inlineStr">
        <is>
          <t>Нежилое помещение</t>
        </is>
      </c>
      <c r="K105" s="5" t="n">
        <v>13.59</v>
      </c>
      <c r="L105" s="4" t="n">
        <v>433.62</v>
      </c>
      <c r="M105" t="n">
        <v>3924</v>
      </c>
      <c r="N105" s="6" t="n">
        <v>334342</v>
      </c>
      <c r="O105" t="n">
        <v>123</v>
      </c>
      <c r="Q105" t="inlineStr">
        <is>
          <t>EA</t>
        </is>
      </c>
      <c r="R105" t="inlineStr">
        <is>
          <t>М</t>
        </is>
      </c>
      <c r="S105" s="2">
        <f>HYPERLINK("https://yandex.ru/maps/?&amp;text=44.714413, 37.781838", "44.714413, 37.781838")</f>
        <v/>
      </c>
      <c r="T105" s="2">
        <f>HYPERLINK("D:\venv_torgi\env\cache\objs_in_district/44.714413_37.781838.json", "44.714413_37.781838.json")</f>
        <v/>
      </c>
      <c r="U105" t="inlineStr">
        <is>
          <t>23:47:0305011:328</t>
        </is>
      </c>
      <c r="W105" s="20" t="n">
        <v>26866.27840984939</v>
      </c>
      <c r="X105" s="23" t="n">
        <v>-26469.27345185273</v>
      </c>
      <c r="Y105" t="n">
        <v>0</v>
      </c>
    </row>
    <row r="106">
      <c r="A106" s="8" t="n">
        <v>104</v>
      </c>
      <c r="B106" t="n">
        <v>24</v>
      </c>
      <c r="C106" s="1" t="n">
        <v>778.5</v>
      </c>
      <c r="D106" s="2">
        <f>HYPERLINK("https://torgi.gov.ru/new/public/lots/lot/22000054220000000002_1/(lotInfo:info)", "22000054220000000002_1")</f>
        <v/>
      </c>
      <c r="E106" t="inlineStr">
        <is>
          <t>Фундамент ленточные железобетонные. Материал стен кирпич. Целевое назначение: нежилое. Отопление централизованное. Электроснабжение центральное. Техническая документация: Кадастровый паспорт. Состояние помещения удовлетворительное, требуется капитальный ремонт.</t>
        </is>
      </c>
      <c r="F106" s="3" t="inlineStr">
        <is>
          <t>31.08.22 17:00</t>
        </is>
      </c>
      <c r="G106" t="inlineStr">
        <is>
          <t>Красноярский край, Енисейский р-н, село Абалаково, д 3 стр 3</t>
        </is>
      </c>
      <c r="H106" s="4" t="n">
        <v>1256000</v>
      </c>
      <c r="I106" s="4" t="n">
        <v>1613.359023763648</v>
      </c>
      <c r="J106" t="inlineStr">
        <is>
          <t>Нежилое помещение</t>
        </is>
      </c>
      <c r="K106" s="5" t="n">
        <v>6.98</v>
      </c>
      <c r="L106" s="10" t="n"/>
      <c r="M106" t="n">
        <v>231</v>
      </c>
      <c r="N106" s="6" t="n">
        <v>2224</v>
      </c>
      <c r="O106" t="inlineStr">
        <is>
          <t>0</t>
        </is>
      </c>
      <c r="P106" s="21" t="n">
        <v>1.786188267952615</v>
      </c>
      <c r="Q106" t="inlineStr">
        <is>
          <t>EA</t>
        </is>
      </c>
      <c r="R106" t="inlineStr">
        <is>
          <t>М</t>
        </is>
      </c>
      <c r="S106" s="2">
        <f>HYPERLINK("https://yandex.ru/maps/?&amp;text=58.111345, 92.716585", "58.111345, 92.716585")</f>
        <v/>
      </c>
      <c r="T106" s="11">
        <f>HYPERLINK("D:\venv_torgi\env\cache\objs_in_district/58.111345_92.716585.json", "58.111345_92.716585.json")</f>
        <v/>
      </c>
      <c r="U106" t="inlineStr">
        <is>
          <t>24:12:0370103:479</t>
        </is>
      </c>
      <c r="V106" s="7" t="inlineStr">
        <is>
          <t>1</t>
        </is>
      </c>
      <c r="W106" s="20" t="n">
        <v>4495.121984005761</v>
      </c>
      <c r="X106" s="22" t="n">
        <v>2881.762960242113</v>
      </c>
      <c r="Y106" t="n">
        <v>0</v>
      </c>
    </row>
    <row r="107">
      <c r="A107" s="8" t="n">
        <v>105</v>
      </c>
      <c r="B107" t="n">
        <v>24</v>
      </c>
      <c r="C107" s="1" t="n">
        <v>36</v>
      </c>
      <c r="D107" s="2">
        <f>HYPERLINK("https://torgi.gov.ru/new/public/lots/lot/22000030690000000002_1/(lotInfo:info)", "22000030690000000002_1")</f>
        <v/>
      </c>
      <c r="E107" t="inlineStr">
        <is>
          <t>Характеристика объекта: количество этажей 1, в том числе подземных 0, год ввода в эксплуатацию - 1962.Описание конструктивных элементов строения и его техническое состояние: износ – 89,9%, материал стен – кирпич, техническое состояние - неудовлетворительное.</t>
        </is>
      </c>
      <c r="F107" s="3" t="inlineStr">
        <is>
          <t>04.09.22 10:00</t>
        </is>
      </c>
      <c r="G107" t="inlineStr">
        <is>
          <t xml:space="preserve"> Красноярский край, Березовский район, с. Зыково, ул. Клубная, зд. 14-г, пом. 4</t>
        </is>
      </c>
      <c r="H107" s="4" t="n">
        <v>103856</v>
      </c>
      <c r="I107" s="4" t="n">
        <v>2884.888888888889</v>
      </c>
      <c r="J107" t="inlineStr">
        <is>
          <t>Нежилое помещение</t>
        </is>
      </c>
      <c r="Q107" t="inlineStr">
        <is>
          <t>PP</t>
        </is>
      </c>
      <c r="R107" t="inlineStr">
        <is>
          <t>М</t>
        </is>
      </c>
      <c r="U107" t="inlineStr">
        <is>
          <t>24:04:6503001:467</t>
        </is>
      </c>
      <c r="V107" s="7" t="inlineStr">
        <is>
          <t>1</t>
        </is>
      </c>
      <c r="Y107" t="n">
        <v>0</v>
      </c>
    </row>
    <row r="108">
      <c r="A108" s="8" t="n">
        <v>106</v>
      </c>
      <c r="B108" t="n">
        <v>24</v>
      </c>
      <c r="C108" s="1" t="n">
        <v>1460</v>
      </c>
      <c r="D108" s="2">
        <f>HYPERLINK("https://torgi.gov.ru/new/public/lots/lot/22000024070000000054_2/(lotInfo:info)", "22000024070000000054_2")</f>
        <v/>
      </c>
      <c r="E108" t="inlineStr">
        <is>
          <t>Общежитие, назначение: нежилое здание, площадь 1 460 кв. м. Число этажей-2. Земельный участок – земли населенных пунктов. Площадь – 2 592 кв. м. Виды разрешенного использования: деловое управление.</t>
        </is>
      </c>
      <c r="F108" s="3" t="inlineStr">
        <is>
          <t>05.09.22 10:00</t>
        </is>
      </c>
      <c r="G108" t="inlineStr">
        <is>
          <t>г. Ачинск, микрорайон Авиатор, здание 43</t>
        </is>
      </c>
      <c r="H108" s="4" t="n">
        <v>4678800</v>
      </c>
      <c r="I108" s="4" t="n">
        <v>3204.657534246575</v>
      </c>
      <c r="J108" t="inlineStr">
        <is>
          <t xml:space="preserve">здание, </t>
        </is>
      </c>
      <c r="K108" s="5" t="n">
        <v>1.22</v>
      </c>
      <c r="L108" s="4" t="n">
        <v>3204</v>
      </c>
      <c r="M108" t="n">
        <v>2619</v>
      </c>
      <c r="N108" s="6" t="n">
        <v>110448</v>
      </c>
      <c r="O108" t="n">
        <v>1</v>
      </c>
      <c r="P108" s="21" t="n">
        <v>1.104686558158217</v>
      </c>
      <c r="Q108" t="inlineStr">
        <is>
          <t>PP</t>
        </is>
      </c>
      <c r="R108" t="inlineStr">
        <is>
          <t>М</t>
        </is>
      </c>
      <c r="S108" s="2">
        <f>HYPERLINK("https://yandex.ru/maps/?&amp;text=56.265247, 90.482906", "56.265247, 90.482906")</f>
        <v/>
      </c>
      <c r="T108" s="2">
        <f>HYPERLINK("D:\venv_torgi\env\cache\objs_in_district/56.265247_90.482906.json", "56.265247_90.482906.json")</f>
        <v/>
      </c>
      <c r="U108" t="inlineStr">
        <is>
          <t>24:43:0000000:26195</t>
        </is>
      </c>
      <c r="V108" s="7" t="inlineStr">
        <is>
          <t>1</t>
        </is>
      </c>
      <c r="W108" s="20" t="n">
        <v>6744.799635829221</v>
      </c>
      <c r="X108" s="22" t="n">
        <v>3540.142101582646</v>
      </c>
      <c r="Y108" t="n">
        <v>0</v>
      </c>
    </row>
    <row r="109">
      <c r="A109" s="8" t="n">
        <v>107</v>
      </c>
      <c r="B109" t="n">
        <v>24</v>
      </c>
      <c r="C109" s="1" t="n">
        <v>806.8</v>
      </c>
      <c r="D109" s="2">
        <f>HYPERLINK("https://torgi.gov.ru/new/public/lots/lot/22000024070000000049_4/(lotInfo:info)", "22000024070000000049_4")</f>
        <v/>
      </c>
      <c r="E109" t="inlineStr">
        <is>
          <t>Здание, кадастровый номер: 24:43:0109019:64, площадь:806.8 кв.м., количество этажей, в том числе подземных этажей: 2, в том числе подземных 0, материал наружных стен: кирпичные, год завершения строительства: 1917. Земельный участок, кадастровый номер: 24:43:0109019:82, площадь: 999кв.м., категория земель: земли населенных пунктов, виды разрешенного использования: бытовое обслуживание.</t>
        </is>
      </c>
      <c r="F109" s="3" t="inlineStr">
        <is>
          <t>04.09.22 10:00</t>
        </is>
      </c>
      <c r="G109" t="inlineStr">
        <is>
          <t>Красноярский край, г Ачинск, ул Пузановой, д 42А</t>
        </is>
      </c>
      <c r="H109" s="4" t="n">
        <v>3267204</v>
      </c>
      <c r="I109" s="4" t="n">
        <v>4049.583539910759</v>
      </c>
      <c r="J109" t="inlineStr">
        <is>
          <t xml:space="preserve">Здание, </t>
        </is>
      </c>
      <c r="K109" s="5" t="n">
        <v>1.88</v>
      </c>
      <c r="L109" s="4" t="n">
        <v>404.9</v>
      </c>
      <c r="M109" t="n">
        <v>2156</v>
      </c>
      <c r="N109" s="6" t="n">
        <v>110448</v>
      </c>
      <c r="O109" t="n">
        <v>10</v>
      </c>
      <c r="P109" s="21" t="n">
        <v>0.6655538944574674</v>
      </c>
      <c r="Q109" t="inlineStr">
        <is>
          <t>PP</t>
        </is>
      </c>
      <c r="R109" t="inlineStr">
        <is>
          <t>М</t>
        </is>
      </c>
      <c r="S109" s="2">
        <f>HYPERLINK("https://yandex.ru/maps/?&amp;text=56.278702, 90.499093", "56.278702, 90.499093")</f>
        <v/>
      </c>
      <c r="T109" s="2">
        <f>HYPERLINK("D:\venv_torgi\env\cache\objs_in_district/56.278702_90.499093.json", "56.278702_90.499093.json")</f>
        <v/>
      </c>
      <c r="U109" t="inlineStr">
        <is>
          <t xml:space="preserve">24:43:0109019:64, </t>
        </is>
      </c>
      <c r="V109" s="7" t="inlineStr">
        <is>
          <t>2</t>
        </is>
      </c>
      <c r="W109" s="20" t="n">
        <v>6744.799635829221</v>
      </c>
      <c r="X109" s="22" t="n">
        <v>2695.216095918462</v>
      </c>
      <c r="Y109" t="n">
        <v>0</v>
      </c>
    </row>
    <row r="110">
      <c r="A110" s="8" t="n">
        <v>108</v>
      </c>
      <c r="B110" t="n">
        <v>24</v>
      </c>
      <c r="C110" s="1" t="n">
        <v>24.8</v>
      </c>
      <c r="D110" s="2">
        <f>HYPERLINK("https://torgi.gov.ru/new/public/lots/lot/22000017600000000003_2/(lotInfo:info)", "22000017600000000003_2")</f>
        <v/>
      </c>
      <c r="E110" t="inlineStr">
        <is>
          <t>Нежилое помещение № 2, общей площадью 24,8 кв.м., год постройки 1974,  кадастровый номер 24:37:3901001:172</t>
        </is>
      </c>
      <c r="F110" s="3" t="inlineStr">
        <is>
          <t>19.09.22 17:00</t>
        </is>
      </c>
      <c r="G110" t="inlineStr">
        <is>
          <t>Красноярский край, Туруханский р-н, село Верещагино, ул Школьная, д 6</t>
        </is>
      </c>
      <c r="H110" s="4" t="n">
        <v>109000</v>
      </c>
      <c r="I110" s="4" t="n">
        <v>4395.16129032258</v>
      </c>
      <c r="J110" t="inlineStr">
        <is>
          <t>Нежилое помещение</t>
        </is>
      </c>
      <c r="K110" s="5" t="n">
        <v>118.78</v>
      </c>
      <c r="M110" t="n">
        <v>37</v>
      </c>
      <c r="N110" s="6" t="n">
        <v>146</v>
      </c>
      <c r="P110" s="21" t="n">
        <v>4.915575209914773</v>
      </c>
      <c r="Q110" t="inlineStr">
        <is>
          <t>PP</t>
        </is>
      </c>
      <c r="R110" t="inlineStr">
        <is>
          <t>М</t>
        </is>
      </c>
      <c r="S110" s="2">
        <f>HYPERLINK("https://yandex.ru/maps/?&amp;text=64.242421, 87.575041", "64.242421, 87.575041")</f>
        <v/>
      </c>
      <c r="U110" t="inlineStr">
        <is>
          <t>24:37:3901001:172</t>
        </is>
      </c>
      <c r="W110" s="20" t="n">
        <v>25999.90717260928</v>
      </c>
      <c r="X110" s="22" t="n">
        <v>21604.7458822867</v>
      </c>
      <c r="Y110" t="n">
        <v>0</v>
      </c>
    </row>
    <row r="111">
      <c r="A111" s="8" t="n">
        <v>109</v>
      </c>
      <c r="B111" t="n">
        <v>24</v>
      </c>
      <c r="C111" s="1" t="n">
        <v>43.7</v>
      </c>
      <c r="D111" s="2">
        <f>HYPERLINK("https://torgi.gov.ru/new/public/lots/lot/22000017600000000003_1/(lotInfo:info)", "22000017600000000003_1")</f>
        <v/>
      </c>
      <c r="E111" t="inlineStr">
        <is>
          <t>Нежилое помещение № 1, общей площадью 43,7 кв.м., год постройки 1974, кадастровый номер 24:37:3901001:169</t>
        </is>
      </c>
      <c r="F111" s="3" t="inlineStr">
        <is>
          <t>19.09.22 17:00</t>
        </is>
      </c>
      <c r="G111" t="inlineStr">
        <is>
          <t>Красноярский край, Туруханский р-н, село Верещагино, ул Школьная, д 6</t>
        </is>
      </c>
      <c r="H111" s="4" t="n">
        <v>198000</v>
      </c>
      <c r="I111" s="4" t="n">
        <v>4530.892448512585</v>
      </c>
      <c r="J111" t="inlineStr">
        <is>
          <t>Нежилое помещение</t>
        </is>
      </c>
      <c r="K111" s="5" t="n">
        <v>122.43</v>
      </c>
      <c r="M111" t="n">
        <v>37</v>
      </c>
      <c r="N111" s="6" t="n">
        <v>146</v>
      </c>
      <c r="P111" s="21" t="n">
        <v>4.738363350722351</v>
      </c>
      <c r="Q111" t="inlineStr">
        <is>
          <t>PP</t>
        </is>
      </c>
      <c r="R111" t="inlineStr">
        <is>
          <t>М</t>
        </is>
      </c>
      <c r="S111" s="2">
        <f>HYPERLINK("https://yandex.ru/maps/?&amp;text=64.242421, 87.575041", "64.242421, 87.575041")</f>
        <v/>
      </c>
      <c r="U111" t="inlineStr">
        <is>
          <t>24:37:3901001:169</t>
        </is>
      </c>
      <c r="W111" s="20" t="n">
        <v>25999.90717260928</v>
      </c>
      <c r="X111" s="22" t="n">
        <v>21469.01472409669</v>
      </c>
      <c r="Y111" t="n">
        <v>0</v>
      </c>
    </row>
    <row r="112">
      <c r="A112" s="8" t="n">
        <v>110</v>
      </c>
      <c r="B112" t="n">
        <v>24</v>
      </c>
      <c r="C112" s="1" t="n">
        <v>67.90000000000001</v>
      </c>
      <c r="D112" s="2">
        <f>HYPERLINK("https://torgi.gov.ru/new/public/lots/lot/22000039420000000003_1/(lotInfo:info)", "22000039420000000003_1")</f>
        <v/>
      </c>
      <c r="E112" t="inlineStr">
        <is>
          <t>нежилое здание с кадастровым номером 24:39:2800001:1208, общей площадью 67.9 кв.м., имеющее адрес - Российская Федерация, Красноярский край, Ужурский район, cельское Поселение Ильинский сельсовет, с.Ильинка, ул. Полевая, здание 10, с земельным участком с кадастровым номером 24:39:2800001:1229, площадью 3548 кв.м., по адресу -  Российская Федерация, Красноярский край, муниципальный район Ужурский, сельское Поселение Ильинский сельсовет, с. Ильинка, ул. Полевая, земельный участок 10.Характеристики имущества:Нежилое здание – весовая, кадастровый номер 24:39:2800001:1208, общая площадь 67,9 кв.м., двухэтажное, материал стен – из прочих материалов. Земельный участок, кадастровый номер 24:39:2800001:1229, площадь 3548 кв.м., категория земель - земли населенных пунктов, разрешенное использование – сельскохозяйственное использование.</t>
        </is>
      </c>
      <c r="F112" s="3" t="inlineStr">
        <is>
          <t>19.09.22 10:00</t>
        </is>
      </c>
      <c r="G112" t="inlineStr">
        <is>
          <t>Красноярский край, Ужурский р-н, село Ильинка, ул Полевая</t>
        </is>
      </c>
      <c r="H112" s="4" t="n">
        <v>350000</v>
      </c>
      <c r="I112" s="4" t="n">
        <v>5154.639175257732</v>
      </c>
      <c r="J112" t="inlineStr">
        <is>
          <t xml:space="preserve">здание </t>
        </is>
      </c>
      <c r="K112" s="5" t="n">
        <v>184.07</v>
      </c>
      <c r="M112" t="n">
        <v>28</v>
      </c>
      <c r="N112" s="6" t="n">
        <v>568</v>
      </c>
      <c r="P112" s="21" t="n">
        <v>2.147177490480763</v>
      </c>
      <c r="Q112" t="inlineStr">
        <is>
          <t>EA</t>
        </is>
      </c>
      <c r="R112" t="inlineStr">
        <is>
          <t>М</t>
        </is>
      </c>
      <c r="S112" s="2">
        <f>HYPERLINK("https://yandex.ru/maps/?&amp;text=55.288993, 90.036919", "55.288993, 90.036919")</f>
        <v/>
      </c>
      <c r="U112" t="inlineStr">
        <is>
          <t xml:space="preserve">24:39:2800001:1208, </t>
        </is>
      </c>
      <c r="V112" s="7" t="inlineStr">
        <is>
          <t>1</t>
        </is>
      </c>
      <c r="W112" s="20" t="n">
        <v>16222.56438392146</v>
      </c>
      <c r="X112" s="22" t="n">
        <v>11067.92520866372</v>
      </c>
      <c r="Y112" t="n">
        <v>0</v>
      </c>
    </row>
    <row r="113">
      <c r="A113" s="8" t="n">
        <v>111</v>
      </c>
      <c r="B113" t="n">
        <v>24</v>
      </c>
      <c r="C113" s="1" t="n">
        <v>341.2</v>
      </c>
      <c r="D113" s="2">
        <f>HYPERLINK("https://torgi.gov.ru/new/public/lots/lot/22000024070000000049_7/(lotInfo:info)", "22000024070000000049_7")</f>
        <v/>
      </c>
      <c r="E113" t="inlineStr">
        <is>
          <t>Нежилое здание, кадастровый номер: 24:43:0000000:1939, площадь: 341.2кв.м., количество этажей, в том числе подземных этажей: 1, в том числе подземных 0, материал наружных стен: каменные, кирпичные, год завершения строительства: 1947.Земельный участок, кадастровый номер: 24:43:0201010:72,  площадь: 858кв.м., категория земель: земли населенных пунктов,  виды разрешенного использования: для размещения бани. На земельном участке расположено сооружение электроэнергетики – КТП-15а-25-18, протяженностью 7,2кв.м.,  кадастровый номер:24:43:0201008:554.</t>
        </is>
      </c>
      <c r="F113" s="3" t="inlineStr">
        <is>
          <t>04.09.22 10:00</t>
        </is>
      </c>
      <c r="G113" t="inlineStr">
        <is>
          <t>г. Ачинск, р.п. Мазульский, ул. Нагорная, д.65А.</t>
        </is>
      </c>
      <c r="H113" s="4" t="n">
        <v>1868664</v>
      </c>
      <c r="I113" s="4" t="n">
        <v>5476.740914419695</v>
      </c>
      <c r="J113" t="inlineStr">
        <is>
          <t xml:space="preserve">здание, </t>
        </is>
      </c>
      <c r="K113" s="5" t="n">
        <v>22.82</v>
      </c>
      <c r="L113" s="10" t="n"/>
      <c r="M113" t="n">
        <v>240</v>
      </c>
      <c r="N113" s="6" t="n">
        <v>110448</v>
      </c>
      <c r="O113" t="inlineStr">
        <is>
          <t>0</t>
        </is>
      </c>
      <c r="Q113" t="inlineStr">
        <is>
          <t>PP</t>
        </is>
      </c>
      <c r="R113" t="inlineStr">
        <is>
          <t>М</t>
        </is>
      </c>
      <c r="S113" s="2">
        <f>HYPERLINK("https://yandex.ru/maps/?&amp;text=56.199136, 90.35998", "56.199136, 90.35998")</f>
        <v/>
      </c>
      <c r="T113" s="11">
        <f>HYPERLINK("D:\venv_torgi\env\cache\objs_in_district/56.199136_90.35998.json", "56.199136_90.35998.json")</f>
        <v/>
      </c>
      <c r="U113" t="inlineStr">
        <is>
          <t xml:space="preserve">24:43:0000000:1939, </t>
        </is>
      </c>
      <c r="V113" s="7" t="inlineStr">
        <is>
          <t>1</t>
        </is>
      </c>
      <c r="W113" s="20" t="n">
        <v>4495.121984005761</v>
      </c>
      <c r="X113" s="23" t="n">
        <v>-981.6189304139343</v>
      </c>
      <c r="Y113" t="n">
        <v>0</v>
      </c>
    </row>
    <row r="114">
      <c r="A114" s="8" t="n">
        <v>112</v>
      </c>
      <c r="B114" t="n">
        <v>24</v>
      </c>
      <c r="C114" s="1" t="n">
        <v>96.90000000000001</v>
      </c>
      <c r="D114" s="2">
        <f>HYPERLINK("https://torgi.gov.ru/new/public/lots/lot/21000003570000000040_1/(lotInfo:info)", "21000003570000000040_1")</f>
        <v/>
      </c>
      <c r="E114" t="inlineStr">
        <is>
          <t>Нежилое помещение № 1, расположенное по адресу: Красноярский край, г. Енисейск, ул. Красноармейская, 23. Характеристика здания: наименование –  помещение, площадью 96,9 кв.м., назначение – нежилое, материал наружных стен – кирпичные, реестровый номер 1-14-000236, кадастровый номер 24:47:0010213:71, обременения: не зарегистрированы. Отчет об оценке № 1895/01 от 07.07.2022.</t>
        </is>
      </c>
      <c r="F114" s="3" t="inlineStr">
        <is>
          <t>30.08.22 10:00</t>
        </is>
      </c>
      <c r="G114" t="inlineStr">
        <is>
          <t>Красноярский край, г Енисейск, ул Красноармейская, д 23</t>
        </is>
      </c>
      <c r="H114" s="4" t="n">
        <v>579000</v>
      </c>
      <c r="I114" s="4" t="n">
        <v>5975.232198142415</v>
      </c>
      <c r="J114" t="inlineStr">
        <is>
          <t>Нежилое помещение</t>
        </is>
      </c>
      <c r="K114" s="5" t="n">
        <v>5.23</v>
      </c>
      <c r="M114" t="n">
        <v>1142</v>
      </c>
      <c r="N114" s="6" t="n">
        <v>18666</v>
      </c>
      <c r="P114" s="21" t="n">
        <v>1.71496802901898</v>
      </c>
      <c r="Q114" t="inlineStr">
        <is>
          <t>EA</t>
        </is>
      </c>
      <c r="R114" t="inlineStr">
        <is>
          <t>М</t>
        </is>
      </c>
      <c r="S114" s="2">
        <f>HYPERLINK("https://yandex.ru/maps/?&amp;text=58.454694, 92.131117", "58.454694, 92.131117")</f>
        <v/>
      </c>
      <c r="U114" t="inlineStr">
        <is>
          <t xml:space="preserve">24:47:0010213:71, </t>
        </is>
      </c>
      <c r="W114" s="20" t="n">
        <v>16222.56438392146</v>
      </c>
      <c r="X114" s="22" t="n">
        <v>10247.33218577904</v>
      </c>
      <c r="Y114" t="n">
        <v>0</v>
      </c>
    </row>
    <row r="115">
      <c r="A115" s="8" t="n">
        <v>113</v>
      </c>
      <c r="B115" t="n">
        <v>24</v>
      </c>
      <c r="C115" s="1" t="n">
        <v>646.4</v>
      </c>
      <c r="D115" s="2">
        <f>HYPERLINK("https://torgi.gov.ru/new/public/lots/lot/22000024070000000050_5/(lotInfo:info)", "22000024070000000050_5")</f>
        <v/>
      </c>
      <c r="E115" t="inlineStr">
        <is>
          <t>Здание, кадастровый номер: 24:43:0115010:600; площадь: 646.4 кв.м.; количество этажей, в том числе подземных этажей: 1, в том числе подземных 0; материал наружных стен: кирпичные; год завершения строительства: 1986; ограничение прав и обременение объекта недвижимости: не зарегистрировано.Земельный участок, кадастровый номер: 24:43:0115010:608; площадь: 680 кв. м.; категория земель: земли населенных пунктов; виды разрешенного использования: обслуживание автотранспорта.</t>
        </is>
      </c>
      <c r="F115" s="3" t="inlineStr">
        <is>
          <t>04.09.22 10:00</t>
        </is>
      </c>
      <c r="G115" t="inlineStr">
        <is>
          <t>Красноярский край, г Ачинск, ул Трактовая, д 3А</t>
        </is>
      </c>
      <c r="H115" s="4" t="n">
        <v>4811744</v>
      </c>
      <c r="I115" s="4" t="n">
        <v>7443.910891089109</v>
      </c>
      <c r="J115" t="inlineStr">
        <is>
          <t xml:space="preserve">Здание, </t>
        </is>
      </c>
      <c r="K115" s="5" t="n">
        <v>3.54</v>
      </c>
      <c r="L115" s="10" t="n"/>
      <c r="M115" t="n">
        <v>2103</v>
      </c>
      <c r="N115" s="6" t="n">
        <v>110448</v>
      </c>
      <c r="O115" t="inlineStr">
        <is>
          <t>0</t>
        </is>
      </c>
      <c r="Q115" t="inlineStr">
        <is>
          <t>PP</t>
        </is>
      </c>
      <c r="R115" t="inlineStr">
        <is>
          <t>М</t>
        </is>
      </c>
      <c r="S115" s="2">
        <f>HYPERLINK("https://yandex.ru/maps/?&amp;text=56.259843, 90.506244", "56.259843, 90.506244")</f>
        <v/>
      </c>
      <c r="T115" s="11">
        <f>HYPERLINK("D:\venv_torgi\env\cache\objs_in_district/56.259843_90.506244.json", "56.259843_90.506244.json")</f>
        <v/>
      </c>
      <c r="U115" t="inlineStr">
        <is>
          <t xml:space="preserve">24:43:0115010:600; </t>
        </is>
      </c>
      <c r="V115" s="7" t="inlineStr">
        <is>
          <t>1</t>
        </is>
      </c>
      <c r="W115" s="20" t="n">
        <v>6744.799635829221</v>
      </c>
      <c r="X115" s="23" t="n">
        <v>-699.1112552598879</v>
      </c>
      <c r="Y115" t="n">
        <v>0</v>
      </c>
    </row>
    <row r="116">
      <c r="A116" s="8" t="n">
        <v>114</v>
      </c>
      <c r="B116" t="n">
        <v>24</v>
      </c>
      <c r="C116" s="1" t="n">
        <v>671</v>
      </c>
      <c r="D116" s="2">
        <f>HYPERLINK("https://torgi.gov.ru/new/public/lots/lot/22000024070000000054_1/(lotInfo:info)", "22000024070000000054_1")</f>
        <v/>
      </c>
      <c r="E116" t="inlineStr">
        <is>
          <t>Здание-столовая/библиотека, количество этажей -1. Материал наружных стен: из прочих материалов.  Площадь – 671 кв.м. Земельный участок – земли населенных пунктов. Площадь -1754 кв.м. Виды разрешенного использования: магазины,  размещение объектов капитального строительства, предназначенных для продажи товаров, торговая площадь которых составляет до 5000 кв.м.</t>
        </is>
      </c>
      <c r="F116" s="3" t="inlineStr">
        <is>
          <t>05.09.22 10:00</t>
        </is>
      </c>
      <c r="G116" t="inlineStr">
        <is>
          <t>Красноярский край, г Ачинск, мкр Авиатор, зд 41А</t>
        </is>
      </c>
      <c r="H116" s="4" t="n">
        <v>5468948</v>
      </c>
      <c r="I116" s="4" t="n">
        <v>8150.444113263786</v>
      </c>
      <c r="J116" t="inlineStr">
        <is>
          <t xml:space="preserve">Здание-столовая/библиотека, </t>
        </is>
      </c>
      <c r="K116" s="5" t="n">
        <v>3.62</v>
      </c>
      <c r="L116" s="10" t="n"/>
      <c r="M116" t="n">
        <v>2251</v>
      </c>
      <c r="N116" s="6" t="n">
        <v>110448</v>
      </c>
      <c r="O116" t="inlineStr">
        <is>
          <t>0</t>
        </is>
      </c>
      <c r="Q116" t="inlineStr">
        <is>
          <t>PP</t>
        </is>
      </c>
      <c r="R116" t="inlineStr">
        <is>
          <t>М</t>
        </is>
      </c>
      <c r="S116" s="2">
        <f>HYPERLINK("https://yandex.ru/maps/?&amp;text=56.265967, 90.479753", "56.265967, 90.479753")</f>
        <v/>
      </c>
      <c r="T116" s="11">
        <f>HYPERLINK("D:\venv_torgi\env\cache\objs_in_district/56.265967_90.479753.json", "56.265967_90.479753.json")</f>
        <v/>
      </c>
      <c r="U116" t="inlineStr">
        <is>
          <t>24:43:0000000:25958</t>
        </is>
      </c>
      <c r="V116" s="7" t="inlineStr">
        <is>
          <t>1</t>
        </is>
      </c>
      <c r="W116" s="20" t="n">
        <v>6744.799635829221</v>
      </c>
      <c r="X116" s="23" t="n">
        <v>-1405.644477434565</v>
      </c>
      <c r="Y116" t="n">
        <v>0</v>
      </c>
    </row>
    <row r="117">
      <c r="A117" s="8" t="n">
        <v>115</v>
      </c>
      <c r="B117" t="n">
        <v>24</v>
      </c>
      <c r="C117" s="1" t="n">
        <v>105.5</v>
      </c>
      <c r="D117" s="2">
        <f>HYPERLINK("https://torgi.gov.ru/new/public/lots/lot/21000003570000000047_1/(lotInfo:info)", "21000003570000000047_1")</f>
        <v/>
      </c>
      <c r="E117" t="inlineStr">
        <is>
          <t>Характеристика помещения: наименование – помещение, площадью 105,5 кв.м., назначение – нежилое, реестровый номер 1-17-000066, кадастровый номер 24:47:0010306:100, обременения: охранное обязательство собственника или иного законного владельца объекта культурного наследия, утверждено приказом службы по государственной охране объектов культурного наследия Красноярского края, № 188, выдан 07.04.2016.</t>
        </is>
      </c>
      <c r="F117" s="3" t="inlineStr">
        <is>
          <t>20.09.22 10:00</t>
        </is>
      </c>
      <c r="G117" t="inlineStr">
        <is>
          <t>Красноярский край, г Енисейск, ул Ленина, д 80</t>
        </is>
      </c>
      <c r="H117" s="4" t="n">
        <v>894200</v>
      </c>
      <c r="I117" s="4" t="n">
        <v>8475.829383886256</v>
      </c>
      <c r="J117" t="inlineStr">
        <is>
          <t>зданий (</t>
        </is>
      </c>
      <c r="K117" s="5" t="n">
        <v>7.63</v>
      </c>
      <c r="L117" s="10" t="n"/>
      <c r="M117" t="n">
        <v>1111</v>
      </c>
      <c r="N117" s="6" t="n">
        <v>18666</v>
      </c>
      <c r="O117" t="inlineStr">
        <is>
          <t>0</t>
        </is>
      </c>
      <c r="P117" s="21" t="n">
        <v>0.9139795823123616</v>
      </c>
      <c r="Q117" t="inlineStr">
        <is>
          <t>PP</t>
        </is>
      </c>
      <c r="R117" t="inlineStr">
        <is>
          <t>М</t>
        </is>
      </c>
      <c r="S117" s="2">
        <f>HYPERLINK("https://yandex.ru/maps/?&amp;text=58.453272, 92.190298", "58.453272, 92.190298")</f>
        <v/>
      </c>
      <c r="T117" s="11">
        <f>HYPERLINK("D:\venv_torgi\env\cache\objs_in_district/58.453272_92.190298.json", "58.453272_92.190298.json")</f>
        <v/>
      </c>
      <c r="U117" t="inlineStr">
        <is>
          <t xml:space="preserve">24:47:0010306:100, </t>
        </is>
      </c>
      <c r="W117" s="20" t="n">
        <v>16222.56438392146</v>
      </c>
      <c r="X117" s="22" t="n">
        <v>7746.735000035202</v>
      </c>
      <c r="Y117" t="n">
        <v>0</v>
      </c>
      <c r="Z117" t="n">
        <v>1</v>
      </c>
    </row>
    <row r="118">
      <c r="A118" s="8" t="n">
        <v>116</v>
      </c>
      <c r="B118" t="n">
        <v>24</v>
      </c>
      <c r="C118" s="1" t="n">
        <v>942</v>
      </c>
      <c r="D118" s="2">
        <f>HYPERLINK("https://torgi.gov.ru/new/public/lots/lot/22000024070000000054_3/(lotInfo:info)", "22000024070000000054_3")</f>
        <v/>
      </c>
      <c r="E118" t="inlineStr">
        <is>
          <t>Здание – столовая/кафе, назначение: нежилое. Количество этажей -1. Материал наружных стен: из прочих материалов.  Площадь- 942 кв. м. Земельный участок – земли населенных пунктов. Площадь -2 352 кв.м. Виды разрешенного использования: магазины,  размещение объектов капитального строительства, предназначенных для продажи товаров, торговая площадь которых составляет до 5000 кв. м.</t>
        </is>
      </c>
      <c r="F118" s="3" t="inlineStr">
        <is>
          <t>05.09.22 10:00</t>
        </is>
      </c>
      <c r="G118" t="inlineStr">
        <is>
          <t>Красноярский край, г Ачинск, мкр Авиатор, зд 47</t>
        </is>
      </c>
      <c r="H118" s="4" t="n">
        <v>8768640</v>
      </c>
      <c r="I118" s="4" t="n">
        <v>9308.535031847134</v>
      </c>
      <c r="J118" t="inlineStr">
        <is>
          <t xml:space="preserve">Здание – столовая/кафе, </t>
        </is>
      </c>
      <c r="K118" s="5" t="n">
        <v>2.92</v>
      </c>
      <c r="L118" s="4" t="n">
        <v>4654</v>
      </c>
      <c r="M118" t="n">
        <v>3189</v>
      </c>
      <c r="N118" s="6" t="n">
        <v>110448</v>
      </c>
      <c r="O118" t="n">
        <v>2</v>
      </c>
      <c r="Q118" t="inlineStr">
        <is>
          <t>PP</t>
        </is>
      </c>
      <c r="R118" t="inlineStr">
        <is>
          <t>М</t>
        </is>
      </c>
      <c r="S118" s="2">
        <f>HYPERLINK("https://yandex.ru/maps/?&amp;text=56.264692, 90.482502", "56.264692, 90.482502")</f>
        <v/>
      </c>
      <c r="T118" s="2">
        <f>HYPERLINK("D:\venv_torgi\env\cache\objs_in_district/56.264692_90.482502.json", "56.264692_90.482502.json")</f>
        <v/>
      </c>
      <c r="U118" t="inlineStr">
        <is>
          <t>24:43:0000000:25959</t>
        </is>
      </c>
      <c r="V118" s="7" t="inlineStr">
        <is>
          <t>1</t>
        </is>
      </c>
      <c r="W118" s="20" t="n">
        <v>6744.799635829221</v>
      </c>
      <c r="X118" s="23" t="n">
        <v>-2563.735396017913</v>
      </c>
      <c r="Y118" t="n">
        <v>0</v>
      </c>
    </row>
    <row r="119">
      <c r="A119" s="8" t="n">
        <v>117</v>
      </c>
      <c r="B119" t="n">
        <v>24</v>
      </c>
      <c r="C119" s="1" t="n">
        <v>43</v>
      </c>
      <c r="D119" s="2">
        <f>HYPERLINK("https://torgi.gov.ru/new/public/lots/lot/21000003570000000042_1/(lotInfo:info)", "21000003570000000042_1")</f>
        <v/>
      </c>
      <c r="E119" t="inlineStr">
        <is>
          <t>Характеристика здания: наименование – Офис, назначение – нежилое, площадью 43,0 кв.м, кадастровый номер: 24:47:0010125:82, реестровый номер  - 1.5-000000268, обременения не зарегистрированы.Отчет об оценке № 3777/2022 от 04.05.2022.</t>
        </is>
      </c>
      <c r="F119" s="3" t="inlineStr">
        <is>
          <t>20.09.22 10:00</t>
        </is>
      </c>
      <c r="G119" t="inlineStr">
        <is>
          <t>Красноярский край, г Енисейск, ул Ленина, д 153</t>
        </is>
      </c>
      <c r="H119" s="4" t="n">
        <v>400700</v>
      </c>
      <c r="I119" s="4" t="n">
        <v>9318.60465116279</v>
      </c>
      <c r="J119" t="inlineStr">
        <is>
          <t>Офис</t>
        </is>
      </c>
      <c r="K119" s="5" t="n">
        <v>8.390000000000001</v>
      </c>
      <c r="L119" s="10" t="n"/>
      <c r="M119" t="n">
        <v>1111</v>
      </c>
      <c r="N119" s="6" t="n">
        <v>18666</v>
      </c>
      <c r="O119" t="inlineStr">
        <is>
          <t>0</t>
        </is>
      </c>
      <c r="P119" s="21" t="n">
        <v>1.790107333222358</v>
      </c>
      <c r="Q119" t="inlineStr">
        <is>
          <t>EA</t>
        </is>
      </c>
      <c r="R119" t="inlineStr">
        <is>
          <t>М</t>
        </is>
      </c>
      <c r="S119" s="2">
        <f>HYPERLINK("https://yandex.ru/maps/?&amp;text=58.453272, 92.190298", "58.453272, 92.190298")</f>
        <v/>
      </c>
      <c r="T119" s="11">
        <f>HYPERLINK("D:\venv_torgi\env\cache\objs_in_district/58.453272_92.190298.json", "58.453272_92.190298.json")</f>
        <v/>
      </c>
      <c r="U119" t="inlineStr">
        <is>
          <t xml:space="preserve">24:47:0010125:82, </t>
        </is>
      </c>
      <c r="V119" s="7" t="inlineStr">
        <is>
          <t>1</t>
        </is>
      </c>
      <c r="W119" s="20" t="n">
        <v>25999.90717260928</v>
      </c>
      <c r="X119" s="22" t="n">
        <v>16681.30252144649</v>
      </c>
      <c r="Y119" t="n">
        <v>0</v>
      </c>
    </row>
    <row r="120">
      <c r="A120" s="8" t="n">
        <v>118</v>
      </c>
      <c r="B120" t="n">
        <v>24</v>
      </c>
      <c r="C120" s="1" t="n">
        <v>50.4</v>
      </c>
      <c r="D120" s="2">
        <f>HYPERLINK("https://torgi.gov.ru/new/public/lots/lot/21000004520000000020_1/(lotInfo:info)", "21000004520000000020_1")</f>
        <v/>
      </c>
      <c r="E120" t="inlineStr">
        <is>
          <t>Нежилое помещение, площадью 50,4 кв.м., этаж 1, расположенное по адресу: Красноярский край, г. Канск, ул. Урицкого, д. 47, пом. 202, кад. номер 24:51:0203124:682 (характеристики нежилого помещения указаны без учета имеющихся неузаконенных перепланировок (переустройств)). Нежилое помещение находится на первом этаже пятиэтажного жилого дома. Отдельный вход отсутствует. Покупатель объекта за свой счет и своими силами либо с привлечением третьих лиц согласен произвести фактические и /или юридические действия, необходимые для приведения нежилого помещения в соответствие со сведениями, содержащимися в Едином государственном реестре недвижимости, и/или законодательством Российской Федерации.</t>
        </is>
      </c>
      <c r="F120" s="3" t="inlineStr">
        <is>
          <t>13.09.22 10:00</t>
        </is>
      </c>
      <c r="G120" t="inlineStr">
        <is>
          <t>Красноярский край, г Канск, ул Урицкого, д 47</t>
        </is>
      </c>
      <c r="H120" s="4" t="n">
        <v>470000</v>
      </c>
      <c r="I120" s="4" t="n">
        <v>9325.396825396825</v>
      </c>
      <c r="J120" t="inlineStr">
        <is>
          <t>Нежилое помещение</t>
        </is>
      </c>
      <c r="K120" s="5" t="n">
        <v>3.58</v>
      </c>
      <c r="M120" t="n">
        <v>2607</v>
      </c>
      <c r="N120" s="6" t="n">
        <v>94226</v>
      </c>
      <c r="P120" s="21" t="n">
        <v>1.880979642247679</v>
      </c>
      <c r="Q120" t="inlineStr">
        <is>
          <t>EA</t>
        </is>
      </c>
      <c r="R120" t="inlineStr">
        <is>
          <t>М</t>
        </is>
      </c>
      <c r="S120" s="2">
        <f>HYPERLINK("https://yandex.ru/maps/?&amp;text=56.205616, 95.689926", "56.205616, 95.689926")</f>
        <v/>
      </c>
      <c r="U120" t="inlineStr">
        <is>
          <t xml:space="preserve">24:51:0203124:682 </t>
        </is>
      </c>
      <c r="V120" s="7" t="inlineStr">
        <is>
          <t>1</t>
        </is>
      </c>
      <c r="W120" s="20" t="n">
        <v>26866.27840984939</v>
      </c>
      <c r="X120" s="22" t="n">
        <v>17540.88158445257</v>
      </c>
      <c r="Y120" t="n">
        <v>0</v>
      </c>
    </row>
    <row r="121">
      <c r="A121" s="8" t="n">
        <v>119</v>
      </c>
      <c r="B121" t="n">
        <v>24</v>
      </c>
      <c r="C121" s="1" t="n">
        <v>998</v>
      </c>
      <c r="D121" s="2">
        <f>HYPERLINK("https://torgi.gov.ru/new/public/lots/lot/22000024070000000054_4/(lotInfo:info)", "22000024070000000054_4")</f>
        <v/>
      </c>
      <c r="E121" t="inlineStr">
        <is>
          <t>Прачечная, назначение: нежилое, количество этажей: 1, год постройки -1913, стены -  кирпичные, общая площадь 601 кв. м.. г. Ачинск, микрорайон  Авиатор, зд. 62.  Состояние крыши неудовлетворительное. Баня, назначение: нежилое, количество этажей: 1,общая площадь 397 кв.м., стены -  кирпичные. Земельный участок, категория земель: земли населенных пунктов, разрешенное использование: для эксплуатации нежилых зданий, общая площадь 3430 кв. м.</t>
        </is>
      </c>
      <c r="F121" s="3" t="inlineStr">
        <is>
          <t>05.09.22 10:00</t>
        </is>
      </c>
      <c r="G121" t="inlineStr">
        <is>
          <t>г. Ачинск, микрорайон Авиатор, здания 60, 62</t>
        </is>
      </c>
      <c r="H121" s="4" t="n">
        <v>9721480</v>
      </c>
      <c r="I121" s="4" t="n">
        <v>9740.961923847695</v>
      </c>
      <c r="J121" t="inlineStr">
        <is>
          <t>Прачечная</t>
        </is>
      </c>
      <c r="K121" s="5" t="n">
        <v>4.33</v>
      </c>
      <c r="L121" s="10" t="n"/>
      <c r="M121" t="n">
        <v>2251</v>
      </c>
      <c r="N121" s="6" t="n">
        <v>110448</v>
      </c>
      <c r="O121" t="inlineStr">
        <is>
          <t>0</t>
        </is>
      </c>
      <c r="Q121" t="inlineStr">
        <is>
          <t>PP</t>
        </is>
      </c>
      <c r="R121" t="inlineStr">
        <is>
          <t>М</t>
        </is>
      </c>
      <c r="S121" s="2">
        <f>HYPERLINK("https://yandex.ru/maps/?&amp;text=56.265642, 90.476393", "56.265642, 90.476393")</f>
        <v/>
      </c>
      <c r="T121" s="11">
        <f>HYPERLINK("D:\venv_torgi\env\cache\objs_in_district/56.265642_90.476393.json", "56.265642_90.476393.json")</f>
        <v/>
      </c>
      <c r="V121" s="7" t="inlineStr">
        <is>
          <t>1</t>
        </is>
      </c>
      <c r="W121" s="20" t="n">
        <v>6744.799635829221</v>
      </c>
      <c r="X121" s="23" t="n">
        <v>-2996.162288018474</v>
      </c>
      <c r="Y121" t="n">
        <v>0</v>
      </c>
    </row>
    <row r="122">
      <c r="A122" s="8" t="n">
        <v>120</v>
      </c>
      <c r="B122" t="n">
        <v>24</v>
      </c>
      <c r="C122" s="1" t="n">
        <v>320.5</v>
      </c>
      <c r="D122" s="2">
        <f>HYPERLINK("https://torgi.gov.ru/new/public/lots/lot/22000024070000000049_6/(lotInfo:info)", "22000024070000000049_6")</f>
        <v/>
      </c>
      <c r="E122" t="inlineStr">
        <is>
          <t>Нежилое здание, кадастровый номер:24:43:0126016:17, площадь:320.5 кв.м; количество этажей, в том числе подземных этажей: 1, в том числе подземных 0, материал наружных стен: кирпичные, год завершения строительства: 1967.  Здание находится в полуразрушенном состоянии.  Земельный участок, кадастровый номер: 24:43:0126016:4, площадь:527кв.м; категория земель: земли населенных пунктов, виды разрешенного использования: под объектами бытового обслуживания.</t>
        </is>
      </c>
      <c r="F122" s="3" t="inlineStr">
        <is>
          <t>04.09.22 10:00</t>
        </is>
      </c>
      <c r="G122" t="inlineStr">
        <is>
          <t>Красноярский край, г Ачинск, ул Пешеходная, д 30</t>
        </is>
      </c>
      <c r="H122" s="4" t="n">
        <v>3165380</v>
      </c>
      <c r="I122" s="4" t="n">
        <v>9876.380655226209</v>
      </c>
      <c r="J122" t="inlineStr">
        <is>
          <t xml:space="preserve">здание, </t>
        </is>
      </c>
      <c r="K122" s="5" t="n">
        <v>6.15</v>
      </c>
      <c r="L122" s="10" t="n"/>
      <c r="M122" t="n">
        <v>1605</v>
      </c>
      <c r="N122" s="6" t="n">
        <v>110448</v>
      </c>
      <c r="O122" t="inlineStr">
        <is>
          <t>0</t>
        </is>
      </c>
      <c r="Q122" t="inlineStr">
        <is>
          <t>PP</t>
        </is>
      </c>
      <c r="R122" t="inlineStr">
        <is>
          <t>М</t>
        </is>
      </c>
      <c r="S122" s="2">
        <f>HYPERLINK("https://yandex.ru/maps/?&amp;text=56.24831, 90.51248", "56.24831, 90.51248")</f>
        <v/>
      </c>
      <c r="T122" s="11">
        <f>HYPERLINK("D:\venv_torgi\env\cache\objs_in_district/56.24831_90.51248.json", "56.24831_90.51248.json")</f>
        <v/>
      </c>
      <c r="U122" t="inlineStr">
        <is>
          <t xml:space="preserve">24:43:0126016:17, </t>
        </is>
      </c>
      <c r="V122" s="7" t="inlineStr">
        <is>
          <t>1</t>
        </is>
      </c>
      <c r="W122" s="20" t="n">
        <v>6744.799635829221</v>
      </c>
      <c r="X122" s="23" t="n">
        <v>-3131.581019396987</v>
      </c>
      <c r="Y122" t="n">
        <v>0</v>
      </c>
    </row>
    <row r="123">
      <c r="A123" s="8" t="n">
        <v>121</v>
      </c>
      <c r="B123" t="n">
        <v>24</v>
      </c>
      <c r="C123" s="1" t="n">
        <v>270.7</v>
      </c>
      <c r="D123" s="2">
        <f>HYPERLINK("https://torgi.gov.ru/new/public/lots/lot/22000024070000000049_5/(lotInfo:info)", "22000024070000000049_5")</f>
        <v/>
      </c>
      <c r="E123" t="inlineStr">
        <is>
          <t>Нежилое здание, кадастровый номер:24:43:0103011:20, площадь:270.7 кв.м; наименование: баня с котельной, количество этажей, в том числе подземных этажей: 1, в том числе подземных 0, материал наружных стен: кирпичные,  год завершения строительства: 1982. Земельный участок, кадастровый номер: 24:43:0103011:9, площадь:779.7кв.м; категория земель: земли населенных пунктов, виды разрешенного использования: под объектами бытового обслуживания (для эксплуатации бани).На земельном участке расположено сооружение электроэнергетики - линия уличного освещения, протяженностью 276м.,  кадастровый номер:24:43:0103011:74.</t>
        </is>
      </c>
      <c r="F123" s="3" t="inlineStr">
        <is>
          <t>04.09.22 10:00</t>
        </is>
      </c>
      <c r="G123" t="inlineStr">
        <is>
          <t>Красноярский край, г Ачинск, ул Привокзальная</t>
        </is>
      </c>
      <c r="H123" s="4" t="n">
        <v>2827446</v>
      </c>
      <c r="I123" s="4" t="n">
        <v>10444.94274104174</v>
      </c>
      <c r="J123" t="inlineStr">
        <is>
          <t xml:space="preserve">здание, </t>
        </is>
      </c>
      <c r="K123" s="5" t="n">
        <v>5.32</v>
      </c>
      <c r="L123" s="4" t="n">
        <v>949.45</v>
      </c>
      <c r="M123" t="n">
        <v>1965</v>
      </c>
      <c r="N123" s="6" t="n">
        <v>110448</v>
      </c>
      <c r="O123" t="n">
        <v>11</v>
      </c>
      <c r="Q123" t="inlineStr">
        <is>
          <t>PP</t>
        </is>
      </c>
      <c r="R123" t="inlineStr">
        <is>
          <t>М</t>
        </is>
      </c>
      <c r="S123" s="2">
        <f>HYPERLINK("https://yandex.ru/maps/?&amp;text=56.303397, 90.519189", "56.303397, 90.519189")</f>
        <v/>
      </c>
      <c r="T123" s="2">
        <f>HYPERLINK("D:\venv_torgi\env\cache\objs_in_district/56.303397_90.519189.json", "56.303397_90.519189.json")</f>
        <v/>
      </c>
      <c r="U123" t="inlineStr">
        <is>
          <t xml:space="preserve">24:43:0103011:20, </t>
        </is>
      </c>
      <c r="V123" s="7" t="inlineStr">
        <is>
          <t>1</t>
        </is>
      </c>
      <c r="W123" s="20" t="n">
        <v>10184.55663459608</v>
      </c>
      <c r="X123" s="23" t="n">
        <v>-260.3861064456632</v>
      </c>
      <c r="Y123" t="n">
        <v>0</v>
      </c>
    </row>
    <row r="124">
      <c r="A124" s="8" t="n">
        <v>122</v>
      </c>
      <c r="B124" t="n">
        <v>24</v>
      </c>
      <c r="C124" s="1" t="n">
        <v>162.5</v>
      </c>
      <c r="D124" s="2">
        <f>HYPERLINK("https://torgi.gov.ru/new/public/lots/lot/22000024070000000050_2/(lotInfo:info)", "22000024070000000050_2")</f>
        <v/>
      </c>
      <c r="E124" t="inlineStr">
        <is>
          <t>назначение: нежилое; кадастровый номер: 24:43:0000000:27011; площадь: 162.5 кв.м.; наименование: здание подстанции S 1; количество этажей, в том числе подземных этажей: 1, в том числе подземных 0; материал наружных стен: из прочих материалов; ограничение прав и обременение объекта недвижимости-не зарегистрировано.Земельный участок, кадастровый номер: 24:43:0129005:124; площадь: 698 кв.м.; категория земель: земли населенных пунктов; виды разрешенного использования: коммунальное обслуживание, ограничение прав и обременение объекта недвижимости - не зарегистрировано.На территории земельного участка расположен  объект  коммунального хозяйства - тепловая сеть,  кадастровый номер: 24:43:0134001:348.</t>
        </is>
      </c>
      <c r="F124" s="3" t="inlineStr">
        <is>
          <t>04.09.22 10:00</t>
        </is>
      </c>
      <c r="G124" t="inlineStr">
        <is>
          <t>г. Ачинск, территория Южная Промзона, квартал 2, строения  2</t>
        </is>
      </c>
      <c r="H124" s="4" t="n">
        <v>1921055.6</v>
      </c>
      <c r="I124" s="4" t="n">
        <v>11821.88061538462</v>
      </c>
      <c r="J124" t="inlineStr">
        <is>
          <t xml:space="preserve">здание подстанции </t>
        </is>
      </c>
      <c r="K124" s="5" t="n">
        <v>5.78</v>
      </c>
      <c r="L124" s="4" t="n">
        <v>11821</v>
      </c>
      <c r="M124" t="n">
        <v>2044</v>
      </c>
      <c r="N124" s="6" t="n">
        <v>110448</v>
      </c>
      <c r="O124" t="n">
        <v>1</v>
      </c>
      <c r="P124" s="21" t="n">
        <v>0.3722490449455164</v>
      </c>
      <c r="Q124" t="inlineStr">
        <is>
          <t>PP</t>
        </is>
      </c>
      <c r="R124" t="inlineStr">
        <is>
          <t>М</t>
        </is>
      </c>
      <c r="S124" s="2">
        <f>HYPERLINK("https://yandex.ru/maps/?&amp;text=56.233489, 90.47536", "56.233489, 90.47536")</f>
        <v/>
      </c>
      <c r="T124" s="2">
        <f>HYPERLINK("D:\venv_torgi\env\cache\objs_in_district/56.233489_90.47536.json", "56.233489_90.47536.json")</f>
        <v/>
      </c>
      <c r="U124" t="inlineStr">
        <is>
          <t xml:space="preserve">24:43:0000000:27011; </t>
        </is>
      </c>
      <c r="V124" s="7" t="inlineStr">
        <is>
          <t>1</t>
        </is>
      </c>
      <c r="W124" s="20" t="n">
        <v>16222.56438392146</v>
      </c>
      <c r="X124" s="22" t="n">
        <v>4400.683768536837</v>
      </c>
      <c r="Y124" t="n">
        <v>0</v>
      </c>
    </row>
    <row r="125">
      <c r="A125" s="8" t="n">
        <v>123</v>
      </c>
      <c r="B125" t="n">
        <v>24</v>
      </c>
      <c r="C125" s="1" t="n">
        <v>113.8</v>
      </c>
      <c r="D125" s="2">
        <f>HYPERLINK("https://torgi.gov.ru/new/public/lots/lot/22000024070000000049_1/(lotInfo:info)", "22000024070000000049_1")</f>
        <v/>
      </c>
      <c r="E125" t="inlineStr">
        <is>
          <t>Здание, кадастровый номер: 24:43:0108011:35, общей площадью 113,8  кв.м., количество этажей, в том числе подземных этажей: 1, в том числе подземных 0, материал наружных стен: деревянные, год завершения строительства: 1978. Здание находится в полуразрушенном состоянии. Земельный участок, кадастровый номер: 24:43:0108011:54, площадь: 635кв.м., категория земель – земли населенных пунктов, виды разрешенного использования: под объектами складского назначения.</t>
        </is>
      </c>
      <c r="F125" s="3" t="inlineStr">
        <is>
          <t>04.09.22 10:00</t>
        </is>
      </c>
      <c r="G125" t="inlineStr">
        <is>
          <t>Красноярский край, г Ачинск, ул Горная</t>
        </is>
      </c>
      <c r="H125" s="4" t="n">
        <v>1383214.4</v>
      </c>
      <c r="I125" s="4" t="n">
        <v>12154.78383128295</v>
      </c>
      <c r="J125" t="inlineStr">
        <is>
          <t xml:space="preserve">Здание, </t>
        </is>
      </c>
      <c r="K125" s="5" t="n">
        <v>5.23</v>
      </c>
      <c r="L125" s="4" t="n">
        <v>6077</v>
      </c>
      <c r="M125" t="n">
        <v>2322</v>
      </c>
      <c r="N125" s="6" t="n">
        <v>110448</v>
      </c>
      <c r="O125" t="n">
        <v>2</v>
      </c>
      <c r="P125" s="21" t="n">
        <v>0.3346649853343503</v>
      </c>
      <c r="Q125" t="inlineStr">
        <is>
          <t>PP</t>
        </is>
      </c>
      <c r="R125" t="inlineStr">
        <is>
          <t>М</t>
        </is>
      </c>
      <c r="S125" s="2">
        <f>HYPERLINK("https://yandex.ru/maps/?&amp;text=56.292882, 90.526708", "56.292882, 90.526708")</f>
        <v/>
      </c>
      <c r="T125" s="2">
        <f>HYPERLINK("D:\venv_torgi\env\cache\objs_in_district/56.292882_90.526708.json", "56.292882_90.526708.json")</f>
        <v/>
      </c>
      <c r="U125" t="inlineStr">
        <is>
          <t xml:space="preserve">24:43:0108011:35, </t>
        </is>
      </c>
      <c r="V125" s="7" t="inlineStr">
        <is>
          <t>1</t>
        </is>
      </c>
      <c r="W125" s="20" t="n">
        <v>16222.56438392146</v>
      </c>
      <c r="X125" s="22" t="n">
        <v>4067.780552638507</v>
      </c>
      <c r="Y125" t="n">
        <v>0</v>
      </c>
    </row>
    <row r="126">
      <c r="A126" s="8" t="n">
        <v>124</v>
      </c>
      <c r="B126" t="n">
        <v>24</v>
      </c>
      <c r="C126" s="1" t="n">
        <v>30</v>
      </c>
      <c r="D126" s="2">
        <f>HYPERLINK("https://torgi.gov.ru/new/public/lots/lot/22000024070000000054_5/(lotInfo:info)", "22000024070000000054_5")</f>
        <v/>
      </c>
      <c r="E126" t="inlineStr">
        <is>
          <t>Год завершения строительства – 1984; число этажей – 2, в том числе подземных-1; материал наружных стен здания – кирпичные. Общая площадь здания -30 кв. м. Земельный участок - земли населенных пунктов. Площадь - 97 кв. м. Виды разрешенного использования: обслуживание автотранспорта, размещение постоянных или временных гаражей с несколькими стояночными местами, стоянок (парковок), гаражей, в том числе многоярусных.</t>
        </is>
      </c>
      <c r="F126" s="3" t="inlineStr">
        <is>
          <t>05.09.22 10:00</t>
        </is>
      </c>
      <c r="G126" t="inlineStr">
        <is>
          <t>Красноярский край, г Ачинск, пр-кт Лапенкова, зд 5А</t>
        </is>
      </c>
      <c r="H126" s="4" t="n">
        <v>475180</v>
      </c>
      <c r="I126" s="4" t="n">
        <v>15839.33333333333</v>
      </c>
      <c r="J126" t="inlineStr">
        <is>
          <t xml:space="preserve">здание </t>
        </is>
      </c>
      <c r="K126" s="5" t="n">
        <v>6.1</v>
      </c>
      <c r="M126" t="n">
        <v>2595</v>
      </c>
      <c r="N126" s="6" t="n">
        <v>110448</v>
      </c>
      <c r="P126" s="21" t="n">
        <v>0.6961748227944818</v>
      </c>
      <c r="Q126" t="inlineStr">
        <is>
          <t>PP</t>
        </is>
      </c>
      <c r="R126" t="inlineStr">
        <is>
          <t>М</t>
        </is>
      </c>
      <c r="S126" s="2">
        <f>HYPERLINK("https://yandex.ru/maps/?&amp;text=56.245115, 90.482681", "56.245115, 90.482681")</f>
        <v/>
      </c>
      <c r="U126" t="inlineStr">
        <is>
          <t>24:43:0126017:744</t>
        </is>
      </c>
      <c r="V126" s="7" t="inlineStr">
        <is>
          <t>1</t>
        </is>
      </c>
      <c r="W126" s="20" t="n">
        <v>26866.27840984939</v>
      </c>
      <c r="X126" s="22" t="n">
        <v>11026.94507651606</v>
      </c>
      <c r="Y126" t="n">
        <v>0</v>
      </c>
    </row>
    <row r="127">
      <c r="A127" s="8" t="n">
        <v>125</v>
      </c>
      <c r="B127" t="n">
        <v>24</v>
      </c>
      <c r="C127" s="1" t="n">
        <v>117.9</v>
      </c>
      <c r="D127" s="2">
        <f>HYPERLINK("https://torgi.gov.ru/new/public/lots/lot/22000024070000000049_3/(lotInfo:info)", "22000024070000000049_3")</f>
        <v/>
      </c>
      <c r="E127" t="inlineStr">
        <is>
          <t>Здание, кадастровый номер: 24:43:0109019:76, площадь: 117.9 кв. м;  количество этажей, в том числе подземных этажей: 1, в том числе подземных 0, материал наружных стен: кирпичные, год завершения строительства: 1971.Земельный участок, кадастровый номер: 24:43:0109019:86, Площадь:225кв.м; категория земель: земли населенных пунктов, виды разрешенного использования: Бытовое обслуживание.</t>
        </is>
      </c>
      <c r="F127" s="3" t="inlineStr">
        <is>
          <t>04.09.22 10:00</t>
        </is>
      </c>
      <c r="G127" t="inlineStr">
        <is>
          <t>Красноярский край, г Ачинск, ул Пузановой, д 46</t>
        </is>
      </c>
      <c r="H127" s="4" t="n">
        <v>1893222</v>
      </c>
      <c r="I127" s="4" t="n">
        <v>16057.86259541985</v>
      </c>
      <c r="J127" t="inlineStr">
        <is>
          <t xml:space="preserve">Здание, </t>
        </is>
      </c>
      <c r="K127" s="5" t="n">
        <v>7.45</v>
      </c>
      <c r="L127" s="4" t="n">
        <v>1784.11</v>
      </c>
      <c r="M127" t="n">
        <v>2156</v>
      </c>
      <c r="N127" s="6" t="n">
        <v>110448</v>
      </c>
      <c r="O127" t="n">
        <v>9</v>
      </c>
      <c r="P127" s="21" t="n">
        <v>0.01025676907638905</v>
      </c>
      <c r="Q127" t="inlineStr">
        <is>
          <t>PP</t>
        </is>
      </c>
      <c r="R127" t="inlineStr">
        <is>
          <t>М</t>
        </is>
      </c>
      <c r="S127" s="2">
        <f>HYPERLINK("https://yandex.ru/maps/?&amp;text=56.277718, 90.498042", "56.277718, 90.498042")</f>
        <v/>
      </c>
      <c r="T127" s="2">
        <f>HYPERLINK("D:\venv_torgi\env\cache\objs_in_district/56.277718_90.498042.json", "56.277718_90.498042.json")</f>
        <v/>
      </c>
      <c r="U127" t="inlineStr">
        <is>
          <t xml:space="preserve">24:43:0109019:76, </t>
        </is>
      </c>
      <c r="V127" s="7" t="inlineStr">
        <is>
          <t>1</t>
        </is>
      </c>
      <c r="W127" s="20" t="n">
        <v>16222.56438392146</v>
      </c>
      <c r="X127" s="22" t="n">
        <v>164.7017885016066</v>
      </c>
      <c r="Y127" t="n">
        <v>0</v>
      </c>
    </row>
    <row r="128">
      <c r="A128" s="8" t="n">
        <v>126</v>
      </c>
      <c r="B128" t="n">
        <v>24</v>
      </c>
      <c r="C128" s="1" t="n">
        <v>17.9</v>
      </c>
      <c r="D128" s="2">
        <f>HYPERLINK("https://torgi.gov.ru/new/public/lots/lot/22000060480000000004_3/(lotInfo:info)", "22000060480000000004_3")</f>
        <v/>
      </c>
      <c r="E128" t="inlineStr">
        <is>
          <t>Нежилое помещение общей площадью 17,9 м.кв. Имущество расположено на территории имущественного комплекса - производственной базы. На земельном участке имеются другие здания производственно-складского, административного гаражного назначения. Социальная инфраструктура – развитая. Физический износ здания в котором расположено имущество составляет 50%. Имущество продается в состоянии как оно есть. Физическое состояние объектов и отделки: «Удовлетворительное». Помещения пригодны к использованию по функциональному назначению, имеются устранимые дефекты.</t>
        </is>
      </c>
      <c r="F128" s="3" t="inlineStr">
        <is>
          <t>08.09.22 06:00</t>
        </is>
      </c>
      <c r="G128" t="inlineStr">
        <is>
          <t>Российская Федерация, Красноярский край, г. Красноярск, ул. Северное шоссе, 37, строение 4, пом. 8</t>
        </is>
      </c>
      <c r="H128" s="4" t="n">
        <v>306819.15</v>
      </c>
      <c r="I128" s="4" t="n">
        <v>17140.73463687151</v>
      </c>
      <c r="J128" t="inlineStr">
        <is>
          <t>гаражного назначения</t>
        </is>
      </c>
      <c r="Q128" t="inlineStr">
        <is>
          <t>EA</t>
        </is>
      </c>
      <c r="R128" t="inlineStr">
        <is>
          <t>М</t>
        </is>
      </c>
      <c r="U128" t="inlineStr">
        <is>
          <t>24:50:0000000:34610</t>
        </is>
      </c>
      <c r="V128" s="7" t="inlineStr">
        <is>
          <t>1</t>
        </is>
      </c>
      <c r="Y128" t="n">
        <v>0</v>
      </c>
    </row>
    <row r="129">
      <c r="A129" s="8" t="n">
        <v>127</v>
      </c>
      <c r="B129" t="n">
        <v>24</v>
      </c>
      <c r="C129" s="1" t="n">
        <v>17.9</v>
      </c>
      <c r="D129" s="2">
        <f>HYPERLINK("https://torgi.gov.ru/new/public/lots/lot/22000060480000000004_2/(lotInfo:info)", "22000060480000000004_2")</f>
        <v/>
      </c>
      <c r="E129" t="inlineStr">
        <is>
          <t>Нежилое помещение общей площадью 17,9 кв.м. . На земельном участке имеются другие здания производственно-складского, административного, гаражного назначения. Социальная инфраструктура – развитая. Физический износ здания в котором расположено имущество составляет 50%. Имущество продается в состоянии как оно есть.</t>
        </is>
      </c>
      <c r="F129" s="3" t="inlineStr">
        <is>
          <t>08.09.22 06:00</t>
        </is>
      </c>
      <c r="G129" t="inlineStr">
        <is>
          <t>Российская Федерация, Красноярский край, г. Красноярск, ул. Северное шоссе, 37, строение 3, пом. 3</t>
        </is>
      </c>
      <c r="H129" s="4" t="n">
        <v>306819.15</v>
      </c>
      <c r="I129" s="4" t="n">
        <v>17140.73463687151</v>
      </c>
      <c r="J129" t="inlineStr">
        <is>
          <t>гаражного назначения</t>
        </is>
      </c>
      <c r="Q129" t="inlineStr">
        <is>
          <t>EA</t>
        </is>
      </c>
      <c r="R129" t="inlineStr">
        <is>
          <t>М</t>
        </is>
      </c>
      <c r="U129" t="inlineStr">
        <is>
          <t>24:50:0000000:34610</t>
        </is>
      </c>
      <c r="V129" s="7" t="inlineStr">
        <is>
          <t>1</t>
        </is>
      </c>
      <c r="Y129" t="n">
        <v>0</v>
      </c>
    </row>
    <row r="130">
      <c r="A130" s="8" t="n">
        <v>128</v>
      </c>
      <c r="B130" t="n">
        <v>24</v>
      </c>
      <c r="C130" s="1" t="n">
        <v>10.5</v>
      </c>
      <c r="D130" s="2">
        <f>HYPERLINK("https://torgi.gov.ru/new/public/lots/lot/21000014890000000044_1/(lotInfo:info)", "21000014890000000044_1")</f>
        <v/>
      </c>
      <c r="E130" t="inlineStr">
        <is>
          <t>нежилое помещение общей площадью 10,5 кв. м, с кадастровым номером 24:50:0200010:1921 расположено по адресу: г. Красноярск, ул. Калинина, д. 10, пом. 70. Нежилое помещение находится на первом этаже девятиэтажного жилого дома. Отдельный вход отсутствует.</t>
        </is>
      </c>
      <c r="F130" s="3" t="inlineStr">
        <is>
          <t>14.09.22 10:00</t>
        </is>
      </c>
      <c r="G130" t="inlineStr">
        <is>
          <t>г Красноярск, ул Калинина, д 10</t>
        </is>
      </c>
      <c r="H130" s="4" t="n">
        <v>183000</v>
      </c>
      <c r="I130" s="4" t="n">
        <v>17428.57142857143</v>
      </c>
      <c r="J130" t="inlineStr">
        <is>
          <t>Нежилое помещение</t>
        </is>
      </c>
      <c r="K130" s="5" t="n">
        <v>4.33</v>
      </c>
      <c r="M130" t="n">
        <v>4023</v>
      </c>
      <c r="N130" s="6" t="n">
        <v>1067861</v>
      </c>
      <c r="P130" s="16" t="n">
        <v>5.933519861286257</v>
      </c>
      <c r="Q130" t="inlineStr">
        <is>
          <t>EA</t>
        </is>
      </c>
      <c r="R130" t="inlineStr">
        <is>
          <t>М</t>
        </is>
      </c>
      <c r="S130" s="2">
        <f>HYPERLINK("https://yandex.ru/maps/?&amp;text=56.034335, 92.818741", "56.034335, 92.818741")</f>
        <v/>
      </c>
      <c r="U130" t="inlineStr">
        <is>
          <t xml:space="preserve">24:50:0200010:1921 </t>
        </is>
      </c>
      <c r="V130" s="7" t="inlineStr">
        <is>
          <t>1</t>
        </is>
      </c>
      <c r="W130" s="17" t="n">
        <v>120841.3461538462</v>
      </c>
      <c r="X130" s="18" t="n">
        <v>103412.7747252748</v>
      </c>
      <c r="Y130" t="n">
        <v>0</v>
      </c>
    </row>
    <row r="131">
      <c r="A131" s="8" t="n">
        <v>129</v>
      </c>
      <c r="B131" t="n">
        <v>24</v>
      </c>
      <c r="C131" s="1" t="n">
        <v>135.9</v>
      </c>
      <c r="D131" s="2">
        <f>HYPERLINK("https://torgi.gov.ru/new/public/lots/lot/22000060480000000004_5/(lotInfo:info)", "22000060480000000004_5")</f>
        <v/>
      </c>
      <c r="E131" t="inlineStr">
        <is>
          <t>Общая площадь имущества 135,9 кв.м. Имущество расположено на территории имущественного комплекса - производственной базы. На земельном участке имеются другие здания производственно-складского, административного гаражного назначения. Социальная инфраструктура – развитая. Физический износ здания в котором расположено имущество составляет 50%. Физическое состояние объектов и отделки: «Удовлетворительное». Помещения пригодны к использованию по функциональному назначению, имеются устранимые дефекты.</t>
        </is>
      </c>
      <c r="F131" s="3" t="inlineStr">
        <is>
          <t>08.09.22 06:00</t>
        </is>
      </c>
      <c r="G131" t="inlineStr">
        <is>
          <t>г Красноярск, ул Омская, д 16, кв 41</t>
        </is>
      </c>
      <c r="H131" s="4" t="n">
        <v>2930143.98</v>
      </c>
      <c r="I131" s="4" t="n">
        <v>21561.03002207505</v>
      </c>
      <c r="J131" t="inlineStr">
        <is>
          <t>гаражного назначения</t>
        </is>
      </c>
      <c r="K131" s="5" t="n">
        <v>2.03</v>
      </c>
      <c r="L131" s="4" t="n">
        <v>1078.05</v>
      </c>
      <c r="M131" t="n">
        <v>10647</v>
      </c>
      <c r="N131" s="6" t="n">
        <v>1067861</v>
      </c>
      <c r="O131" t="n">
        <v>20</v>
      </c>
      <c r="P131" s="16" t="n">
        <v>0.2451419343140339</v>
      </c>
      <c r="Q131" t="inlineStr">
        <is>
          <t>EA</t>
        </is>
      </c>
      <c r="R131" t="inlineStr">
        <is>
          <t>М</t>
        </is>
      </c>
      <c r="S131" s="2">
        <f>HYPERLINK("https://yandex.ru/maps/?&amp;text=56.0220805, 92.8160154", "56.0220805, 92.8160154")</f>
        <v/>
      </c>
      <c r="T131" s="2">
        <f>HYPERLINK("D:\venv_torgi\env\cache\objs_in_district/56.0220805_92.8160154.json", "56.0220805_92.8160154.json")</f>
        <v/>
      </c>
      <c r="U131" t="inlineStr">
        <is>
          <t>24:50:0000000:34645</t>
        </is>
      </c>
      <c r="W131" s="17" t="n">
        <v>26846.54262748949</v>
      </c>
      <c r="X131" s="18" t="n">
        <v>5285.512605414435</v>
      </c>
      <c r="Y131" t="n">
        <v>0</v>
      </c>
    </row>
    <row r="132">
      <c r="A132" s="8" t="n">
        <v>130</v>
      </c>
      <c r="B132" t="n">
        <v>24</v>
      </c>
      <c r="C132" s="1" t="n">
        <v>235.4</v>
      </c>
      <c r="D132" s="2">
        <f>HYPERLINK("https://torgi.gov.ru/new/public/lots/lot/22000060480000000004_6/(lotInfo:info)", "22000060480000000004_6")</f>
        <v/>
      </c>
      <c r="E132" t="inlineStr">
        <is>
          <t>Общая площадь имущества 235,4 кв.м. Имущество расположено на территории имущественного комплекса - производственной базы. На земельном участке имеются другие здания производственно-складского, административного гаражного назначения. Социальная инфраструктура – развитая. Физический износ здания в котором расположено имущество составляет 50%. Физическое состояние объектов и отделки: «Удовлетворительное». Помещения пригодны к использованию по функциональному назначению, имеются устранимые дефекты.</t>
        </is>
      </c>
      <c r="F132" s="3" t="inlineStr">
        <is>
          <t>08.09.22 06:00</t>
        </is>
      </c>
      <c r="G132" t="inlineStr">
        <is>
          <t>г Красноярск, ул Омская, д 16, кв 41</t>
        </is>
      </c>
      <c r="H132" s="4" t="n">
        <v>5075466.48</v>
      </c>
      <c r="I132" s="4" t="n">
        <v>21561.03007646559</v>
      </c>
      <c r="J132" t="inlineStr">
        <is>
          <t>гаражного назначения</t>
        </is>
      </c>
      <c r="K132" s="5" t="n">
        <v>2.03</v>
      </c>
      <c r="L132" s="4" t="n">
        <v>1078.05</v>
      </c>
      <c r="M132" t="n">
        <v>10647</v>
      </c>
      <c r="N132" s="6" t="n">
        <v>1067861</v>
      </c>
      <c r="O132" t="n">
        <v>20</v>
      </c>
      <c r="P132" s="16" t="n">
        <v>0.2451419311729992</v>
      </c>
      <c r="Q132" t="inlineStr">
        <is>
          <t>EA</t>
        </is>
      </c>
      <c r="R132" t="inlineStr">
        <is>
          <t>М</t>
        </is>
      </c>
      <c r="S132" s="2">
        <f>HYPERLINK("https://yandex.ru/maps/?&amp;text=56.0220805, 92.8160154", "56.0220805, 92.8160154")</f>
        <v/>
      </c>
      <c r="T132" s="2">
        <f>HYPERLINK("D:\venv_torgi\env\cache\objs_in_district/56.0220805_92.8160154.json", "56.0220805_92.8160154.json")</f>
        <v/>
      </c>
      <c r="U132" t="inlineStr">
        <is>
          <t>24:50:0000000:34645</t>
        </is>
      </c>
      <c r="W132" s="17" t="n">
        <v>26846.54262748949</v>
      </c>
      <c r="X132" s="18" t="n">
        <v>5285.512551023894</v>
      </c>
      <c r="Y132" t="n">
        <v>0</v>
      </c>
    </row>
    <row r="133">
      <c r="A133" s="8" t="n">
        <v>131</v>
      </c>
      <c r="B133" t="n">
        <v>24</v>
      </c>
      <c r="C133" s="1" t="n">
        <v>279.4</v>
      </c>
      <c r="D133" s="2">
        <f>HYPERLINK("https://torgi.gov.ru/new/public/lots/lot/22000061080000000046_1/(lotInfo:info)", "22000061080000000046_1")</f>
        <v/>
      </c>
      <c r="E133" t="inlineStr">
        <is>
          <t>объект недвижимого имущества - нежилое помещение, общей площадью 279,4 кв. м, расположенное по адресу: Красноярский край, р-н. Таймырский Долгано-Ненецкий, г. Дудинка, ул. Советская, д. 6А, пом. 4, кадастровый номер 84:03:0020001:528</t>
        </is>
      </c>
      <c r="F133" s="3" t="inlineStr">
        <is>
          <t>12.09.22 06:00</t>
        </is>
      </c>
      <c r="G133" t="inlineStr">
        <is>
          <t>Красноярский край, г Дудинка, ул Советская, зд 6А</t>
        </is>
      </c>
      <c r="H133" s="4" t="n">
        <v>6140000</v>
      </c>
      <c r="I133" s="4" t="n">
        <v>21975.66213314245</v>
      </c>
      <c r="J133" t="inlineStr">
        <is>
          <t>Нежилое помещение</t>
        </is>
      </c>
      <c r="K133" s="5" t="n">
        <v>9.07</v>
      </c>
      <c r="L133" s="4" t="n">
        <v>3662.5</v>
      </c>
      <c r="M133" t="n">
        <v>2422</v>
      </c>
      <c r="N133" s="6" t="n">
        <v>22175</v>
      </c>
      <c r="O133" t="n">
        <v>6</v>
      </c>
      <c r="Q133" t="inlineStr">
        <is>
          <t>EA</t>
        </is>
      </c>
      <c r="R133" t="inlineStr">
        <is>
          <t>М</t>
        </is>
      </c>
      <c r="S133" s="2">
        <f>HYPERLINK("https://yandex.ru/maps/?&amp;text=69.411369, 86.160464", "69.411369, 86.160464")</f>
        <v/>
      </c>
      <c r="T133" s="2">
        <f>HYPERLINK("D:\venv_torgi\env\cache\objs_in_district/69.411369_86.160464.json", "69.411369_86.160464.json")</f>
        <v/>
      </c>
      <c r="U133" t="inlineStr">
        <is>
          <t>84:03:0020001:528</t>
        </is>
      </c>
      <c r="V133" s="7" t="inlineStr">
        <is>
          <t>2</t>
        </is>
      </c>
      <c r="W133" s="20" t="n">
        <v>10184.55663459608</v>
      </c>
      <c r="X133" s="23" t="n">
        <v>-11791.10549854637</v>
      </c>
      <c r="Y133" t="n">
        <v>0</v>
      </c>
    </row>
    <row r="134">
      <c r="A134" s="8" t="n">
        <v>132</v>
      </c>
      <c r="B134" t="n">
        <v>24</v>
      </c>
      <c r="C134" s="1" t="n">
        <v>66.59999999999999</v>
      </c>
      <c r="D134" s="2">
        <f>HYPERLINK("https://torgi.gov.ru/new/public/lots/lot/22000060480000000003_2/(lotInfo:info)", "22000060480000000003_2")</f>
        <v/>
      </c>
      <c r="E134" t="inlineStr">
        <is>
          <t>Нежилое помещение общей площадью 66,6 кв.м. . На земельном участке имеются другие здания производственно-складского, административного гаражного назначения. Социальная инфраструктура – развитая.Физический износ здания в котором расположено имущество составляет 50%. Имущество продается в состоянии как оно есть.</t>
        </is>
      </c>
      <c r="F134" s="3" t="inlineStr">
        <is>
          <t>08.09.22 06:00</t>
        </is>
      </c>
      <c r="G134" t="inlineStr">
        <is>
          <t xml:space="preserve"> г. Красноярск, ул. Северное шоссе, 37, строение 4, пом. 7</t>
        </is>
      </c>
      <c r="H134" s="4" t="n">
        <v>1515059.73</v>
      </c>
      <c r="I134" s="4" t="n">
        <v>22748.6445945946</v>
      </c>
      <c r="J134" t="inlineStr">
        <is>
          <t>гаражного назначения</t>
        </is>
      </c>
      <c r="K134" s="5" t="n">
        <v>9.16</v>
      </c>
      <c r="L134" s="4" t="n">
        <v>4549.6</v>
      </c>
      <c r="M134" t="n">
        <v>2484</v>
      </c>
      <c r="N134" s="6" t="n">
        <v>1067861</v>
      </c>
      <c r="O134" t="n">
        <v>5</v>
      </c>
      <c r="P134" s="16" t="n">
        <v>0.1801381183768903</v>
      </c>
      <c r="Q134" t="inlineStr">
        <is>
          <t>EA</t>
        </is>
      </c>
      <c r="R134" t="inlineStr">
        <is>
          <t>М</t>
        </is>
      </c>
      <c r="S134" s="2">
        <f>HYPERLINK("https://yandex.ru/maps/?&amp;text=56.062218, 92.890399", "56.062218, 92.890399")</f>
        <v/>
      </c>
      <c r="T134" s="2">
        <f>HYPERLINK("D:\venv_torgi\env\cache\objs_in_district/56.062218_92.890399.json", "56.062218_92.890399.json")</f>
        <v/>
      </c>
      <c r="U134" t="inlineStr">
        <is>
          <t>24:50:0000000:34644</t>
        </is>
      </c>
      <c r="V134" s="7" t="inlineStr">
        <is>
          <t>1</t>
        </is>
      </c>
      <c r="W134" s="17" t="n">
        <v>26846.54262748949</v>
      </c>
      <c r="X134" s="18" t="n">
        <v>4097.898032894886</v>
      </c>
      <c r="Y134" t="n">
        <v>0</v>
      </c>
    </row>
    <row r="135">
      <c r="A135" s="8" t="n">
        <v>133</v>
      </c>
      <c r="B135" t="n">
        <v>24</v>
      </c>
      <c r="C135" s="1" t="n">
        <v>147.6</v>
      </c>
      <c r="D135" s="2">
        <f>HYPERLINK("https://torgi.gov.ru/new/public/lots/lot/22000060480000000003_3/(lotInfo:info)", "22000060480000000003_3")</f>
        <v/>
      </c>
      <c r="E135" t="inlineStr">
        <is>
          <t>Нежилое помещение общей площадью 147,6 м.кв. Имущество расположено на территории имущественного комплекса - производственной базы. На земельном участке имеются другие здания производственно-складского, административного гаражного назначения. Социальная инфраструктура – развитая.Физический износ здания в котором расположено имущество составляет 50%. Имущество продается в состоянии как оно есть.Физическое состояние объектов и отделки: «Удовлетворительное». Помещения пригодны к использованию по функциональному назначению, имеются устранимые дефекты.</t>
        </is>
      </c>
      <c r="F135" s="3" t="inlineStr">
        <is>
          <t>08.09.22 06:00</t>
        </is>
      </c>
      <c r="G135" t="inlineStr">
        <is>
          <t>г Красноярск, ул Омская, д 16, кв 41</t>
        </is>
      </c>
      <c r="H135" s="4" t="n">
        <v>3357699.95</v>
      </c>
      <c r="I135" s="4" t="n">
        <v>22748.64464769648</v>
      </c>
      <c r="J135" t="inlineStr">
        <is>
          <t>гаражного назначения</t>
        </is>
      </c>
      <c r="K135" s="5" t="n">
        <v>2.14</v>
      </c>
      <c r="L135" s="4" t="n">
        <v>1137.4</v>
      </c>
      <c r="M135" t="n">
        <v>10647</v>
      </c>
      <c r="N135" s="6" t="n">
        <v>1067861</v>
      </c>
      <c r="O135" t="n">
        <v>20</v>
      </c>
      <c r="P135" s="16" t="n">
        <v>0.1801381156221083</v>
      </c>
      <c r="Q135" t="inlineStr">
        <is>
          <t>EA</t>
        </is>
      </c>
      <c r="R135" t="inlineStr">
        <is>
          <t>М</t>
        </is>
      </c>
      <c r="S135" s="2">
        <f>HYPERLINK("https://yandex.ru/maps/?&amp;text=56.0220805, 92.8160154", "56.0220805, 92.8160154")</f>
        <v/>
      </c>
      <c r="T135" s="2">
        <f>HYPERLINK("D:\venv_torgi\env\cache\objs_in_district/56.0220805_92.8160154.json", "56.0220805_92.8160154.json")</f>
        <v/>
      </c>
      <c r="U135" t="inlineStr">
        <is>
          <t>24:50:0000000:34645</t>
        </is>
      </c>
      <c r="V135" s="7" t="inlineStr">
        <is>
          <t>1</t>
        </is>
      </c>
      <c r="W135" s="17" t="n">
        <v>26846.54262748949</v>
      </c>
      <c r="X135" s="18" t="n">
        <v>4097.897979793004</v>
      </c>
      <c r="Y135" t="n">
        <v>0</v>
      </c>
    </row>
    <row r="136">
      <c r="A136" s="8" t="n">
        <v>134</v>
      </c>
      <c r="B136" t="n">
        <v>24</v>
      </c>
      <c r="C136" s="1" t="n">
        <v>108.1</v>
      </c>
      <c r="D136" s="2">
        <f>HYPERLINK("https://torgi.gov.ru/new/public/lots/lot/21000014890000000039_1/(lotInfo:info)", "21000014890000000039_1")</f>
        <v/>
      </c>
      <c r="E136" t="inlineStr">
        <is>
          <t>нежилое помещение № 324 по пр-кту Молодежному, д. 1 общей площадью 43,1 кв. м,                                  с кадастровым номером 24:50:0400007:1261 расположено на первом этаже девятиэтажного жилого дома 1984 года постройки, отдельный вход отсутствует; нежилое помещение № 325 по пр-кту Молодежному, д. 1 общей площадью 65,0 кв. м, с кадастровым номером 24:50:0400007:1258 расположено на первом этаже девятиэтажного жилого дома 1984 года постройки, отдельный вход имеется.</t>
        </is>
      </c>
      <c r="F136" s="3" t="inlineStr">
        <is>
          <t>12.09.22 10:00</t>
        </is>
      </c>
      <c r="G136" t="inlineStr">
        <is>
          <t>г. Красноярск, пр-т Молодежный, д. 1, пом. 324, 325</t>
        </is>
      </c>
      <c r="H136" s="4" t="n">
        <v>2500000</v>
      </c>
      <c r="I136" s="4" t="n">
        <v>23126.73450508788</v>
      </c>
      <c r="J136" t="inlineStr">
        <is>
          <t>Нежилое помещение</t>
        </is>
      </c>
      <c r="K136" s="5" t="n">
        <v>6.83</v>
      </c>
      <c r="L136" s="4" t="n">
        <v>1360.35</v>
      </c>
      <c r="M136" t="n">
        <v>3384</v>
      </c>
      <c r="N136" s="6" t="n">
        <v>1067861</v>
      </c>
      <c r="O136" t="n">
        <v>17</v>
      </c>
      <c r="P136" s="16" t="n">
        <v>0.1608445032126454</v>
      </c>
      <c r="Q136" t="inlineStr">
        <is>
          <t>EA</t>
        </is>
      </c>
      <c r="R136" t="inlineStr">
        <is>
          <t>М</t>
        </is>
      </c>
      <c r="S136" s="2">
        <f>HYPERLINK("https://yandex.ru/maps/?&amp;text=56.121295, 92.930959", "56.121295, 92.930959")</f>
        <v/>
      </c>
      <c r="T136" s="2">
        <f>HYPERLINK("D:\venv_torgi\env\cache\objs_in_district/56.121295_92.930959.json", "56.121295_92.930959.json")</f>
        <v/>
      </c>
      <c r="U136" t="inlineStr">
        <is>
          <t xml:space="preserve">24:50:0400007:1261 </t>
        </is>
      </c>
      <c r="V136" s="7" t="inlineStr">
        <is>
          <t>1</t>
        </is>
      </c>
      <c r="W136" s="17" t="n">
        <v>26846.54262748949</v>
      </c>
      <c r="X136" s="18" t="n">
        <v>3719.808122401606</v>
      </c>
      <c r="Y136" t="n">
        <v>1</v>
      </c>
    </row>
    <row r="137">
      <c r="A137" s="8" t="n">
        <v>135</v>
      </c>
      <c r="B137" t="n">
        <v>25</v>
      </c>
      <c r="C137" s="1" t="n">
        <v>567.7</v>
      </c>
      <c r="D137" s="2">
        <f>HYPERLINK("https://torgi.gov.ru/new/public/lots/lot/22000104060000000036_2/(lotInfo:info)", "22000104060000000036_2")</f>
        <v/>
      </c>
      <c r="E137" t="inlineStr">
        <is>
          <t>Нежилое здание, кол-во эт.1, пл.567,7 кв.м., кад№25:04:000000:1104, адрес: Приморский край, Кавалеровский район, п. Рудный, ул. Б.Шершакова, 3, соб-к Минин Н.Н.</t>
        </is>
      </c>
      <c r="F137" s="3" t="inlineStr">
        <is>
          <t>12.09.22 02:00</t>
        </is>
      </c>
      <c r="G137" t="inlineStr">
        <is>
          <t>Приморский край, Кавалеровский р-н, поселок Рудный, ул Заречная, д 1б</t>
        </is>
      </c>
      <c r="H137" s="4" t="n">
        <v>849000</v>
      </c>
      <c r="I137" s="4" t="n">
        <v>1495.508190945922</v>
      </c>
      <c r="J137" t="inlineStr">
        <is>
          <t xml:space="preserve">здание, </t>
        </is>
      </c>
      <c r="K137" s="5" t="n">
        <v>45.3</v>
      </c>
      <c r="L137" s="4" t="n">
        <v>299</v>
      </c>
      <c r="M137" t="n">
        <v>33</v>
      </c>
      <c r="N137" s="6" t="n">
        <v>2531</v>
      </c>
      <c r="O137" t="n">
        <v>5</v>
      </c>
      <c r="P137" s="21" t="n">
        <v>2.005748822520696</v>
      </c>
      <c r="Q137" t="inlineStr">
        <is>
          <t>EA</t>
        </is>
      </c>
      <c r="R137" t="inlineStr">
        <is>
          <t>Д</t>
        </is>
      </c>
      <c r="S137" s="2">
        <f>HYPERLINK("https://yandex.ru/maps/?&amp;text=44.278148, 134.956789", "44.278148, 134.956789")</f>
        <v/>
      </c>
      <c r="T137" s="2">
        <f>HYPERLINK("D:\venv_torgi\env\cache\objs_in_district/44.278148_134.956789.json", "44.278148_134.956789.json")</f>
        <v/>
      </c>
      <c r="U137" t="inlineStr">
        <is>
          <t>25:04:000000:1104</t>
        </is>
      </c>
      <c r="V137" s="7" t="inlineStr">
        <is>
          <t>1</t>
        </is>
      </c>
      <c r="W137" s="20" t="n">
        <v>4495.121984005761</v>
      </c>
      <c r="X137" s="22" t="n">
        <v>2999.613793059839</v>
      </c>
      <c r="Y137" t="n">
        <v>0</v>
      </c>
    </row>
    <row r="138">
      <c r="A138" s="8" t="n">
        <v>136</v>
      </c>
      <c r="B138" t="n">
        <v>25</v>
      </c>
      <c r="C138" s="1" t="n">
        <v>86.7</v>
      </c>
      <c r="D138" s="2">
        <f>HYPERLINK("https://torgi.gov.ru/new/public/lots/lot/21000031410000000012_1/(lotInfo:info)", "21000031410000000012_1")</f>
        <v/>
      </c>
      <c r="E138" t="inlineStr">
        <is>
          <t>Нежилое помещение, кадастровый номер 25:27:030104:5618, назначение: нежилое помещение, общей площадью 86,7 кв. м, этаж: цокольный, номера на поэтажном плане: 9-13, по адресу: Приморский край, г. Артём, ул. Херсонская, 1, пом. II.</t>
        </is>
      </c>
      <c r="F138" s="3" t="inlineStr">
        <is>
          <t>19.09.22 08:00</t>
        </is>
      </c>
      <c r="G138" t="inlineStr">
        <is>
          <t>Приморский край, г Артем, ул Херсонская, д 1</t>
        </is>
      </c>
      <c r="H138" s="4" t="n">
        <v>736260</v>
      </c>
      <c r="I138" s="4" t="n">
        <v>8492.041522491349</v>
      </c>
      <c r="J138" t="inlineStr">
        <is>
          <t>Нежилое помещение</t>
        </is>
      </c>
      <c r="K138" s="5" t="n">
        <v>1.41</v>
      </c>
      <c r="L138" s="4" t="n">
        <v>530.75</v>
      </c>
      <c r="M138" t="n">
        <v>6019</v>
      </c>
      <c r="N138" s="6" t="n">
        <v>57765</v>
      </c>
      <c r="O138" t="n">
        <v>16</v>
      </c>
      <c r="P138" s="21" t="n">
        <v>2.163700782514251</v>
      </c>
      <c r="Q138" t="inlineStr">
        <is>
          <t>EA</t>
        </is>
      </c>
      <c r="R138" t="inlineStr">
        <is>
          <t>М</t>
        </is>
      </c>
      <c r="S138" s="2">
        <f>HYPERLINK("https://yandex.ru/maps/?&amp;text=43.342854, 132.15163", "43.342854, 132.15163")</f>
        <v/>
      </c>
      <c r="T138" s="2">
        <f>HYPERLINK("D:\venv_torgi\env\cache\objs_in_district/43.342854_132.15163.json", "43.342854_132.15163.json")</f>
        <v/>
      </c>
      <c r="U138" t="inlineStr">
        <is>
          <t xml:space="preserve">25:27:030104:5618, </t>
        </is>
      </c>
      <c r="V138" s="7" t="inlineStr">
        <is>
          <t>0</t>
        </is>
      </c>
      <c r="W138" s="20" t="n">
        <v>26866.27840984939</v>
      </c>
      <c r="X138" s="22" t="n">
        <v>18374.23688735805</v>
      </c>
      <c r="Y138" t="n">
        <v>0</v>
      </c>
    </row>
    <row r="139">
      <c r="A139" s="8" t="n">
        <v>137</v>
      </c>
      <c r="B139" t="n">
        <v>25</v>
      </c>
      <c r="C139" s="1" t="n">
        <v>260.4</v>
      </c>
      <c r="D139" s="2">
        <f>HYPERLINK("https://torgi.gov.ru/new/public/lots/lot/22000040590000000014_1/(lotInfo:info)", "22000040590000000014_1")</f>
        <v/>
      </c>
      <c r="E139" t="inlineStr">
        <is>
          <t>нежилое помещение 21 общей площадью 260,4 кв.м, кадастровый номер 25:26:010309:268, расположенное на первом этаже здания по адресу: Приморский край, г. Арсеньев, ул. Победы, 26. Состояние помещения неудовлетворительное. Год постройки здания – 1974.</t>
        </is>
      </c>
      <c r="F139" s="3" t="inlineStr">
        <is>
          <t>12.09.22 05:00</t>
        </is>
      </c>
      <c r="G139" t="inlineStr">
        <is>
          <t>Приморский край, г Арсеньев, ул Победы, д 26</t>
        </is>
      </c>
      <c r="H139" s="4" t="n">
        <v>2356000</v>
      </c>
      <c r="I139" s="4" t="n">
        <v>9047.619047619048</v>
      </c>
      <c r="J139" t="inlineStr">
        <is>
          <t>Нежилое помещение</t>
        </is>
      </c>
      <c r="K139" s="5" t="n">
        <v>0.66</v>
      </c>
      <c r="L139" s="4" t="n">
        <v>1292.43</v>
      </c>
      <c r="M139" t="n">
        <v>13734</v>
      </c>
      <c r="N139" s="6" t="n">
        <v>52767</v>
      </c>
      <c r="O139" t="n">
        <v>7</v>
      </c>
      <c r="P139" s="21" t="n">
        <v>0.1256615227711452</v>
      </c>
      <c r="Q139" t="inlineStr">
        <is>
          <t>EA</t>
        </is>
      </c>
      <c r="R139" t="inlineStr">
        <is>
          <t>М</t>
        </is>
      </c>
      <c r="S139" s="2">
        <f>HYPERLINK("https://yandex.ru/maps/?&amp;text=44.171356, 133.26518", "44.171356, 133.26518")</f>
        <v/>
      </c>
      <c r="T139" s="2">
        <f>HYPERLINK("D:\venv_torgi\env\cache\objs_in_district/44.171356_133.26518.json", "44.171356_133.26518.json")</f>
        <v/>
      </c>
      <c r="U139" t="inlineStr">
        <is>
          <t xml:space="preserve">25:26:010309:268, </t>
        </is>
      </c>
      <c r="V139" s="7" t="inlineStr">
        <is>
          <t>1</t>
        </is>
      </c>
      <c r="W139" s="20" t="n">
        <v>10184.55663459608</v>
      </c>
      <c r="X139" s="22" t="n">
        <v>1136.937586977028</v>
      </c>
      <c r="Y139" t="n">
        <v>0</v>
      </c>
    </row>
    <row r="140">
      <c r="A140" s="8" t="n">
        <v>138</v>
      </c>
      <c r="B140" t="n">
        <v>25</v>
      </c>
      <c r="C140" s="1" t="n">
        <v>19</v>
      </c>
      <c r="D140" s="2">
        <f>HYPERLINK("https://torgi.gov.ru/new/public/lots/lot/22000104060000000039_3/(lotInfo:info)", "22000104060000000039_3")</f>
        <v/>
      </c>
      <c r="E140" t="inlineStr">
        <is>
          <t>Нежилое помещение (бокс № 59 в ГСК № 81, лит. А), эт. 1, пл.19кв.м., кад.№25:28:010030:673, адрес: Приморский край, г. Владивосток, в районе здания по ул. Трамвайная, д. 16, соб-к Самборский С.П.</t>
        </is>
      </c>
      <c r="F140" s="3" t="inlineStr">
        <is>
          <t>19.09.22 02:00</t>
        </is>
      </c>
      <c r="G140" t="inlineStr">
        <is>
          <t>г. Владивосток, в районе здания по ул. Трамвайная, д. 16</t>
        </is>
      </c>
      <c r="H140" s="4" t="n">
        <v>339915</v>
      </c>
      <c r="I140" s="4" t="n">
        <v>17890.26315789474</v>
      </c>
      <c r="J140" t="inlineStr">
        <is>
          <t>Нежилое помещение</t>
        </is>
      </c>
      <c r="Q140" t="inlineStr">
        <is>
          <t>EA</t>
        </is>
      </c>
      <c r="R140" t="inlineStr">
        <is>
          <t>Д</t>
        </is>
      </c>
      <c r="U140" t="inlineStr">
        <is>
          <t xml:space="preserve">25:28:010030:673, </t>
        </is>
      </c>
      <c r="V140" s="7" t="inlineStr">
        <is>
          <t>1</t>
        </is>
      </c>
      <c r="Y140" t="n">
        <v>0</v>
      </c>
    </row>
    <row r="141">
      <c r="A141" s="8" t="n">
        <v>139</v>
      </c>
      <c r="B141" t="n">
        <v>25</v>
      </c>
      <c r="C141" s="1" t="n">
        <v>12</v>
      </c>
      <c r="D141" s="2">
        <f>HYPERLINK("https://torgi.gov.ru/new/public/lots/lot/22000040590000000013_1/(lotInfo:info)", "22000040590000000013_1")</f>
        <v/>
      </c>
      <c r="E141" t="inlineStr">
        <is>
          <t>помещение площадью 12,0 кв.м, назначение: нежилое, расположенное на первом этаже здания по адресу: Приморский край, г. Арсеньев, ул. Октябрьская, д. 11, пом. 11б. Состояние помещения удовлетворительное. Год постройки здания - 1983.</t>
        </is>
      </c>
      <c r="F141" s="3" t="inlineStr">
        <is>
          <t>12.09.22 05:00</t>
        </is>
      </c>
      <c r="G141" t="inlineStr">
        <is>
          <t>Приморский край, г Арсеньев, ул Октябрьская, д 11</t>
        </is>
      </c>
      <c r="H141" s="4" t="n">
        <v>280000</v>
      </c>
      <c r="I141" s="4" t="n">
        <v>23333.33333333333</v>
      </c>
      <c r="J141" t="inlineStr">
        <is>
          <t>Нежилое помещение</t>
        </is>
      </c>
      <c r="K141" s="5" t="n">
        <v>10.44</v>
      </c>
      <c r="M141" t="n">
        <v>2234</v>
      </c>
      <c r="N141" s="6" t="n">
        <v>52767</v>
      </c>
      <c r="P141" s="21" t="n">
        <v>0.6554425165435228</v>
      </c>
      <c r="Q141" t="inlineStr">
        <is>
          <t>EA</t>
        </is>
      </c>
      <c r="R141" t="inlineStr">
        <is>
          <t>М</t>
        </is>
      </c>
      <c r="S141" s="2">
        <f>HYPERLINK("https://yandex.ru/maps/?&amp;text=44.163925, 133.25589", "44.163925, 133.25589")</f>
        <v/>
      </c>
      <c r="U141" t="inlineStr">
        <is>
          <t>25:26:010301:4099</t>
        </is>
      </c>
      <c r="V141" s="7" t="inlineStr">
        <is>
          <t>1</t>
        </is>
      </c>
      <c r="W141" s="20" t="n">
        <v>38626.9920526822</v>
      </c>
      <c r="X141" s="22" t="n">
        <v>15293.65871934887</v>
      </c>
      <c r="Y141" t="n">
        <v>0</v>
      </c>
    </row>
    <row r="142">
      <c r="A142" s="8" t="n">
        <v>140</v>
      </c>
      <c r="B142" t="n">
        <v>25</v>
      </c>
      <c r="C142" s="1" t="n">
        <v>18</v>
      </c>
      <c r="D142" s="2">
        <f>HYPERLINK("https://torgi.gov.ru/new/public/lots/lot/22000104060000000039_4/(lotInfo:info)", "22000104060000000039_4")</f>
        <v/>
      </c>
      <c r="E142" t="inlineStr">
        <is>
          <t>Нежилое помещение (бокс №68 в ГПК №83, лит. В), эт. 1, общ.пл. 18 кв.м., кад.№ 25:28:040007:7693, адрес: г. Владивосток, в районе здания по ул. Днепровская, д. 51, соб-к Чибряков В.В.</t>
        </is>
      </c>
      <c r="F142" s="3" t="inlineStr">
        <is>
          <t>19.09.22 02:00</t>
        </is>
      </c>
      <c r="G142" t="inlineStr">
        <is>
          <t>г. Владивосток, в районе здания по ул. Днепровская, д. 51</t>
        </is>
      </c>
      <c r="H142" s="4" t="n">
        <v>551225</v>
      </c>
      <c r="I142" s="4" t="n">
        <v>30623.61111111111</v>
      </c>
      <c r="J142" t="inlineStr">
        <is>
          <t>Нежилое помещение</t>
        </is>
      </c>
      <c r="K142" s="5" t="n">
        <v>4.65</v>
      </c>
      <c r="L142" s="4" t="n">
        <v>1913.94</v>
      </c>
      <c r="M142" t="n">
        <v>6584</v>
      </c>
      <c r="O142" t="n">
        <v>16</v>
      </c>
      <c r="Q142" t="inlineStr">
        <is>
          <t>EA</t>
        </is>
      </c>
      <c r="R142" t="inlineStr">
        <is>
          <t>Д</t>
        </is>
      </c>
      <c r="S142" s="2">
        <f>HYPERLINK("https://yandex.ru/maps/?&amp;text=43.141657, 131.916701", "43.141657, 131.916701")</f>
        <v/>
      </c>
      <c r="T142" s="2">
        <f>HYPERLINK("D:\venv_torgi\env\cache\objs_in_district/43.141657_131.916701.json", "43.141657_131.916701.json")</f>
        <v/>
      </c>
      <c r="U142" t="inlineStr">
        <is>
          <t xml:space="preserve">25:28:040007:7693, </t>
        </is>
      </c>
      <c r="V142" s="7" t="inlineStr">
        <is>
          <t>1</t>
        </is>
      </c>
      <c r="Y142" t="n">
        <v>0</v>
      </c>
    </row>
    <row r="143">
      <c r="A143" s="8" t="n">
        <v>141</v>
      </c>
      <c r="B143" t="n">
        <v>26</v>
      </c>
      <c r="C143" s="1" t="n">
        <v>135.7</v>
      </c>
      <c r="D143" s="2">
        <f>HYPERLINK("https://torgi.gov.ru/new/public/lots/lot/21000004960000000031_1/(lotInfo:info)", "21000004960000000031_1")</f>
        <v/>
      </c>
      <c r="E143" t="inlineStr">
        <is>
          <t>Наименование: нежилые помещения, назначение: нежилое, лит. А2 помещения № 1 ‒ 4, лит. а7 помещение № 5, площадью 135,7 кв.м, этаж: 0, кадастровый номер 26:12:022314:498, по адресу: Ставропольский край,       город Ставрополь, улица Ясеновская, 56.</t>
        </is>
      </c>
      <c r="F143" s="3" t="inlineStr">
        <is>
          <t>13.09.22 15:00</t>
        </is>
      </c>
      <c r="G143" t="inlineStr">
        <is>
          <t>г Ставрополь, ул Ясеновская, д 56</t>
        </is>
      </c>
      <c r="H143" s="4" t="n">
        <v>634000</v>
      </c>
      <c r="I143" s="4" t="n">
        <v>4672.070744288873</v>
      </c>
      <c r="J143" t="inlineStr">
        <is>
          <t>Нежилое помещение</t>
        </is>
      </c>
      <c r="K143" s="5" t="n">
        <v>1.03</v>
      </c>
      <c r="L143" s="4" t="n">
        <v>41.71</v>
      </c>
      <c r="M143" t="n">
        <v>4519</v>
      </c>
      <c r="N143" s="6" t="n">
        <v>426353</v>
      </c>
      <c r="O143" t="n">
        <v>112</v>
      </c>
      <c r="P143" s="21" t="n">
        <v>4.750400599710666</v>
      </c>
      <c r="Q143" t="inlineStr">
        <is>
          <t>EA</t>
        </is>
      </c>
      <c r="R143" t="inlineStr">
        <is>
          <t>М</t>
        </is>
      </c>
      <c r="S143" s="2">
        <f>HYPERLINK("https://yandex.ru/maps/?&amp;text=45.050208, 41.981768", "45.050208, 41.981768")</f>
        <v/>
      </c>
      <c r="T143" s="2">
        <f>HYPERLINK("D:\venv_torgi\env\cache\objs_in_district/45.050208_41.981768.json", "45.050208_41.981768.json")</f>
        <v/>
      </c>
      <c r="U143" t="inlineStr">
        <is>
          <t xml:space="preserve">26:12:022314:498, </t>
        </is>
      </c>
      <c r="V143" s="7" t="inlineStr">
        <is>
          <t>4</t>
        </is>
      </c>
      <c r="W143" s="20" t="n">
        <v>26866.27840984939</v>
      </c>
      <c r="X143" s="22" t="n">
        <v>22194.20766556052</v>
      </c>
      <c r="Y143" t="n">
        <v>0</v>
      </c>
    </row>
    <row r="144">
      <c r="A144" s="8" t="n">
        <v>142</v>
      </c>
      <c r="B144" t="n">
        <v>26</v>
      </c>
      <c r="C144" s="1" t="n">
        <v>54.9</v>
      </c>
      <c r="D144" s="2">
        <f>HYPERLINK("https://torgi.gov.ru/new/public/lots/lot/21000004960000000022_1/(lotInfo:info)", "21000004960000000022_1")</f>
        <v/>
      </c>
      <c r="E144" t="inlineStr">
        <is>
          <t>Наименование: нежилое, назначение: нежилое, помещение № 11 в литере М, площадью 54,9 кв.м, этаж: 1, кадастровый номер 26:12:022318:778,  по адресу: Ставропольский край, город Ставрополь, улица Орджоникидзе, 29.</t>
        </is>
      </c>
      <c r="F144" s="3" t="inlineStr">
        <is>
          <t>13.09.22 15:00</t>
        </is>
      </c>
      <c r="G144" t="inlineStr">
        <is>
          <t>г Ставрополь, ул Орджоникидзе, д 29</t>
        </is>
      </c>
      <c r="H144" s="4" t="n">
        <v>513000</v>
      </c>
      <c r="I144" s="4" t="n">
        <v>9344.262295081968</v>
      </c>
      <c r="J144" t="inlineStr">
        <is>
          <t>Нежилое помещение</t>
        </is>
      </c>
      <c r="K144" s="5" t="n">
        <v>2.19</v>
      </c>
      <c r="L144" s="4" t="n">
        <v>148.32</v>
      </c>
      <c r="M144" t="n">
        <v>4261</v>
      </c>
      <c r="N144" s="6" t="n">
        <v>426353</v>
      </c>
      <c r="O144" t="n">
        <v>63</v>
      </c>
      <c r="P144" s="21" t="n">
        <v>1.875163128071602</v>
      </c>
      <c r="Q144" t="inlineStr">
        <is>
          <t>EA</t>
        </is>
      </c>
      <c r="R144" t="inlineStr">
        <is>
          <t>М</t>
        </is>
      </c>
      <c r="S144" s="2">
        <f>HYPERLINK("https://yandex.ru/maps/?&amp;text=45.049866, 41.989197", "45.049866, 41.989197")</f>
        <v/>
      </c>
      <c r="T144" s="2">
        <f>HYPERLINK("D:\venv_torgi\env\cache\objs_in_district/45.049866_41.989197.json", "45.049866_41.989197.json")</f>
        <v/>
      </c>
      <c r="U144" t="inlineStr">
        <is>
          <t xml:space="preserve">26:12:022318:778,  </t>
        </is>
      </c>
      <c r="V144" s="7" t="inlineStr">
        <is>
          <t>1</t>
        </is>
      </c>
      <c r="W144" s="20" t="n">
        <v>26866.27840984939</v>
      </c>
      <c r="X144" s="22" t="n">
        <v>17522.01611476743</v>
      </c>
      <c r="Y144" t="n">
        <v>0</v>
      </c>
    </row>
    <row r="145">
      <c r="A145" s="8" t="n">
        <v>143</v>
      </c>
      <c r="B145" t="n">
        <v>26</v>
      </c>
      <c r="C145" s="1" t="n">
        <v>47.4</v>
      </c>
      <c r="D145" s="2">
        <f>HYPERLINK("https://torgi.gov.ru/new/public/lots/lot/21000023940000000003_1/(lotInfo:info)", "21000023940000000003_1")</f>
        <v/>
      </c>
      <c r="E145" t="inlineStr">
        <is>
          <t>назначение: нежилое, наименование: нежилое помещение, площадь 47,4 кв.м, кадастровый номер 26:08:040616:624, номер этажа 1, адрес: Российская Федерация, Ставропольский край,  Петровский район, город Светлоград, площадь 50 лет Октября, 13</t>
        </is>
      </c>
      <c r="F145" s="3" t="inlineStr">
        <is>
          <t>21.09.22 13:00</t>
        </is>
      </c>
      <c r="G145" t="inlineStr">
        <is>
          <t>Ставропольский край Петровский район г. Светлоград площадь 50 лет Октября, 13</t>
        </is>
      </c>
      <c r="H145" s="4" t="n">
        <v>568000</v>
      </c>
      <c r="I145" s="4" t="n">
        <v>11983.1223628692</v>
      </c>
      <c r="J145" t="inlineStr">
        <is>
          <t>Нежилое помещение</t>
        </is>
      </c>
      <c r="K145" s="5" t="n">
        <v>4.82</v>
      </c>
      <c r="L145" s="4" t="n">
        <v>704.88</v>
      </c>
      <c r="M145" t="n">
        <v>2487</v>
      </c>
      <c r="N145" s="6" t="n">
        <v>37819</v>
      </c>
      <c r="O145" t="n">
        <v>17</v>
      </c>
      <c r="P145" s="21" t="n">
        <v>1.242009853216305</v>
      </c>
      <c r="Q145" t="inlineStr">
        <is>
          <t>EA</t>
        </is>
      </c>
      <c r="R145" t="inlineStr">
        <is>
          <t>М</t>
        </is>
      </c>
      <c r="S145" s="2">
        <f>HYPERLINK("https://yandex.ru/maps/?&amp;text=45.339256, 42.848067", "45.339256, 42.848067")</f>
        <v/>
      </c>
      <c r="T145" s="2">
        <f>HYPERLINK("D:\venv_torgi\env\cache\objs_in_district/45.339256_42.848067.json", "45.339256_42.848067.json")</f>
        <v/>
      </c>
      <c r="U145" t="inlineStr">
        <is>
          <t xml:space="preserve">26:08:040616:624, </t>
        </is>
      </c>
      <c r="V145" s="7" t="inlineStr">
        <is>
          <t>1</t>
        </is>
      </c>
      <c r="W145" s="20" t="n">
        <v>26866.27840984939</v>
      </c>
      <c r="X145" s="22" t="n">
        <v>14883.15604698019</v>
      </c>
      <c r="Y145" t="n">
        <v>0</v>
      </c>
    </row>
    <row r="146">
      <c r="A146" s="8" t="n">
        <v>144</v>
      </c>
      <c r="B146" t="n">
        <v>26</v>
      </c>
      <c r="C146" s="1" t="n">
        <v>22.5</v>
      </c>
      <c r="D146" s="2">
        <f>HYPERLINK("https://torgi.gov.ru/new/public/lots/lot/21000003650000000026_1/(lotInfo:info)", "21000003650000000026_1")</f>
        <v/>
      </c>
      <c r="E146" t="inlineStr">
        <is>
          <t>Нежилое помещение 1-го этажа, расположенное по адресу: Ставропольский край, г. Георгиевск, ул. Тургенева, 14, пом. 35, площадью 22,5 кв.м, этаж 1, с кадастровым номером 26:26:011009:1292.</t>
        </is>
      </c>
      <c r="F146" s="3" t="inlineStr">
        <is>
          <t>18.09.22 20:00</t>
        </is>
      </c>
      <c r="G146" t="inlineStr">
        <is>
          <t>Ставропольский край, г Георгиевск, ул Тургенева, д 14</t>
        </is>
      </c>
      <c r="H146" s="4" t="n">
        <v>276119</v>
      </c>
      <c r="I146" s="4" t="n">
        <v>12271.95555555556</v>
      </c>
      <c r="J146" t="inlineStr">
        <is>
          <t>Нежилое помещение</t>
        </is>
      </c>
      <c r="K146" s="5" t="n">
        <v>3.88</v>
      </c>
      <c r="M146" t="n">
        <v>3166</v>
      </c>
      <c r="N146" s="6" t="n">
        <v>70803</v>
      </c>
      <c r="P146" s="21" t="n">
        <v>1.18924182769607</v>
      </c>
      <c r="Q146" t="inlineStr">
        <is>
          <t>EA</t>
        </is>
      </c>
      <c r="R146" t="inlineStr">
        <is>
          <t>М</t>
        </is>
      </c>
      <c r="S146" s="2">
        <f>HYPERLINK("https://yandex.ru/maps/?&amp;text=44.136755, 43.452364", "44.136755, 43.452364")</f>
        <v/>
      </c>
      <c r="U146" t="inlineStr">
        <is>
          <t>26:26:011009:1292</t>
        </is>
      </c>
      <c r="V146" s="7" t="inlineStr">
        <is>
          <t>1</t>
        </is>
      </c>
      <c r="W146" s="20" t="n">
        <v>26866.27840984939</v>
      </c>
      <c r="X146" s="22" t="n">
        <v>14594.32285429383</v>
      </c>
      <c r="Y146" t="n">
        <v>0</v>
      </c>
    </row>
    <row r="147">
      <c r="A147" s="8" t="n">
        <v>145</v>
      </c>
      <c r="B147" t="n">
        <v>26</v>
      </c>
      <c r="C147" s="1" t="n">
        <v>17.7</v>
      </c>
      <c r="D147" s="2">
        <f>HYPERLINK("https://torgi.gov.ru/new/public/lots/lot/21000004960000000023_1/(lotInfo:info)", "21000004960000000023_1")</f>
        <v/>
      </c>
      <c r="E147" t="inlineStr">
        <is>
          <t>Наименование: нежилое помещение, назначение: нежилое, в литере А помещения № 238, 239, площадью 17,7 кв.м, этаж: 1, кадастровый номер 26:12:030306:811, по адресу: Ставропольский край, город Ставрополь,                    проезд Гвардейский, 7.</t>
        </is>
      </c>
      <c r="F147" s="3" t="inlineStr">
        <is>
          <t>13.09.22 15:00</t>
        </is>
      </c>
      <c r="G147" t="inlineStr">
        <is>
          <t>г Ставрополь, Гвардейский проезд, д 7</t>
        </is>
      </c>
      <c r="H147" s="4" t="n">
        <v>382000</v>
      </c>
      <c r="I147" s="4" t="n">
        <v>21581.9209039548</v>
      </c>
      <c r="J147" t="inlineStr">
        <is>
          <t>Нежилое помещение</t>
        </is>
      </c>
      <c r="K147" s="5" t="n">
        <v>4.25</v>
      </c>
      <c r="M147" t="n">
        <v>5078</v>
      </c>
      <c r="N147" s="6" t="n">
        <v>426353</v>
      </c>
      <c r="P147" s="21" t="n">
        <v>0.7897847102944369</v>
      </c>
      <c r="Q147" t="inlineStr">
        <is>
          <t>EA</t>
        </is>
      </c>
      <c r="R147" t="inlineStr">
        <is>
          <t>М</t>
        </is>
      </c>
      <c r="S147" s="2">
        <f>HYPERLINK("https://yandex.ru/maps/?&amp;text=45.046342, 42.0062604", "45.046342, 42.0062604")</f>
        <v/>
      </c>
      <c r="U147" t="inlineStr">
        <is>
          <t xml:space="preserve">26:12:030306:811, </t>
        </is>
      </c>
      <c r="V147" s="7" t="inlineStr">
        <is>
          <t>1</t>
        </is>
      </c>
      <c r="W147" s="20" t="n">
        <v>38626.9920526822</v>
      </c>
      <c r="X147" s="22" t="n">
        <v>17045.07114872739</v>
      </c>
      <c r="Y147" t="n">
        <v>0</v>
      </c>
    </row>
    <row r="148">
      <c r="A148" s="8" t="n">
        <v>146</v>
      </c>
      <c r="B148" t="n">
        <v>26</v>
      </c>
      <c r="C148" s="1" t="n">
        <v>18.6</v>
      </c>
      <c r="D148" s="2">
        <f>HYPERLINK("https://torgi.gov.ru/new/public/lots/lot/21000016400000000005_11/(lotInfo:info)", "21000016400000000005_11")</f>
        <v/>
      </c>
      <c r="E148" t="inlineStr">
        <is>
          <t>Нежилое помещение, назначение нежилое помещение, этаж 1, площадь 18,6 кв. м, кадастровый номер 26:31:020332:171</t>
        </is>
      </c>
      <c r="F148" s="3" t="inlineStr">
        <is>
          <t>06.09.22 10:00</t>
        </is>
      </c>
      <c r="G148" t="inlineStr">
        <is>
          <t>Ставропольский край, г Железноводск, поселок Иноземцево, ул Некрасова, д 2</t>
        </is>
      </c>
      <c r="H148" s="4" t="n">
        <v>545538</v>
      </c>
      <c r="I148" s="4" t="n">
        <v>29330</v>
      </c>
      <c r="J148" t="inlineStr">
        <is>
          <t>Нежилое помещение</t>
        </is>
      </c>
      <c r="K148" s="5" t="n">
        <v>11.17</v>
      </c>
      <c r="L148" s="4" t="n">
        <v>2444.08</v>
      </c>
      <c r="M148" t="n">
        <v>2625</v>
      </c>
      <c r="N148" s="6" t="n">
        <v>52862</v>
      </c>
      <c r="O148" t="n">
        <v>12</v>
      </c>
      <c r="P148" s="21" t="n">
        <v>0.3169789312199862</v>
      </c>
      <c r="Q148" t="inlineStr">
        <is>
          <t>EA</t>
        </is>
      </c>
      <c r="R148" t="inlineStr">
        <is>
          <t>М</t>
        </is>
      </c>
      <c r="S148" s="2">
        <f>HYPERLINK("https://yandex.ru/maps/?&amp;text=44.089924, 43.088034", "44.089924, 43.088034")</f>
        <v/>
      </c>
      <c r="T148" s="2">
        <f>HYPERLINK("D:\venv_torgi\env\cache\objs_in_district/44.089924_43.088034.json", "44.089924_43.088034.json")</f>
        <v/>
      </c>
      <c r="U148" t="inlineStr">
        <is>
          <t>26:31:020332:171</t>
        </is>
      </c>
      <c r="V148" s="7" t="inlineStr">
        <is>
          <t>1</t>
        </is>
      </c>
      <c r="W148" s="20" t="n">
        <v>38626.9920526822</v>
      </c>
      <c r="X148" s="22" t="n">
        <v>9296.992052682195</v>
      </c>
      <c r="Y148" t="n">
        <v>0</v>
      </c>
    </row>
    <row r="149">
      <c r="A149" s="8" t="n">
        <v>147</v>
      </c>
      <c r="B149" t="n">
        <v>26</v>
      </c>
      <c r="C149" s="1" t="n">
        <v>15.8</v>
      </c>
      <c r="D149" s="2">
        <f>HYPERLINK("https://torgi.gov.ru/new/public/lots/lot/21000016400000000005_6/(lotInfo:info)", "21000016400000000005_6")</f>
        <v/>
      </c>
      <c r="E149" t="inlineStr">
        <is>
          <t>назначение нежилое помещение, этаж: 3, площадь: 15,8 кв. м, кадастровый номер 26:31:020137:428</t>
        </is>
      </c>
      <c r="F149" s="3" t="inlineStr">
        <is>
          <t>06.09.22 10:00</t>
        </is>
      </c>
      <c r="G149" t="inlineStr">
        <is>
          <t>Ставропольский край, г Железноводск, поселок Иноземцево, ул Пролетарская, д 3Г, кв 1</t>
        </is>
      </c>
      <c r="H149" s="4" t="n">
        <v>536110</v>
      </c>
      <c r="I149" s="4" t="n">
        <v>33931.01265822785</v>
      </c>
      <c r="J149" t="inlineStr">
        <is>
          <t>Нежилое помещение</t>
        </is>
      </c>
      <c r="K149" s="5" t="n">
        <v>8.27</v>
      </c>
      <c r="L149" s="4" t="n">
        <v>6786.2</v>
      </c>
      <c r="M149" t="n">
        <v>4104</v>
      </c>
      <c r="N149" s="6" t="n">
        <v>52862</v>
      </c>
      <c r="O149" t="n">
        <v>5</v>
      </c>
      <c r="P149" s="21" t="n">
        <v>0.138397855724345</v>
      </c>
      <c r="Q149" t="inlineStr">
        <is>
          <t>EA</t>
        </is>
      </c>
      <c r="R149" t="inlineStr">
        <is>
          <t>М</t>
        </is>
      </c>
      <c r="S149" s="2">
        <f>HYPERLINK("https://yandex.ru/maps/?&amp;text=44.1098519, 43.0853164", "44.1098519, 43.0853164")</f>
        <v/>
      </c>
      <c r="T149" s="2">
        <f>HYPERLINK("D:\venv_torgi\env\cache\objs_in_district/44.1098519_43.0853164.json", "44.1098519_43.0853164.json")</f>
        <v/>
      </c>
      <c r="U149" t="inlineStr">
        <is>
          <t>26:31:020137:428</t>
        </is>
      </c>
      <c r="V149" s="7" t="inlineStr">
        <is>
          <t>3</t>
        </is>
      </c>
      <c r="W149" s="20" t="n">
        <v>38626.9920526822</v>
      </c>
      <c r="X149" s="22" t="n">
        <v>4695.979394454342</v>
      </c>
      <c r="Y149" t="n">
        <v>0</v>
      </c>
    </row>
    <row r="150">
      <c r="A150" s="8" t="n">
        <v>148</v>
      </c>
      <c r="B150" t="n">
        <v>27</v>
      </c>
      <c r="C150" s="1" t="n">
        <v>340.2</v>
      </c>
      <c r="D150" s="2">
        <f>HYPERLINK("https://torgi.gov.ru/new/public/lots/lot/22000137830000000001_1/(lotInfo:info)", "22000137830000000001_1")</f>
        <v/>
      </c>
      <c r="E150" t="inlineStr">
        <is>
          <t>функциональное помещение, общей площадью 340,2 кв. м, с кадастровым номером: 27:01:0000038:2189, расположенное по адресу: Хабаровский край, Амурский район, с. Вознесенское ул. 35 лет Победы, 2Г</t>
        </is>
      </c>
      <c r="F150" s="3" t="inlineStr">
        <is>
          <t>12.09.22 07:00</t>
        </is>
      </c>
      <c r="G150" t="inlineStr">
        <is>
          <t>Хабаровский край, Амурский р-н, село Вознесенское, ул 35 лет Победы, стр 2г</t>
        </is>
      </c>
      <c r="H150" s="4" t="n">
        <v>714000</v>
      </c>
      <c r="I150" s="4" t="n">
        <v>2098.765432098765</v>
      </c>
      <c r="J150" t="inlineStr">
        <is>
          <t>Нежилое помещение</t>
        </is>
      </c>
      <c r="K150" s="5" t="n">
        <v>3.19</v>
      </c>
      <c r="L150" s="4" t="n">
        <v>2098</v>
      </c>
      <c r="M150" t="n">
        <v>657</v>
      </c>
      <c r="N150" s="6" t="n">
        <v>1674</v>
      </c>
      <c r="O150" t="n">
        <v>1</v>
      </c>
      <c r="P150" s="21" t="n">
        <v>1.141793415908628</v>
      </c>
      <c r="Q150" t="inlineStr">
        <is>
          <t>EA</t>
        </is>
      </c>
      <c r="R150" t="inlineStr">
        <is>
          <t>М</t>
        </is>
      </c>
      <c r="S150" s="2">
        <f>HYPERLINK("https://yandex.ru/maps/?&amp;text=50.130362, 136.923219", "50.130362, 136.923219")</f>
        <v/>
      </c>
      <c r="T150" s="2">
        <f>HYPERLINK("D:\venv_torgi\env\cache\objs_in_district/50.130362_136.923219.json", "50.130362_136.923219.json")</f>
        <v/>
      </c>
      <c r="U150" t="inlineStr">
        <is>
          <t xml:space="preserve">27:01:0000038:2189, </t>
        </is>
      </c>
      <c r="W150" s="20" t="n">
        <v>4495.121984005761</v>
      </c>
      <c r="X150" s="22" t="n">
        <v>2396.356551906996</v>
      </c>
      <c r="Y150" t="n">
        <v>0</v>
      </c>
    </row>
    <row r="151">
      <c r="A151" s="8" t="n">
        <v>149</v>
      </c>
      <c r="B151" t="n">
        <v>27</v>
      </c>
      <c r="C151" s="1" t="n">
        <v>337.8</v>
      </c>
      <c r="D151" s="2">
        <f>HYPERLINK("https://torgi.gov.ru/new/public/lots/lot/21000025160000000004_1/(lotInfo:info)", "21000025160000000004_1")</f>
        <v/>
      </c>
      <c r="E151" t="inlineStr">
        <is>
          <t>Объект недвижимого имущества: - функциональное (встроенное) помещение, назначение: нежилое, кадастровый номер 27:19:0000000:250, общая площадь 337,8 кв. метра, по адресу: Хабаровский край, г. Бикин, ул. Заводская, д.  1, пом. I (2-6), II (5-15). Ограничение прав и обременение имущества: не зарегистрировано.Объект недвижимого имущества располагается на 1 и 2 этаже, лестница на 2 этаж, расположена в соседнем помещении, которое не относится к указанному объекту недвижимого имущества.</t>
        </is>
      </c>
      <c r="F151" s="3" t="inlineStr">
        <is>
          <t>26.09.22 00:00</t>
        </is>
      </c>
      <c r="G151" t="inlineStr">
        <is>
          <t>Хабаровский край, г Бикин, ул Заводская, д 1</t>
        </is>
      </c>
      <c r="H151" s="4" t="n">
        <v>937000</v>
      </c>
      <c r="I151" s="4" t="n">
        <v>2773.830669034932</v>
      </c>
      <c r="J151" t="inlineStr">
        <is>
          <t>Нежилое помещение</t>
        </is>
      </c>
      <c r="K151" s="5" t="n">
        <v>1.42</v>
      </c>
      <c r="M151" t="n">
        <v>1958</v>
      </c>
      <c r="N151" s="6" t="n">
        <v>15946</v>
      </c>
      <c r="P151" s="21" t="n">
        <v>1.431583049074825</v>
      </c>
      <c r="Q151" t="inlineStr">
        <is>
          <t>EA</t>
        </is>
      </c>
      <c r="R151" t="inlineStr">
        <is>
          <t>М</t>
        </is>
      </c>
      <c r="S151" s="2">
        <f>HYPERLINK("https://yandex.ru/maps/?&amp;text=46.809452, 134.248126", "46.809452, 134.248126")</f>
        <v/>
      </c>
      <c r="U151" t="inlineStr">
        <is>
          <t xml:space="preserve">27:19:0000000:250, </t>
        </is>
      </c>
      <c r="V151" s="7" t="inlineStr">
        <is>
          <t>2</t>
        </is>
      </c>
      <c r="W151" s="20" t="n">
        <v>6744.799635829221</v>
      </c>
      <c r="X151" s="22" t="n">
        <v>3970.968966794289</v>
      </c>
      <c r="Y151" t="n">
        <v>0</v>
      </c>
    </row>
    <row r="152">
      <c r="A152" s="8" t="n">
        <v>150</v>
      </c>
      <c r="B152" t="n">
        <v>27</v>
      </c>
      <c r="C152" s="1" t="n">
        <v>2734.7</v>
      </c>
      <c r="D152" s="2">
        <f>HYPERLINK("https://torgi.gov.ru/new/public/lots/lot/21000025160000000007_1/(lotInfo:info)", "21000025160000000007_1")</f>
        <v/>
      </c>
      <c r="E152" t="inlineStr">
        <is>
          <t>Объект недвижимого имущества: - функциональное помещение, назначение: нежилое, кадастровый номер 27:22:0030702:171, общая площадь 2 734,7 кв. метра, по адресу: Хабаровский край, г. Комсомольск-на-Амуре, ул. Комсомольская, д. 2, пом. 1002. Ограничение прав и обременение имущества: не зарегистрировано.</t>
        </is>
      </c>
      <c r="F152" s="3" t="inlineStr">
        <is>
          <t>26.09.22 00:00</t>
        </is>
      </c>
      <c r="G152" t="inlineStr">
        <is>
          <t>Хабаровский край, г Комсомольск-на-Амуре, ул Комсомольская, д 2</t>
        </is>
      </c>
      <c r="H152" s="4" t="n">
        <v>9023000</v>
      </c>
      <c r="I152" s="4" t="n">
        <v>3299.447837057081</v>
      </c>
      <c r="J152" t="inlineStr">
        <is>
          <t>Нежилое помещение</t>
        </is>
      </c>
      <c r="K152" s="5" t="n">
        <v>1.1</v>
      </c>
      <c r="M152" t="n">
        <v>2995</v>
      </c>
      <c r="N152" s="6" t="n">
        <v>246607</v>
      </c>
      <c r="P152" s="21" t="n">
        <v>1.044220720835883</v>
      </c>
      <c r="Q152" t="inlineStr">
        <is>
          <t>EA</t>
        </is>
      </c>
      <c r="R152" t="inlineStr">
        <is>
          <t>М</t>
        </is>
      </c>
      <c r="S152" s="2">
        <f>HYPERLINK("https://yandex.ru/maps/?&amp;text=50.5486, 137.02965", "50.5486, 137.02965")</f>
        <v/>
      </c>
      <c r="U152" t="inlineStr">
        <is>
          <t xml:space="preserve">27:22:0030702:171, </t>
        </is>
      </c>
      <c r="W152" s="20" t="n">
        <v>6744.799635829221</v>
      </c>
      <c r="X152" s="22" t="n">
        <v>3445.35179877214</v>
      </c>
      <c r="Y152" t="n">
        <v>0</v>
      </c>
    </row>
    <row r="153">
      <c r="A153" s="8" t="n">
        <v>151</v>
      </c>
      <c r="B153" t="n">
        <v>27</v>
      </c>
      <c r="C153" s="1" t="n">
        <v>464.1</v>
      </c>
      <c r="D153" s="2">
        <f>HYPERLINK("https://torgi.gov.ru/new/public/lots/lot/22000053890000000010_1/(lotInfo:info)", "22000053890000000010_1")</f>
        <v/>
      </c>
      <c r="E153" t="inlineStr">
        <is>
          <t>- Механическая мастерская - нежилое помещение, год постройки 1998, стены кирпичные, фундамент бетонный ленточный, 1-этажобщая площадь 401,1 кв.м., 2-й этаж общая площадь 63,0 кв.м., расположенное по адресу: Хабаровский край, Хабаровский район, с. Виноградовка, ул. Лесная, 7а. - Земельный участок – кадастровый номер 27:17:0300201:705, общая площадь 4469 кв.м., расположенный по адресу: Хабаровский край, Хабаровский район, с. Виноградовка, ул. Лесная, 7А.</t>
        </is>
      </c>
      <c r="F153" s="3" t="inlineStr">
        <is>
          <t>06.09.22 05:00</t>
        </is>
      </c>
      <c r="G153" t="inlineStr">
        <is>
          <t>Хабаровский край, Хабаровский р-н, село Виноградовка, ул Лесная, д 7а</t>
        </is>
      </c>
      <c r="H153" s="4" t="n">
        <v>3374000</v>
      </c>
      <c r="I153" s="4" t="n">
        <v>7269.98491704374</v>
      </c>
      <c r="J153" t="inlineStr">
        <is>
          <t>мастерская</t>
        </is>
      </c>
      <c r="K153" s="5" t="n">
        <v>23.45</v>
      </c>
      <c r="L153" s="4" t="n">
        <v>2423</v>
      </c>
      <c r="M153" t="n">
        <v>310</v>
      </c>
      <c r="N153" s="6" t="n">
        <v>989</v>
      </c>
      <c r="O153" t="n">
        <v>3</v>
      </c>
      <c r="Q153" t="inlineStr">
        <is>
          <t>EA</t>
        </is>
      </c>
      <c r="R153" t="inlineStr">
        <is>
          <t>М</t>
        </is>
      </c>
      <c r="S153" s="2">
        <f>HYPERLINK("https://yandex.ru/maps/?&amp;text=48.613172, 135.124693", "48.613172, 135.124693")</f>
        <v/>
      </c>
      <c r="T153" s="2">
        <f>HYPERLINK("D:\venv_torgi\env\cache\objs_in_district/48.613172_135.124693.json", "48.613172_135.124693.json")</f>
        <v/>
      </c>
      <c r="U153" t="inlineStr">
        <is>
          <t xml:space="preserve">27:17:0300201:705, </t>
        </is>
      </c>
      <c r="V153" s="7" t="inlineStr">
        <is>
          <t>1</t>
        </is>
      </c>
      <c r="W153" s="20" t="n">
        <v>4495.121984005761</v>
      </c>
      <c r="X153" s="23" t="n">
        <v>-2774.862933037979</v>
      </c>
      <c r="Y153" t="n">
        <v>0</v>
      </c>
    </row>
    <row r="154">
      <c r="A154" s="8" t="n">
        <v>152</v>
      </c>
      <c r="B154" t="n">
        <v>27</v>
      </c>
      <c r="C154" s="1" t="n">
        <v>438.9</v>
      </c>
      <c r="D154" s="2">
        <f>HYPERLINK("https://torgi.gov.ru/new/public/lots/lot/21000025160000000002_1/(lotInfo:info)", "21000025160000000002_1")</f>
        <v/>
      </c>
      <c r="E154" t="inlineStr">
        <is>
          <t>Объект недвижимого имущества:- функциональное помещение № 1002, назначение: нежилое, кадастровый номер 27:22:0011404:1928, общая площадь 438,9 кв. метра, по адресу: Хабаровский край, г. Комсомольск-на-Амуре, ул. Базовая, д. 4, пом. 1002.Ограничение прав и обременение имущества: не зарегистрировано.</t>
        </is>
      </c>
      <c r="F154" s="3" t="inlineStr">
        <is>
          <t>26.09.22 00:00</t>
        </is>
      </c>
      <c r="G154" t="inlineStr">
        <is>
          <t>Хабаровский край, г Комсомольск-на-Амуре, ул Базовая, д 4</t>
        </is>
      </c>
      <c r="H154" s="4" t="n">
        <v>4422000</v>
      </c>
      <c r="I154" s="4" t="n">
        <v>10075.18796992481</v>
      </c>
      <c r="J154" t="inlineStr">
        <is>
          <t>Нежилое помещение</t>
        </is>
      </c>
      <c r="K154" s="5" t="n">
        <v>8.609999999999999</v>
      </c>
      <c r="M154" t="n">
        <v>1170</v>
      </c>
      <c r="N154" s="6" t="n">
        <v>246607</v>
      </c>
      <c r="Q154" t="inlineStr">
        <is>
          <t>EA</t>
        </is>
      </c>
      <c r="R154" t="inlineStr">
        <is>
          <t>М</t>
        </is>
      </c>
      <c r="S154" s="2">
        <f>HYPERLINK("https://yandex.ru/maps/?&amp;text=50.56276, 137.03198", "50.56276, 137.03198")</f>
        <v/>
      </c>
      <c r="U154" t="inlineStr">
        <is>
          <t xml:space="preserve">27:22:0011404:1928, </t>
        </is>
      </c>
      <c r="W154" s="20" t="n">
        <v>4495.121984005761</v>
      </c>
      <c r="X154" s="23" t="n">
        <v>-5580.065985919048</v>
      </c>
      <c r="Y154" t="n">
        <v>0</v>
      </c>
    </row>
    <row r="155">
      <c r="A155" s="8" t="n">
        <v>153</v>
      </c>
      <c r="B155" t="n">
        <v>27</v>
      </c>
      <c r="C155" s="1" t="n">
        <v>425.1</v>
      </c>
      <c r="D155" s="2">
        <f>HYPERLINK("https://torgi.gov.ru/new/public/lots/lot/21000005750000000091_1/(lotInfo:info)", "21000005750000000091_1")</f>
        <v/>
      </c>
      <c r="E155" t="inlineStr">
        <is>
          <t>Помещение расположено в одноэтажной пристройке к десятиэтажному панельному жилому дому 1987 года постройки. Помещение имеет три отдельных входа и вход с воротами для разгрузки товара. Окна оборудованы решетками. Помещение пустующее, ранее использовалось для размещения магазина. В части помещений разрушены межкомнатные перегородки, требуется ремонт.</t>
        </is>
      </c>
      <c r="F155" s="3" t="inlineStr">
        <is>
          <t>22.09.22 08:00</t>
        </is>
      </c>
      <c r="G155" t="inlineStr">
        <is>
          <t>Хабаровский край, г Комсомольск-на-Амуре, ул Калинина, д 41</t>
        </is>
      </c>
      <c r="H155" s="4" t="n">
        <v>4355150</v>
      </c>
      <c r="I155" s="4" t="n">
        <v>10245.00117619384</v>
      </c>
      <c r="J155" t="inlineStr">
        <is>
          <t>магазина</t>
        </is>
      </c>
      <c r="K155" s="5" t="n">
        <v>2.64</v>
      </c>
      <c r="L155" s="4" t="n">
        <v>487.86</v>
      </c>
      <c r="M155" t="n">
        <v>3887</v>
      </c>
      <c r="N155" s="6" t="n">
        <v>246607</v>
      </c>
      <c r="O155" t="n">
        <v>21</v>
      </c>
      <c r="P155" s="21" t="n">
        <v>0.09537669937769205</v>
      </c>
      <c r="Q155" t="inlineStr">
        <is>
          <t>EA</t>
        </is>
      </c>
      <c r="R155" t="inlineStr">
        <is>
          <t>М</t>
        </is>
      </c>
      <c r="S155" s="2">
        <f>HYPERLINK("https://yandex.ru/maps/?&amp;text=50.594974, 137.069617", "50.594974, 137.069617")</f>
        <v/>
      </c>
      <c r="T155" s="2">
        <f>HYPERLINK("D:\venv_torgi\env\cache\objs_in_district/50.594974_137.069617.json", "50.594974_137.069617.json")</f>
        <v/>
      </c>
      <c r="U155" t="inlineStr">
        <is>
          <t xml:space="preserve">27:22:0051306:273, </t>
        </is>
      </c>
      <c r="V155" s="7" t="inlineStr">
        <is>
          <t>1</t>
        </is>
      </c>
      <c r="W155" s="20" t="n">
        <v>11222.13557349978</v>
      </c>
      <c r="X155" s="22" t="n">
        <v>977.1343973059411</v>
      </c>
      <c r="Y155" t="n">
        <v>1</v>
      </c>
    </row>
    <row r="156">
      <c r="A156" s="8" t="n">
        <v>154</v>
      </c>
      <c r="B156" t="n">
        <v>27</v>
      </c>
      <c r="C156" s="1" t="n">
        <v>140.6</v>
      </c>
      <c r="D156" s="2">
        <f>HYPERLINK("https://torgi.gov.ru/new/public/lots/lot/21000025160000000003_1/(lotInfo:info)", "21000025160000000003_1")</f>
        <v/>
      </c>
      <c r="E156" t="inlineStr">
        <is>
          <t>Объект недвижимого имущества: - функциональное помещение № 1003, назначение: нежилое, кадастровый номер 27:22:0011404:1929, общая площадь 140,6 кв. метра, по адресу: Хабаровский край, г. Комсомольск-на-Амуре, ул. Базовая, д. 4, пом. 1003. Ограничение прав и обременение имущества: не зарегистрировано.</t>
        </is>
      </c>
      <c r="F156" s="3" t="inlineStr">
        <is>
          <t>26.09.22 00:00</t>
        </is>
      </c>
      <c r="G156" t="inlineStr">
        <is>
          <t>Хабаровский край, г Комсомольск-на-Амуре, ул Базовая, д 4</t>
        </is>
      </c>
      <c r="H156" s="4" t="n">
        <v>1689800</v>
      </c>
      <c r="I156" s="4" t="n">
        <v>12018.49217638691</v>
      </c>
      <c r="J156" t="inlineStr">
        <is>
          <t>Нежилое помещение</t>
        </is>
      </c>
      <c r="K156" s="9" t="n">
        <v>11.16</v>
      </c>
      <c r="M156" t="n">
        <v>1077</v>
      </c>
      <c r="N156" s="6" t="n">
        <v>246607</v>
      </c>
      <c r="P156" s="21" t="n">
        <v>0.3498003032189356</v>
      </c>
      <c r="Q156" t="inlineStr">
        <is>
          <t>EA</t>
        </is>
      </c>
      <c r="R156" t="inlineStr">
        <is>
          <t>М</t>
        </is>
      </c>
      <c r="S156" s="2">
        <f>HYPERLINK("https://yandex.ru/maps/?&amp;text=50.565019, 137.029139", "50.565019, 137.029139")</f>
        <v/>
      </c>
      <c r="U156" t="inlineStr">
        <is>
          <t xml:space="preserve">27:22:0011404:1929, </t>
        </is>
      </c>
      <c r="W156" s="20" t="n">
        <v>16222.56438392146</v>
      </c>
      <c r="X156" s="22" t="n">
        <v>4204.072207534547</v>
      </c>
      <c r="Y156" t="n">
        <v>0</v>
      </c>
    </row>
    <row r="157">
      <c r="A157" s="8" t="n">
        <v>155</v>
      </c>
      <c r="B157" t="n">
        <v>27</v>
      </c>
      <c r="C157" s="1" t="n">
        <v>299.3</v>
      </c>
      <c r="D157" s="2">
        <f>HYPERLINK("https://torgi.gov.ru/new/public/lots/lot/21000005750000000093_1/(lotInfo:info)", "21000005750000000093_1")</f>
        <v/>
      </c>
      <c r="E157" t="inlineStr">
        <is>
          <t>Помещение расположено на первом этаже пристройки многоквартирного панельного жилого дома 1984 года постройки по пр. Ленина, 76 корпус 3. В помещение имеются три отдельных входа. Помещение пустующее, ранее использовалось для размещения детского развлекательного центра. Система электроснабжения в рабочем состоянии. Состояние помещения удовлетворительное.</t>
        </is>
      </c>
      <c r="F157" s="3" t="inlineStr">
        <is>
          <t>22.09.22 08:00</t>
        </is>
      </c>
      <c r="G157" t="inlineStr">
        <is>
          <t>Хабаровский край, г Комсомольск-на-Амуре, пр-кт Ленина, д 76 к 3</t>
        </is>
      </c>
      <c r="H157" s="4" t="n">
        <v>4213845</v>
      </c>
      <c r="I157" s="4" t="n">
        <v>14079.00100233879</v>
      </c>
      <c r="J157" t="inlineStr">
        <is>
          <t>Нежилое помещение</t>
        </is>
      </c>
      <c r="K157" s="5" t="n">
        <v>1.32</v>
      </c>
      <c r="L157" s="4" t="n">
        <v>361</v>
      </c>
      <c r="M157" t="n">
        <v>10656</v>
      </c>
      <c r="N157" s="6" t="n">
        <v>246607</v>
      </c>
      <c r="O157" t="n">
        <v>39</v>
      </c>
      <c r="P157" s="21" t="n">
        <v>0.205927879947488</v>
      </c>
      <c r="Q157" t="inlineStr">
        <is>
          <t>EA</t>
        </is>
      </c>
      <c r="R157" t="inlineStr">
        <is>
          <t>М</t>
        </is>
      </c>
      <c r="S157" s="2">
        <f>HYPERLINK("https://yandex.ru/maps/?&amp;text=50.54241, 136.96916", "50.54241, 136.96916")</f>
        <v/>
      </c>
      <c r="T157" s="2">
        <f>HYPERLINK("D:\venv_torgi\env\cache\objs_in_district/50.54241_136.96916.json", "50.54241_136.96916.json")</f>
        <v/>
      </c>
      <c r="U157" t="inlineStr">
        <is>
          <t xml:space="preserve">27:22:0031001:2252, </t>
        </is>
      </c>
      <c r="V157" s="7" t="inlineStr">
        <is>
          <t>1</t>
        </is>
      </c>
      <c r="W157" s="20" t="n">
        <v>16978.25983052898</v>
      </c>
      <c r="X157" s="22" t="n">
        <v>2899.258828190186</v>
      </c>
      <c r="Y157" t="n">
        <v>1</v>
      </c>
    </row>
    <row r="158">
      <c r="A158" s="8" t="n">
        <v>156</v>
      </c>
      <c r="B158" t="n">
        <v>27</v>
      </c>
      <c r="C158" s="1" t="n">
        <v>18.9</v>
      </c>
      <c r="D158" s="2">
        <f>HYPERLINK("https://torgi.gov.ru/new/public/lots/lot/21000005750000000092_1/(lotInfo:info)", "21000005750000000092_1")</f>
        <v/>
      </c>
      <c r="E158" t="inlineStr">
        <is>
          <t>Помещение встроенное, расположено на первом этаже четырехэтажного кирпичного жилого дома 1952 года постройки. Вход в помещение осуществляется через общий коридор. Вход с улицы отсутствует. Санузел не предусмотрен. В настоящее время помещение пустующее, ранее использовалось как подсобное помещение столовой.</t>
        </is>
      </c>
      <c r="F158" s="3" t="inlineStr">
        <is>
          <t>22.09.22 08:00</t>
        </is>
      </c>
      <c r="G158" t="inlineStr">
        <is>
          <t>Хабаровский край, г Комсомольск-на-Амуре, ул Калинина, д 29</t>
        </is>
      </c>
      <c r="H158" s="4" t="n">
        <v>284010</v>
      </c>
      <c r="I158" s="4" t="n">
        <v>15026.98412698413</v>
      </c>
      <c r="J158" t="inlineStr">
        <is>
          <t>Нежилое помещение</t>
        </is>
      </c>
      <c r="K158" s="5" t="n">
        <v>4.76</v>
      </c>
      <c r="M158" t="n">
        <v>3157</v>
      </c>
      <c r="N158" s="6" t="n">
        <v>246607</v>
      </c>
      <c r="P158" s="21" t="n">
        <v>1.570508608132437</v>
      </c>
      <c r="Q158" t="inlineStr">
        <is>
          <t>EA</t>
        </is>
      </c>
      <c r="R158" t="inlineStr">
        <is>
          <t>М</t>
        </is>
      </c>
      <c r="S158" s="2">
        <f>HYPERLINK("https://yandex.ru/maps/?&amp;text=50.586299, 137.070057", "50.586299, 137.070057")</f>
        <v/>
      </c>
      <c r="U158" t="inlineStr">
        <is>
          <t xml:space="preserve">27:22:0040503:91, </t>
        </is>
      </c>
      <c r="V158" s="7" t="inlineStr">
        <is>
          <t>1</t>
        </is>
      </c>
      <c r="W158" s="20" t="n">
        <v>38626.9920526822</v>
      </c>
      <c r="X158" s="22" t="n">
        <v>23600.00792569806</v>
      </c>
      <c r="Y158" t="n">
        <v>0</v>
      </c>
    </row>
    <row r="159">
      <c r="A159" s="8" t="n">
        <v>157</v>
      </c>
      <c r="B159" t="n">
        <v>27</v>
      </c>
      <c r="C159" s="1" t="n">
        <v>48.1</v>
      </c>
      <c r="D159" s="2">
        <f>HYPERLINK("https://torgi.gov.ru/new/public/lots/lot/21000032990000000018_1/(lotInfo:info)", "21000032990000000018_1")</f>
        <v/>
      </c>
      <c r="E159" t="inlineStr">
        <is>
          <t>нежилое функциональное помещение 0 (24-27;43) общей площадью  48,1 кв. м., (кадастровый номер 27:23:0030119:800) расположенное по адресу: Хабаровский край,  г. Хабаровск, б-р. Амурский,д.18, пом. 0 (24-27;43).</t>
        </is>
      </c>
      <c r="F159" s="3" t="inlineStr">
        <is>
          <t>16.09.22 07:00</t>
        </is>
      </c>
      <c r="G159" t="inlineStr">
        <is>
          <t>г Хабаровск, Амурский б-р, д 18</t>
        </is>
      </c>
      <c r="H159" s="4" t="n">
        <v>1030000</v>
      </c>
      <c r="I159" s="4" t="n">
        <v>21413.72141372141</v>
      </c>
      <c r="J159" t="inlineStr">
        <is>
          <t>Нежилое помещение</t>
        </is>
      </c>
      <c r="K159" s="5" t="n">
        <v>5.28</v>
      </c>
      <c r="L159" s="4" t="n">
        <v>246.13</v>
      </c>
      <c r="M159" t="n">
        <v>4059</v>
      </c>
      <c r="N159" s="6" t="n">
        <v>617473</v>
      </c>
      <c r="O159" t="n">
        <v>87</v>
      </c>
      <c r="P159" s="21" t="n">
        <v>0.2546291179745204</v>
      </c>
      <c r="Q159" t="inlineStr">
        <is>
          <t>PP</t>
        </is>
      </c>
      <c r="R159" t="inlineStr">
        <is>
          <t>М</t>
        </is>
      </c>
      <c r="S159" s="2">
        <f>HYPERLINK("https://yandex.ru/maps/?&amp;text=48.47859, 135.06108", "48.47859, 135.06108")</f>
        <v/>
      </c>
      <c r="T159" s="2">
        <f>HYPERLINK("D:\venv_torgi\env\cache\objs_in_district/48.47859_135.06108.json", "48.47859_135.06108.json")</f>
        <v/>
      </c>
      <c r="U159" t="inlineStr">
        <is>
          <t>27:23:0030119:800</t>
        </is>
      </c>
      <c r="W159" s="20" t="n">
        <v>26866.27840984939</v>
      </c>
      <c r="X159" s="22" t="n">
        <v>5452.556996127983</v>
      </c>
      <c r="Y159" t="n">
        <v>0</v>
      </c>
    </row>
    <row r="160">
      <c r="A160" s="8" t="n">
        <v>158</v>
      </c>
      <c r="B160" t="n">
        <v>27</v>
      </c>
      <c r="C160" s="1" t="n">
        <v>97.7</v>
      </c>
      <c r="D160" s="2">
        <f>HYPERLINK("https://torgi.gov.ru/new/public/lots/lot/22000053890000000009_1/(lotInfo:info)", "22000053890000000009_1")</f>
        <v/>
      </c>
      <c r="E160" t="inlineStr">
        <is>
          <t>нежилое помещение №9 цокольного этажа площадью 26,2 кв.м. кадастровый номер: 27:17:0300401:694; - нежилое помещение №7,14 цокольного этажа площадью 34,9 кв.м. кадастровый номер: 27:17:0300401:695;- нежилое помещение №11-13,15 цокольного этажа площадью 36,6 кв.м, кадастровый номер: 27:17:0300401:696;расположенные в цокольном этаже 3-х этажного жилого дома по адресу: Хабаровский край, Хабаровский район, с. Воронежское - 2, ул. Пионерская, 6А</t>
        </is>
      </c>
      <c r="F160" s="3" t="inlineStr">
        <is>
          <t>06.09.22 07:00</t>
        </is>
      </c>
      <c r="G160" t="inlineStr">
        <is>
          <t>Хабаровский край, Хабаровский р-н, село Воронежское-2, ул Пионерская, д 6а</t>
        </is>
      </c>
      <c r="H160" s="4" t="n">
        <v>2315295</v>
      </c>
      <c r="I160" s="4" t="n">
        <v>23698.00409416581</v>
      </c>
      <c r="J160" t="inlineStr">
        <is>
          <t>Нежилое помещение</t>
        </is>
      </c>
      <c r="K160" s="5" t="n">
        <v>62.69</v>
      </c>
      <c r="L160" s="10" t="n"/>
      <c r="M160" t="n">
        <v>378</v>
      </c>
      <c r="N160" s="6" t="n">
        <v>188</v>
      </c>
      <c r="O160" t="inlineStr">
        <is>
          <t>0</t>
        </is>
      </c>
      <c r="Q160" t="inlineStr">
        <is>
          <t>EA</t>
        </is>
      </c>
      <c r="R160" t="inlineStr">
        <is>
          <t>М</t>
        </is>
      </c>
      <c r="S160" s="2">
        <f>HYPERLINK("https://yandex.ru/maps/?&amp;text=48.619488, 135.06297", "48.619488, 135.06297")</f>
        <v/>
      </c>
      <c r="T160" s="11">
        <f>HYPERLINK("D:\venv_torgi\env\cache\objs_in_district/48.619488_135.06297.json", "48.619488_135.06297.json")</f>
        <v/>
      </c>
      <c r="U160" t="inlineStr">
        <is>
          <t xml:space="preserve">27:17:0300401:694; </t>
        </is>
      </c>
      <c r="V160" s="7" t="inlineStr">
        <is>
          <t>0</t>
        </is>
      </c>
      <c r="W160" s="20" t="n">
        <v>16222.56438392146</v>
      </c>
      <c r="X160" s="23" t="n">
        <v>-7475.439710244355</v>
      </c>
      <c r="Y160" t="n">
        <v>0</v>
      </c>
    </row>
    <row r="161">
      <c r="A161" s="8" t="n">
        <v>159</v>
      </c>
      <c r="B161" t="n">
        <v>27</v>
      </c>
      <c r="C161" s="1" t="n">
        <v>116.2</v>
      </c>
      <c r="D161" s="2">
        <f>HYPERLINK("https://torgi.gov.ru/new/public/lots/lot/21000005750000000089_1/(lotInfo:info)", "21000005750000000089_1")</f>
        <v/>
      </c>
      <c r="E161" t="inlineStr">
        <is>
          <t>Помещение встроенное, расположено на 1-м этаже жилого дома, имеет отдельный вход со стороны уличного фасада, оборудовано двумя санузлами, находится в удовлетворительном состоянии. Две лоджии переоборудованы в тамбур, который показан на плане нежилого помещения, но в техническом паспорте помещения не учитывается. Входной элемент оборудован крыльцом с металлическим ограждением, входные двери с рольставнями, тамбурные двери пластиковые, окна пластиковые с рольставнями. Система отопления общая с жильцами, приборы отопления радиаторы алюминиевые, установлены приборы учета ХВС, ГВС, электроэнергии.Объект учитывается в муниципальной казне. Право муниципальной собственности на помещение зарегистрировано 27.02.2002 г.</t>
        </is>
      </c>
      <c r="F161" s="3" t="inlineStr">
        <is>
          <t>22.09.22 08:00</t>
        </is>
      </c>
      <c r="G161" t="inlineStr">
        <is>
          <t>Хабаровский край, г Комсомольск-на-Амуре, ул Дикопольцева, д 26 к 2</t>
        </is>
      </c>
      <c r="H161" s="4" t="n">
        <v>2890000</v>
      </c>
      <c r="I161" s="4" t="n">
        <v>24870.91222030981</v>
      </c>
      <c r="J161" t="inlineStr">
        <is>
          <t>Нежилое помещение</t>
        </is>
      </c>
      <c r="K161" s="5" t="n">
        <v>3</v>
      </c>
      <c r="L161" s="4" t="n">
        <v>637.6900000000001</v>
      </c>
      <c r="M161" t="n">
        <v>8293</v>
      </c>
      <c r="N161" s="6" t="n">
        <v>246607</v>
      </c>
      <c r="O161" t="n">
        <v>39</v>
      </c>
      <c r="P161" s="21" t="n">
        <v>0.08022891045830444</v>
      </c>
      <c r="Q161" t="inlineStr">
        <is>
          <t>EA</t>
        </is>
      </c>
      <c r="R161" t="inlineStr">
        <is>
          <t>М</t>
        </is>
      </c>
      <c r="S161" s="2">
        <f>HYPERLINK("https://yandex.ru/maps/?&amp;text=50.542133, 136.96652", "50.542133, 136.96652")</f>
        <v/>
      </c>
      <c r="T161" s="2">
        <f>HYPERLINK("D:\venv_torgi\env\cache\objs_in_district/50.542133_136.96652.json", "50.542133_136.96652.json")</f>
        <v/>
      </c>
      <c r="U161" t="inlineStr">
        <is>
          <t xml:space="preserve">27:22:0031001:1901, </t>
        </is>
      </c>
      <c r="V161" s="7" t="inlineStr">
        <is>
          <t>1</t>
        </is>
      </c>
      <c r="W161" s="20" t="n">
        <v>26866.27840984939</v>
      </c>
      <c r="X161" s="22" t="n">
        <v>1995.366189539585</v>
      </c>
      <c r="Y161" t="n">
        <v>1</v>
      </c>
    </row>
    <row r="162">
      <c r="A162" s="8" t="n">
        <v>160</v>
      </c>
      <c r="B162" t="n">
        <v>27</v>
      </c>
      <c r="C162" s="1" t="n">
        <v>25</v>
      </c>
      <c r="D162" s="2">
        <f>HYPERLINK("https://torgi.gov.ru/new/public/lots/lot/21000032990000000020_1/(lotInfo:info)", "21000032990000000020_1")</f>
        <v/>
      </c>
      <c r="E162" t="inlineStr">
        <is>
          <t>нежилое функциональное помещение              -I (28,34,38-41) общей площадью  25 кв. м., (кадастровый номер 27:23:0030115:916) расположенное по адресу: Хабаровский край,  г. Хабаровск, Центральный, б-р. Амурский,д.36, пом. -I (28,34,38-41).</t>
        </is>
      </c>
      <c r="F162" s="3" t="inlineStr">
        <is>
          <t>16.09.22 07:00</t>
        </is>
      </c>
      <c r="G162" t="inlineStr">
        <is>
          <t>г Хабаровск, Амурский б-р, д 36</t>
        </is>
      </c>
      <c r="H162" s="4" t="n">
        <v>1393000</v>
      </c>
      <c r="I162" s="4" t="n">
        <v>55720</v>
      </c>
      <c r="J162" t="inlineStr">
        <is>
          <t>Нежилое помещение</t>
        </is>
      </c>
      <c r="K162" s="5" t="n">
        <v>15.62</v>
      </c>
      <c r="L162" s="4" t="n">
        <v>1359.02</v>
      </c>
      <c r="M162" t="n">
        <v>3568</v>
      </c>
      <c r="N162" s="6" t="n">
        <v>617473</v>
      </c>
      <c r="O162" t="n">
        <v>41</v>
      </c>
      <c r="Q162" t="inlineStr">
        <is>
          <t>PP</t>
        </is>
      </c>
      <c r="R162" t="inlineStr">
        <is>
          <t>М</t>
        </is>
      </c>
      <c r="S162" s="2">
        <f>HYPERLINK("https://yandex.ru/maps/?&amp;text=48.483883, 135.06555", "48.483883, 135.06555")</f>
        <v/>
      </c>
      <c r="T162" s="2">
        <f>HYPERLINK("D:\venv_torgi\env\cache\objs_in_district/48.483883_135.06555.json", "48.483883_135.06555.json")</f>
        <v/>
      </c>
      <c r="U162" t="inlineStr">
        <is>
          <t>27:23:0030115:916</t>
        </is>
      </c>
      <c r="W162" s="20" t="n">
        <v>26866.27840984939</v>
      </c>
      <c r="X162" s="23" t="n">
        <v>-28853.72159015061</v>
      </c>
      <c r="Y162" t="n">
        <v>0</v>
      </c>
    </row>
    <row r="163">
      <c r="A163" s="8" t="n">
        <v>161</v>
      </c>
      <c r="B163" t="n">
        <v>28</v>
      </c>
      <c r="C163" s="1" t="n">
        <v>165.1</v>
      </c>
      <c r="D163" s="2">
        <f>HYPERLINK("https://torgi.gov.ru/new/public/lots/lot/21000028650000000136_5/(lotInfo:info)", "21000028650000000136_5")</f>
        <v/>
      </c>
      <c r="E163" t="inlineStr">
        <is>
          <t>Магазин, общей площадью 165,1 кв.м., кад. номер 28:06:010201:308, находящийся на земельном участке, общей площадью 242,38 кв.м., кад. номер 28:06:010201:73.</t>
        </is>
      </c>
      <c r="F163" s="3" t="inlineStr">
        <is>
          <t>10.09.22 08:00</t>
        </is>
      </c>
      <c r="G163" t="inlineStr">
        <is>
          <t>Амурская обл, г Тында, ул Правды, д 14</t>
        </is>
      </c>
      <c r="H163" s="4" t="n">
        <v>2229900</v>
      </c>
      <c r="I163" s="4" t="n">
        <v>13506.35978195033</v>
      </c>
      <c r="J163" t="inlineStr">
        <is>
          <t>Магазин</t>
        </is>
      </c>
      <c r="K163" s="5" t="n">
        <v>28.55</v>
      </c>
      <c r="L163" s="4" t="n">
        <v>13506</v>
      </c>
      <c r="M163" t="n">
        <v>473</v>
      </c>
      <c r="N163" s="6" t="n">
        <v>32920</v>
      </c>
      <c r="O163" t="n">
        <v>1</v>
      </c>
      <c r="Q163" t="inlineStr">
        <is>
          <t>EA</t>
        </is>
      </c>
      <c r="R163" t="inlineStr">
        <is>
          <t>Д</t>
        </is>
      </c>
      <c r="S163" s="2">
        <f>HYPERLINK("https://yandex.ru/maps/?&amp;text=55.1659793, 124.7138884", "55.1659793, 124.7138884")</f>
        <v/>
      </c>
      <c r="T163" s="2">
        <f>HYPERLINK("D:\venv_torgi\env\cache\objs_in_district/55.1659793_124.7138884.json", "55.1659793_124.7138884.json")</f>
        <v/>
      </c>
      <c r="U163" t="inlineStr">
        <is>
          <t xml:space="preserve">28:06:010201:308, </t>
        </is>
      </c>
      <c r="W163" s="20" t="n">
        <v>10184.55663459608</v>
      </c>
      <c r="X163" s="23" t="n">
        <v>-3321.803147354254</v>
      </c>
      <c r="Y163" t="n">
        <v>0</v>
      </c>
    </row>
    <row r="164">
      <c r="A164" s="8" t="n">
        <v>162</v>
      </c>
      <c r="B164" t="n">
        <v>28</v>
      </c>
      <c r="C164" s="1" t="n">
        <v>48</v>
      </c>
      <c r="D164" s="2">
        <f>HYPERLINK("https://torgi.gov.ru/new/public/lots/lot/21000028650000000136_3/(lotInfo:info)", "21000028650000000136_3")</f>
        <v/>
      </c>
      <c r="E164" t="inlineStr">
        <is>
          <t>Гараж, общей площадью 48 кв.м., кад. номер 28:01:020355:377, находящийся на з/у площадью 24 кв.м., кад. номер 28:01:020355:158.</t>
        </is>
      </c>
      <c r="F164" s="3" t="inlineStr">
        <is>
          <t>10.09.22 08:00</t>
        </is>
      </c>
      <c r="G164" t="inlineStr">
        <is>
          <t>Амурская область, г. Благовещенск,  квартал 355</t>
        </is>
      </c>
      <c r="H164" s="4" t="n">
        <v>673100</v>
      </c>
      <c r="I164" s="4" t="n">
        <v>14022.91666666667</v>
      </c>
      <c r="J164" t="inlineStr">
        <is>
          <t>Гараж</t>
        </is>
      </c>
      <c r="Q164" t="inlineStr">
        <is>
          <t>EA</t>
        </is>
      </c>
      <c r="R164" t="inlineStr">
        <is>
          <t>Д</t>
        </is>
      </c>
      <c r="U164" t="inlineStr">
        <is>
          <t xml:space="preserve">28:01:020355:377, </t>
        </is>
      </c>
      <c r="Y164" t="n">
        <v>0</v>
      </c>
    </row>
    <row r="165">
      <c r="A165" s="8" t="n">
        <v>163</v>
      </c>
      <c r="B165" t="n">
        <v>28</v>
      </c>
      <c r="C165" s="1" t="n">
        <v>129.5</v>
      </c>
      <c r="D165" s="2">
        <f>HYPERLINK("https://torgi.gov.ru/new/public/lots/lot/21000003100000000020_1/(lotInfo:info)", "21000003100000000020_1")</f>
        <v/>
      </c>
      <c r="E165" t="inlineStr">
        <is>
          <t>встроенное нежилое помещение в пятиэтажном многоквартирном доме, этаж – первый,  фундамент – железобетонные блоки, состояние удовлетворительное; стены – кирпичные, состояние удовлетворительное; окна – металлопластиковые, состояние удовлетворительное: внутренняя отделка отсутствует: полы – бетонные без отделки; двери: входная металлическая, межкомнатные отсутствуют; системы инженерного обеспечения: отопление - от центральных сетей города, исправно; электроснабжение – отсутствует электрооборудование, имеется подвод от центральных сетей города, в помещении местами наружная проводка, освещение не исправно; водоснабжение и водоотведение – имеется подвод от центральных сетей города, отсутствует сантехническое оборудование.</t>
        </is>
      </c>
      <c r="F165" s="3" t="inlineStr">
        <is>
          <t>05.09.22 08:00</t>
        </is>
      </c>
      <c r="G165" t="inlineStr">
        <is>
          <t>Амурская обл, г Белогорск, ул 1-я Вокзальная, д 13</t>
        </is>
      </c>
      <c r="H165" s="4" t="n">
        <v>5443000</v>
      </c>
      <c r="I165" s="4" t="n">
        <v>42030.88803088803</v>
      </c>
      <c r="J165" t="inlineStr">
        <is>
          <t>Нежилое помещение</t>
        </is>
      </c>
      <c r="K165" s="5" t="n">
        <v>11.12</v>
      </c>
      <c r="L165" s="4" t="n">
        <v>1556.67</v>
      </c>
      <c r="M165" t="n">
        <v>3780</v>
      </c>
      <c r="N165" s="6" t="n">
        <v>126761</v>
      </c>
      <c r="O165" t="n">
        <v>27</v>
      </c>
      <c r="Q165" t="inlineStr">
        <is>
          <t>EA</t>
        </is>
      </c>
      <c r="R165" t="inlineStr">
        <is>
          <t>М</t>
        </is>
      </c>
      <c r="S165" s="2">
        <f>HYPERLINK("https://yandex.ru/maps/?&amp;text=50.92023, 128.46344", "50.92023, 128.46344")</f>
        <v/>
      </c>
      <c r="T165" s="2">
        <f>HYPERLINK("D:\venv_torgi\env\cache\objs_in_district/50.92023_128.46344.json", "50.92023_128.46344.json")</f>
        <v/>
      </c>
      <c r="U165" t="inlineStr">
        <is>
          <t xml:space="preserve">28:02:000132:231, </t>
        </is>
      </c>
      <c r="W165" s="20" t="n">
        <v>26866.27840984939</v>
      </c>
      <c r="X165" s="23" t="n">
        <v>-15164.60962103864</v>
      </c>
      <c r="Y165" t="n">
        <v>0</v>
      </c>
    </row>
    <row r="166">
      <c r="A166" s="8" t="n">
        <v>164</v>
      </c>
      <c r="B166" t="n">
        <v>28</v>
      </c>
      <c r="C166" s="1" t="n">
        <v>35.8</v>
      </c>
      <c r="D166" s="2">
        <f>HYPERLINK("https://torgi.gov.ru/new/public/lots/lot/21000030170000000021_5/(lotInfo:info)", "21000030170000000021_5")</f>
        <v/>
      </c>
      <c r="E166" t="inlineStr">
        <is>
          <t>Нежилое помещение 22001, расположенное по адресу: г. Благовещенск, п. Аэропорт, д. 5, общая площадь 35,8 кв.м, кадастровый номер 28:01:060010:912.</t>
        </is>
      </c>
      <c r="F166" s="3" t="inlineStr">
        <is>
          <t>30.09.22 09:00</t>
        </is>
      </c>
      <c r="G166" t="inlineStr">
        <is>
          <t>г Благовещенск, поселок Аэропорт, д 5</t>
        </is>
      </c>
      <c r="H166" s="4" t="n">
        <v>1508000</v>
      </c>
      <c r="I166" s="4" t="n">
        <v>42122.90502793297</v>
      </c>
      <c r="J166" t="inlineStr">
        <is>
          <t>Нежилое помещение</t>
        </is>
      </c>
      <c r="K166" s="5" t="n">
        <v>62.13</v>
      </c>
      <c r="L166" s="4" t="n">
        <v>42122</v>
      </c>
      <c r="M166" t="n">
        <v>678</v>
      </c>
      <c r="N166" s="6" t="n">
        <v>265788</v>
      </c>
      <c r="O166" t="n">
        <v>1</v>
      </c>
      <c r="Q166" t="inlineStr">
        <is>
          <t>EA</t>
        </is>
      </c>
      <c r="R166" t="inlineStr">
        <is>
          <t>М</t>
        </is>
      </c>
      <c r="S166" s="2">
        <f>HYPERLINK("https://yandex.ru/maps/?&amp;text=50.421416, 127.402505", "50.421416, 127.402505")</f>
        <v/>
      </c>
      <c r="T166" s="2">
        <f>HYPERLINK("D:\venv_torgi\env\cache\objs_in_district/50.421416_127.402505.json", "50.421416_127.402505.json")</f>
        <v/>
      </c>
      <c r="U166" t="inlineStr">
        <is>
          <t>28:01:060010:912</t>
        </is>
      </c>
      <c r="W166" s="20" t="n">
        <v>25999.90717260928</v>
      </c>
      <c r="X166" s="23" t="n">
        <v>-16122.99785532369</v>
      </c>
      <c r="Y166" t="n">
        <v>0</v>
      </c>
    </row>
    <row r="167">
      <c r="A167" s="8" t="n">
        <v>165</v>
      </c>
      <c r="B167" t="n">
        <v>28</v>
      </c>
      <c r="C167" s="1" t="n">
        <v>88.2</v>
      </c>
      <c r="D167" s="2">
        <f>HYPERLINK("https://torgi.gov.ru/new/public/lots/lot/21000030170000000021_1/(lotInfo:info)", "21000030170000000021_1")</f>
        <v/>
      </c>
      <c r="E167" t="inlineStr">
        <is>
          <t>Встроенное нежилое помещение, общая площадь 88,2 кв.м, этаж – 1, назначение - нежилое, кадастровый номер 28:01:130062:253, адрес  объекта: г. Благовещенск, ул. Политехническая, 46</t>
        </is>
      </c>
      <c r="F167" s="3" t="inlineStr">
        <is>
          <t>30.09.22 09:00</t>
        </is>
      </c>
      <c r="G167" t="inlineStr">
        <is>
          <t>г Благовещенск, ул Политехническая, д 46</t>
        </is>
      </c>
      <c r="H167" s="4" t="n">
        <v>6443000</v>
      </c>
      <c r="I167" s="4" t="n">
        <v>73049.88662131519</v>
      </c>
      <c r="J167" t="inlineStr">
        <is>
          <t>Нежилое помещение</t>
        </is>
      </c>
      <c r="K167" s="5" t="n">
        <v>21.87</v>
      </c>
      <c r="L167" s="4" t="n">
        <v>4869.93</v>
      </c>
      <c r="M167" t="n">
        <v>3340</v>
      </c>
      <c r="N167" s="6" t="n">
        <v>265788</v>
      </c>
      <c r="O167" t="n">
        <v>15</v>
      </c>
      <c r="Q167" t="inlineStr">
        <is>
          <t>EA</t>
        </is>
      </c>
      <c r="R167" t="inlineStr">
        <is>
          <t>М</t>
        </is>
      </c>
      <c r="S167" s="2">
        <f>HYPERLINK("https://yandex.ru/maps/?&amp;text=50.25786, 127.552227", "50.25786, 127.552227")</f>
        <v/>
      </c>
      <c r="T167" s="2">
        <f>HYPERLINK("D:\venv_torgi\env\cache\objs_in_district/50.25786_127.552227.json", "50.25786_127.552227.json")</f>
        <v/>
      </c>
      <c r="U167" t="inlineStr">
        <is>
          <t xml:space="preserve">28:01:130062:253, </t>
        </is>
      </c>
      <c r="W167" s="20" t="n">
        <v>26866.27840984939</v>
      </c>
      <c r="X167" s="23" t="n">
        <v>-46183.6082114658</v>
      </c>
      <c r="Y167" t="n">
        <v>0</v>
      </c>
    </row>
    <row r="168">
      <c r="A168" s="8" t="n">
        <v>166</v>
      </c>
      <c r="B168" t="n">
        <v>29</v>
      </c>
      <c r="C168" s="1" t="n">
        <v>68.40000000000001</v>
      </c>
      <c r="D168" s="2">
        <f>HYPERLINK("https://torgi.gov.ru/new/public/lots/lot/21000007690000000006_4/(lotInfo:info)", "21000007690000000006_4")</f>
        <v/>
      </c>
      <c r="E168" t="inlineStr">
        <is>
          <t>Помещения Вересовского фельдшерско-акушерского пункта, расположенного по адресу: Российская Федерация, Архангельская обл., м.р-н Коношский, г.п. Коношское, п. Вересово, ул. Бовы, д. 24б, кв. 2.Техническая информация: общая площадь 68,4 кв.м., назначение: нежилое, количество этажей 1, кадастровый номер 29:06:080201:256.</t>
        </is>
      </c>
      <c r="F168" s="3" t="inlineStr">
        <is>
          <t>23.09.22 20:00</t>
        </is>
      </c>
      <c r="G168" t="inlineStr">
        <is>
          <t>Архангельская обл, Коношский р-н, поселок Вересово, ул Бовы, д 24б</t>
        </is>
      </c>
      <c r="H168" s="4" t="n">
        <v>284000</v>
      </c>
      <c r="I168" s="4" t="n">
        <v>4152.04678362573</v>
      </c>
      <c r="J168" t="inlineStr">
        <is>
          <t>Нежилое помещение</t>
        </is>
      </c>
      <c r="K168" s="5" t="n">
        <v>18.96</v>
      </c>
      <c r="M168" t="n">
        <v>219</v>
      </c>
      <c r="N168" s="6" t="n">
        <v>267</v>
      </c>
      <c r="P168" s="21" t="n">
        <v>2.907124661479676</v>
      </c>
      <c r="Q168" t="inlineStr">
        <is>
          <t>EA</t>
        </is>
      </c>
      <c r="R168" t="inlineStr">
        <is>
          <t>М</t>
        </is>
      </c>
      <c r="S168" s="2">
        <f>HYPERLINK("https://yandex.ru/maps/?&amp;text=60.995703, 40.421511", "60.995703, 40.421511")</f>
        <v/>
      </c>
      <c r="U168" t="inlineStr">
        <is>
          <t>29:06:080201:256</t>
        </is>
      </c>
      <c r="V168" s="7" t="inlineStr">
        <is>
          <t>1</t>
        </is>
      </c>
      <c r="W168" s="20" t="n">
        <v>16222.56438392146</v>
      </c>
      <c r="X168" s="22" t="n">
        <v>12070.51760029573</v>
      </c>
      <c r="Y168" t="n">
        <v>0</v>
      </c>
    </row>
    <row r="169">
      <c r="A169" s="8" t="n">
        <v>167</v>
      </c>
      <c r="B169" t="n">
        <v>29</v>
      </c>
      <c r="C169" s="1" t="n">
        <v>45.9</v>
      </c>
      <c r="D169" s="2">
        <f>HYPERLINK("https://torgi.gov.ru/new/public/lots/lot/22000124530000000001_1/(lotInfo:info)", "22000124530000000001_1")</f>
        <v/>
      </c>
      <c r="E169" t="inlineStr">
        <is>
          <t>1)Нежилое помещение, расположенное по адресу: Архангельская область, г. Коряжма, ул. Лермонтова, д.31, кадастровый номер 29:23:010207:3751, общая площадь 32,3 кв. м, назначение: нежилое, этаж № 1. 2) Нежилые помещения №1, 5, первого этажа, расположенные по адресу: Архангельская область, г. Коряжма, ул. Лермонтова, д.31, кадастровый номер 29:23:010207:3780, общая площадь 13,6 кв. м, назначение: нежилое, этаж № 1.</t>
        </is>
      </c>
      <c r="F169" s="3" t="inlineStr">
        <is>
          <t>14.09.22 17:00</t>
        </is>
      </c>
      <c r="G169" t="inlineStr">
        <is>
          <t>Архангельская обл, г Коряжма, ул Лермонтова, д 31</t>
        </is>
      </c>
      <c r="H169" s="4" t="n">
        <v>549672</v>
      </c>
      <c r="I169" s="4" t="n">
        <v>11975.42483660131</v>
      </c>
      <c r="J169" t="inlineStr">
        <is>
          <t>Нежилое помещение</t>
        </is>
      </c>
      <c r="K169" s="5" t="n">
        <v>3.37</v>
      </c>
      <c r="L169" s="4" t="n">
        <v>1710.71</v>
      </c>
      <c r="M169" t="n">
        <v>3549</v>
      </c>
      <c r="N169" s="6" t="n">
        <v>36224</v>
      </c>
      <c r="O169" t="n">
        <v>7</v>
      </c>
      <c r="P169" s="21" t="n">
        <v>1.243450965324934</v>
      </c>
      <c r="Q169" t="inlineStr">
        <is>
          <t>EA</t>
        </is>
      </c>
      <c r="R169" t="inlineStr">
        <is>
          <t>М</t>
        </is>
      </c>
      <c r="S169" s="2">
        <f>HYPERLINK("https://yandex.ru/maps/?&amp;text=61.310555, 47.16", "61.310555, 47.16")</f>
        <v/>
      </c>
      <c r="T169" s="2">
        <f>HYPERLINK("D:\venv_torgi\env\cache\objs_in_district/61.310555_47.16.json", "61.310555_47.16.json")</f>
        <v/>
      </c>
      <c r="U169" t="inlineStr">
        <is>
          <t xml:space="preserve">29:23:010207:3751, </t>
        </is>
      </c>
      <c r="V169" s="7" t="inlineStr">
        <is>
          <t>1</t>
        </is>
      </c>
      <c r="W169" s="20" t="n">
        <v>26866.27840984939</v>
      </c>
      <c r="X169" s="22" t="n">
        <v>14890.85357324808</v>
      </c>
      <c r="Y169" t="n">
        <v>0</v>
      </c>
    </row>
    <row r="170">
      <c r="A170" s="8" t="n">
        <v>168</v>
      </c>
      <c r="B170" t="n">
        <v>29</v>
      </c>
      <c r="C170" s="1" t="n">
        <v>109.2</v>
      </c>
      <c r="D170" s="2">
        <f>HYPERLINK("https://torgi.gov.ru/new/public/lots/lot/22000124530000000001_2/(lotInfo:info)", "22000124530000000001_2")</f>
        <v/>
      </c>
      <c r="E170" t="inlineStr">
        <is>
          <t>Нежилое помещение, расположенное по адресу: Архангельская область, г. Коряжма, ул. Лермонтова, д.31, кадастровый номер 29:23:010207:3753, общая площадь 109,2 кв. м, назначение: нежилое, этаж    № 2. Право правообладателя МУП «Благоустройство» подтверждается выпиской из Единого государственного реестра недвижимости об основных характеристиках и зарегистрированных правах на объект недвижимости, удостоверяющая проведенную государственную регистрацию от 29.11.2019, о чем в Едином государственном реестре недвижимости 29.11.2019, сделана запись регистрации, номер государственной регистрации права 29:23:010207:3753-29/006/2019-1.</t>
        </is>
      </c>
      <c r="F170" s="3" t="inlineStr">
        <is>
          <t>14.09.22 17:00</t>
        </is>
      </c>
      <c r="G170" t="inlineStr">
        <is>
          <t>Архангельская обл, г Коряжма, ул Лермонтова, д 31</t>
        </is>
      </c>
      <c r="H170" s="4" t="n">
        <v>1467866</v>
      </c>
      <c r="I170" s="4" t="n">
        <v>13441.99633699634</v>
      </c>
      <c r="J170" t="inlineStr">
        <is>
          <t>Нежилое помещение</t>
        </is>
      </c>
      <c r="K170" s="5" t="n">
        <v>3.79</v>
      </c>
      <c r="L170" s="4" t="n">
        <v>1920.14</v>
      </c>
      <c r="M170" t="n">
        <v>3549</v>
      </c>
      <c r="N170" s="6" t="n">
        <v>36224</v>
      </c>
      <c r="O170" t="n">
        <v>7</v>
      </c>
      <c r="P170" s="21" t="n">
        <v>0.998682170140567</v>
      </c>
      <c r="Q170" t="inlineStr">
        <is>
          <t>EA</t>
        </is>
      </c>
      <c r="R170" t="inlineStr">
        <is>
          <t>М</t>
        </is>
      </c>
      <c r="S170" s="2">
        <f>HYPERLINK("https://yandex.ru/maps/?&amp;text=61.310555, 47.16", "61.310555, 47.16")</f>
        <v/>
      </c>
      <c r="T170" s="2">
        <f>HYPERLINK("D:\venv_torgi\env\cache\objs_in_district/61.310555_47.16.json", "61.310555_47.16.json")</f>
        <v/>
      </c>
      <c r="U170" t="inlineStr">
        <is>
          <t xml:space="preserve">29:23:010207:3753, </t>
        </is>
      </c>
      <c r="V170" s="7" t="inlineStr">
        <is>
          <t>2</t>
        </is>
      </c>
      <c r="W170" s="20" t="n">
        <v>26866.27840984939</v>
      </c>
      <c r="X170" s="22" t="n">
        <v>13424.28207285305</v>
      </c>
      <c r="Y170" t="n">
        <v>0</v>
      </c>
    </row>
    <row r="171">
      <c r="A171" s="8" t="n">
        <v>169</v>
      </c>
      <c r="B171" t="n">
        <v>29</v>
      </c>
      <c r="C171" s="1" t="n">
        <v>81</v>
      </c>
      <c r="D171" s="2">
        <f>HYPERLINK("https://torgi.gov.ru/new/public/lots/lot/21000007690000000007_1/(lotInfo:info)", "21000007690000000007_1")</f>
        <v/>
      </c>
      <c r="E171" t="inlineStr">
        <is>
          <t>Нежилое помещение, 163021, Архангельская область, г. Архангельск, ул. Маслова, д. 35, пом. 3-Н, кадастровый номер: 29:22:020901:184, назначение – нежилое помещение, 1 этаж, общая площадь 81 кв.м.год ввода в эксплуатацию – 1973, материал стен – панельные, высота помещений 3 м., количество комнат – 9.</t>
        </is>
      </c>
      <c r="F171" s="3" t="inlineStr">
        <is>
          <t>23.09.22 20:00</t>
        </is>
      </c>
      <c r="G171" t="inlineStr">
        <is>
          <t>г Архангельск, ул Маслова, д 35</t>
        </is>
      </c>
      <c r="H171" s="4" t="n">
        <v>1920000</v>
      </c>
      <c r="I171" s="4" t="n">
        <v>23703.7037037037</v>
      </c>
      <c r="J171" t="inlineStr">
        <is>
          <t>Нежилое помещение</t>
        </is>
      </c>
      <c r="K171" s="5" t="n">
        <v>12.64</v>
      </c>
      <c r="L171" s="4" t="n">
        <v>1580.2</v>
      </c>
      <c r="M171" t="n">
        <v>1875</v>
      </c>
      <c r="N171" s="6" t="n">
        <v>355429</v>
      </c>
      <c r="O171" t="n">
        <v>15</v>
      </c>
      <c r="Q171" t="inlineStr">
        <is>
          <t>PP</t>
        </is>
      </c>
      <c r="R171" t="inlineStr">
        <is>
          <t>М</t>
        </is>
      </c>
      <c r="S171" s="2">
        <f>HYPERLINK("https://yandex.ru/maps/?&amp;text=64.616518, 40.49626", "64.616518, 40.49626")</f>
        <v/>
      </c>
      <c r="T171" s="2">
        <f>HYPERLINK("D:\venv_torgi\env\cache\objs_in_district/64.616518_40.49626.json", "64.616518_40.49626.json")</f>
        <v/>
      </c>
      <c r="U171" t="inlineStr">
        <is>
          <t xml:space="preserve">29:22:020901:184, </t>
        </is>
      </c>
      <c r="V171" s="7" t="inlineStr">
        <is>
          <t>1</t>
        </is>
      </c>
      <c r="W171" s="20" t="n">
        <v>16222.56438392146</v>
      </c>
      <c r="X171" s="23" t="n">
        <v>-7481.139319782244</v>
      </c>
      <c r="Y171" t="n">
        <v>0</v>
      </c>
    </row>
    <row r="172">
      <c r="A172" s="8" t="n">
        <v>170</v>
      </c>
      <c r="B172" t="n">
        <v>29</v>
      </c>
      <c r="C172" s="1" t="n">
        <v>38.1</v>
      </c>
      <c r="D172" s="2">
        <f>HYPERLINK("https://torgi.gov.ru/new/public/lots/lot/21000015630000000157_4/(lotInfo:info)", "21000015630000000157_4")</f>
        <v/>
      </c>
      <c r="E172" t="inlineStr">
        <is>
          <t>Нежилое помещение, площадью 38,1 кв.м., кадастровый номер: 29:22:050404:5503, адрес: Россия, обл Архангельская, г. Архангельск, пр-кт Ленинградский, д. 1</t>
        </is>
      </c>
      <c r="F172" s="3" t="inlineStr">
        <is>
          <t>09.09.22 20:59</t>
        </is>
      </c>
      <c r="G172" t="inlineStr">
        <is>
          <t>г Архангельск, Ленинградский пр-кт, д 1</t>
        </is>
      </c>
      <c r="H172" s="4" t="n">
        <v>2112505</v>
      </c>
      <c r="I172" s="4" t="n">
        <v>55446.32545931758</v>
      </c>
      <c r="J172" t="inlineStr">
        <is>
          <t>Нежилое помещение</t>
        </is>
      </c>
      <c r="K172" s="5" t="n">
        <v>18.11</v>
      </c>
      <c r="L172" s="4" t="n">
        <v>543.59</v>
      </c>
      <c r="M172" t="n">
        <v>3062</v>
      </c>
      <c r="N172" s="6" t="n">
        <v>355429</v>
      </c>
      <c r="O172" t="n">
        <v>102</v>
      </c>
      <c r="Q172" t="inlineStr">
        <is>
          <t>EA</t>
        </is>
      </c>
      <c r="R172" t="inlineStr">
        <is>
          <t>Д</t>
        </is>
      </c>
      <c r="S172" s="2">
        <f>HYPERLINK("https://yandex.ru/maps/?&amp;text=64.528955, 40.567146", "64.528955, 40.567146")</f>
        <v/>
      </c>
      <c r="T172" s="2">
        <f>HYPERLINK("D:\venv_torgi\env\cache\objs_in_district/64.528955_40.567146.json", "64.528955_40.567146.json")</f>
        <v/>
      </c>
      <c r="U172" t="inlineStr">
        <is>
          <t xml:space="preserve">29:22:050404:5503, </t>
        </is>
      </c>
      <c r="V172" s="7" t="inlineStr">
        <is>
          <t>1</t>
        </is>
      </c>
      <c r="W172" s="20" t="n">
        <v>26866.27840984939</v>
      </c>
      <c r="X172" s="23" t="n">
        <v>-28580.04704946819</v>
      </c>
      <c r="Y172" t="n">
        <v>0</v>
      </c>
    </row>
    <row r="173">
      <c r="A173" s="8" t="n">
        <v>171</v>
      </c>
      <c r="B173" t="n">
        <v>29</v>
      </c>
      <c r="C173" s="1" t="n">
        <v>10.3</v>
      </c>
      <c r="D173" s="2">
        <f>HYPERLINK("https://torgi.gov.ru/new/public/lots/lot/21000015630000000157_3/(lotInfo:info)", "21000015630000000157_3")</f>
        <v/>
      </c>
      <c r="E173" t="inlineStr">
        <is>
          <t>Нежилое помещение, площадью 10,3 кв.м., кадастровый номер: 29:22:050404:5502,адрес: Россия, обл Архангельская, г. Архангельск, пр-кт Ленинградский, д. 1</t>
        </is>
      </c>
      <c r="F173" s="3" t="inlineStr">
        <is>
          <t>09.09.22 20:59</t>
        </is>
      </c>
      <c r="G173" t="inlineStr">
        <is>
          <t>г Архангельск, Ленинградский пр-кт, д 1</t>
        </is>
      </c>
      <c r="H173" s="4" t="n">
        <v>674645</v>
      </c>
      <c r="I173" s="4" t="n">
        <v>65499.51456310679</v>
      </c>
      <c r="J173" t="inlineStr">
        <is>
          <t>Нежилое помещение</t>
        </is>
      </c>
      <c r="K173" s="5" t="n">
        <v>21.39</v>
      </c>
      <c r="L173" s="4" t="n">
        <v>642.15</v>
      </c>
      <c r="M173" t="n">
        <v>3062</v>
      </c>
      <c r="N173" s="6" t="n">
        <v>355429</v>
      </c>
      <c r="O173" t="n">
        <v>102</v>
      </c>
      <c r="P173" s="21" t="n">
        <v>0.0269763193943798</v>
      </c>
      <c r="Q173" t="inlineStr">
        <is>
          <t>EA</t>
        </is>
      </c>
      <c r="R173" t="inlineStr">
        <is>
          <t>Д</t>
        </is>
      </c>
      <c r="S173" s="2">
        <f>HYPERLINK("https://yandex.ru/maps/?&amp;text=64.528955, 40.567146", "64.528955, 40.567146")</f>
        <v/>
      </c>
      <c r="T173" s="2">
        <f>HYPERLINK("D:\venv_torgi\env\cache\objs_in_district/64.528955_40.567146.json", "64.528955_40.567146.json")</f>
        <v/>
      </c>
      <c r="U173" t="inlineStr">
        <is>
          <t>29:22:050404:5502,</t>
        </is>
      </c>
      <c r="V173" s="7" t="inlineStr">
        <is>
          <t>1</t>
        </is>
      </c>
      <c r="W173" s="20" t="n">
        <v>67266.45038813799</v>
      </c>
      <c r="X173" s="22" t="n">
        <v>1766.9358250312</v>
      </c>
      <c r="Y173" t="n">
        <v>0</v>
      </c>
    </row>
    <row r="174">
      <c r="A174" s="8" t="n">
        <v>172</v>
      </c>
      <c r="B174" t="n">
        <v>30</v>
      </c>
      <c r="C174" s="1" t="n">
        <v>23.3</v>
      </c>
      <c r="D174" s="2">
        <f>HYPERLINK("https://torgi.gov.ru/new/public/lots/lot/21000002210000000924_1/(lotInfo:info)", "21000002210000000924_1")</f>
        <v/>
      </c>
      <c r="E174" t="inlineStr">
        <is>
          <t>Нежилое помещение, расположенное по адресу: Астраханская область, г. Астрахань, р-н Советский, ул. Гаражная, д. 10, блок 17, пом. 33, площадь 23,3 кв. м, назначение: нежилое, номер, тип этажа, на котором расположено помещение: Этаж №01, кадастровый номер 30:12:040286:3355</t>
        </is>
      </c>
      <c r="F174" s="3" t="inlineStr">
        <is>
          <t>19.09.22 20:00</t>
        </is>
      </c>
      <c r="G174" t="inlineStr">
        <is>
          <t>Астраханская область, г. Астрахань, р-н Советский, ул. Гаражная, д. 10, блок 17, пом. 33</t>
        </is>
      </c>
      <c r="H174" s="4" t="n">
        <v>132000</v>
      </c>
      <c r="I174" s="4" t="n">
        <v>5665.236051502146</v>
      </c>
      <c r="J174" t="inlineStr">
        <is>
          <t>Гаражная, д</t>
        </is>
      </c>
      <c r="Q174" t="inlineStr">
        <is>
          <t>PP</t>
        </is>
      </c>
      <c r="R174" t="inlineStr">
        <is>
          <t>М</t>
        </is>
      </c>
      <c r="U174" t="inlineStr">
        <is>
          <t>30:12:040286:3355</t>
        </is>
      </c>
      <c r="V174" s="7" t="inlineStr">
        <is>
          <t>1</t>
        </is>
      </c>
      <c r="Y174" t="n">
        <v>0</v>
      </c>
    </row>
    <row r="175">
      <c r="A175" s="8" t="n">
        <v>173</v>
      </c>
      <c r="B175" t="n">
        <v>30</v>
      </c>
      <c r="C175" s="1" t="n">
        <v>148.2</v>
      </c>
      <c r="D175" s="2">
        <f>HYPERLINK("https://torgi.gov.ru/new/public/lots/lot/21000002210000000920_1/(lotInfo:info)", "21000002210000000920_1")</f>
        <v/>
      </c>
      <c r="E175" t="inlineStr">
        <is>
          <t>Нежилое помещение (мастерск.), расположенное по адресу: Астраханская область, г. Астрахань, р-н Трусовский, ул. Николая Ветошникова, д. 1б, пом. 1, ком. 1, площадь 148,2 кв. м, назначение: нежилое, номер, тип этажа, на котором расположено помещение: Этаж №01, кадастровый номер 30:12:000000:8455</t>
        </is>
      </c>
      <c r="F175" s="3" t="inlineStr">
        <is>
          <t>19.09.22 20:00</t>
        </is>
      </c>
      <c r="G175" t="inlineStr">
        <is>
          <t>г Астрахань, ул Николая Ветошникова, стр 1б, помещ 1</t>
        </is>
      </c>
      <c r="H175" s="4" t="n">
        <v>1284000</v>
      </c>
      <c r="I175" s="4" t="n">
        <v>8663.967611336033</v>
      </c>
      <c r="J175" t="inlineStr">
        <is>
          <t>Нежилое помещение</t>
        </is>
      </c>
      <c r="K175" s="5" t="n">
        <v>6.11</v>
      </c>
      <c r="L175" s="4" t="n">
        <v>1237.57</v>
      </c>
      <c r="M175" t="n">
        <v>1419</v>
      </c>
      <c r="N175" s="6" t="n">
        <v>532699</v>
      </c>
      <c r="O175" t="n">
        <v>7</v>
      </c>
      <c r="P175" s="21" t="n">
        <v>0.8724174779572896</v>
      </c>
      <c r="Q175" t="inlineStr">
        <is>
          <t>PP</t>
        </is>
      </c>
      <c r="R175" t="inlineStr">
        <is>
          <t>М</t>
        </is>
      </c>
      <c r="S175" s="2">
        <f>HYPERLINK("https://yandex.ru/maps/?&amp;text=46.314823, 47.969604", "46.314823, 47.969604")</f>
        <v/>
      </c>
      <c r="T175" s="2">
        <f>HYPERLINK("D:\venv_torgi\env\cache\objs_in_district/46.314823_47.969604.json", "46.314823_47.969604.json")</f>
        <v/>
      </c>
      <c r="U175" t="inlineStr">
        <is>
          <t>30:12:000000:8455</t>
        </is>
      </c>
      <c r="V175" s="7" t="inlineStr">
        <is>
          <t>1</t>
        </is>
      </c>
      <c r="W175" s="20" t="n">
        <v>16222.56438392146</v>
      </c>
      <c r="X175" s="22" t="n">
        <v>7558.596772585424</v>
      </c>
      <c r="Y175" t="n">
        <v>0</v>
      </c>
    </row>
    <row r="176">
      <c r="A176" s="8" t="n">
        <v>174</v>
      </c>
      <c r="B176" t="n">
        <v>30</v>
      </c>
      <c r="C176" s="1" t="n">
        <v>83.5</v>
      </c>
      <c r="D176" s="2">
        <f>HYPERLINK("https://torgi.gov.ru/new/public/lots/lot/21000002210000000921_1/(lotInfo:info)", "21000002210000000921_1")</f>
        <v/>
      </c>
      <c r="E176" t="inlineStr">
        <is>
          <t>Нежилое помещение (мастерск.), расположенное по адресу: Астраханская область, г. Астрахань, р-н Трусовский, ул. Николая Ветошникова, д. 1б, пом. 1, ком. 2, площадь 83,5 кв. м, назначение: нежилое, номер, тип этажа, на котором расположено помещение: Этаж №01, кадастровый номер 30:12:000000:8456</t>
        </is>
      </c>
      <c r="F176" s="3" t="inlineStr">
        <is>
          <t>19.09.22 20:00</t>
        </is>
      </c>
      <c r="G176" t="inlineStr">
        <is>
          <t>Астраханская область, г. Астрахань, р-н Трусовский, ул. Николая Ветошникова, д. 1б, пом. 1, ком. 2</t>
        </is>
      </c>
      <c r="H176" s="4" t="n">
        <v>864000</v>
      </c>
      <c r="I176" s="4" t="n">
        <v>10347.30538922156</v>
      </c>
      <c r="J176" t="inlineStr">
        <is>
          <t>Нежилое помещение</t>
        </is>
      </c>
      <c r="K176" s="5" t="n">
        <v>7.29</v>
      </c>
      <c r="L176" s="4" t="n">
        <v>1478.14</v>
      </c>
      <c r="M176" t="n">
        <v>1419</v>
      </c>
      <c r="O176" t="n">
        <v>7</v>
      </c>
      <c r="Q176" t="inlineStr">
        <is>
          <t>PP</t>
        </is>
      </c>
      <c r="R176" t="inlineStr">
        <is>
          <t>М</t>
        </is>
      </c>
      <c r="S176" s="2">
        <f>HYPERLINK("https://yandex.ru/maps/?&amp;text=46.31482, 47.969623", "46.31482, 47.969623")</f>
        <v/>
      </c>
      <c r="T176" s="2">
        <f>HYPERLINK("D:\venv_torgi\env\cache\objs_in_district/46.31482_47.969623.json", "46.31482_47.969623.json")</f>
        <v/>
      </c>
      <c r="U176" t="inlineStr">
        <is>
          <t>30:12:000000:8456</t>
        </is>
      </c>
      <c r="V176" s="7" t="inlineStr">
        <is>
          <t>1</t>
        </is>
      </c>
      <c r="Y176" t="n">
        <v>0</v>
      </c>
    </row>
    <row r="177">
      <c r="A177" s="8" t="n">
        <v>175</v>
      </c>
      <c r="B177" t="n">
        <v>30</v>
      </c>
      <c r="C177" s="1" t="n">
        <v>87.90000000000001</v>
      </c>
      <c r="D177" s="2">
        <f>HYPERLINK("https://torgi.gov.ru/new/public/lots/lot/21000021980000000016_3/(lotInfo:info)", "21000021980000000016_3")</f>
        <v/>
      </c>
      <c r="E177" t="inlineStr">
        <is>
          <t>нежилое помещение, расположенное по адресу: г. Астрахань, Кировский район, ул. 3-я Интернациональная/ ул. Победы, д. 16/7, пом. 001, общей площадью 87,9 кв.м, кадастровый номер 30:12:010156:168. В цокольном этаже 1-этажного жилого дома (лит.А), вход с дворовой территории. Состояние требует капитального ремонта. Стены кирпичные, перекрытия деревянные. Высота 1,9 м. Год постройки до 1917г</t>
        </is>
      </c>
      <c r="F177" s="3" t="inlineStr">
        <is>
          <t>28.08.22 12:00</t>
        </is>
      </c>
      <c r="G177" t="inlineStr">
        <is>
          <t>г. Астрахань, Кировский район,  ул. 3-я Интернациональная/ ул. Победы, д. 16/7, пом. 001</t>
        </is>
      </c>
      <c r="H177" s="4" t="n">
        <v>1152000</v>
      </c>
      <c r="I177" s="4" t="n">
        <v>13105.80204778157</v>
      </c>
      <c r="J177" t="inlineStr">
        <is>
          <t>Нежилое помещение</t>
        </is>
      </c>
      <c r="K177" s="5" t="n">
        <v>3.02</v>
      </c>
      <c r="L177" s="4" t="n">
        <v>655.25</v>
      </c>
      <c r="M177" t="n">
        <v>4338</v>
      </c>
      <c r="O177" t="n">
        <v>20</v>
      </c>
      <c r="Q177" t="inlineStr">
        <is>
          <t>PP</t>
        </is>
      </c>
      <c r="R177" t="inlineStr">
        <is>
          <t>М</t>
        </is>
      </c>
      <c r="S177" s="2">
        <f>HYPERLINK("https://yandex.ru/maps/?&amp;text=46.346868, 48.050822", "46.346868, 48.050822")</f>
        <v/>
      </c>
      <c r="T177" s="2">
        <f>HYPERLINK("D:\venv_torgi\env\cache\objs_in_district/46.346868_48.050822.json", "46.346868_48.050822.json")</f>
        <v/>
      </c>
      <c r="U177" t="inlineStr">
        <is>
          <t>30:12:010156:168</t>
        </is>
      </c>
      <c r="V177" s="7" t="inlineStr">
        <is>
          <t>0</t>
        </is>
      </c>
      <c r="Y177" t="n">
        <v>0</v>
      </c>
    </row>
    <row r="178">
      <c r="A178" s="8" t="n">
        <v>176</v>
      </c>
      <c r="B178" t="n">
        <v>30</v>
      </c>
      <c r="C178" s="1" t="n">
        <v>39</v>
      </c>
      <c r="D178" s="2">
        <f>HYPERLINK("https://torgi.gov.ru/new/public/lots/lot/21000021980000000016_1/(lotInfo:info)", "21000021980000000016_1")</f>
        <v/>
      </c>
      <c r="E178" t="inlineStr">
        <is>
          <t>нежилые помещения, расположенные по адресу: г. Астрахань, Ленинский район, ул. Аксакова, д. 7в, пом. 3а, общей площадью 12,1 кв.м, кадастровый номер 30:12:020163:1618; пом. 3б, общей площадью 3,4 кв.м, кадастровый номер 30:12:020163:1619; пом. 3в, общей площадью 23,5 кв.м, кадастровый номер 30:12:020163:1620. На 1 этаже 1-этажного деревянного здания. Вход через помещения общего пользования. Состояние требует капитального ремонта. Стены деревянные, перекрытия деревянные. Год постройки  1990г</t>
        </is>
      </c>
      <c r="F178" s="3" t="inlineStr">
        <is>
          <t>28.08.22 12:00</t>
        </is>
      </c>
      <c r="G178" t="inlineStr">
        <is>
          <t>г. Астрахань, Ленинский район,  ул. Аксакова, д. 7в,  пом. 3а, 3б, 3в</t>
        </is>
      </c>
      <c r="H178" s="4" t="n">
        <v>548000</v>
      </c>
      <c r="I178" s="4" t="n">
        <v>14051.28205128205</v>
      </c>
      <c r="J178" t="inlineStr">
        <is>
          <t>Нежилое помещение</t>
        </is>
      </c>
      <c r="K178" s="5" t="n">
        <v>3.65</v>
      </c>
      <c r="L178" s="4" t="n">
        <v>826.53</v>
      </c>
      <c r="M178" t="n">
        <v>3849</v>
      </c>
      <c r="O178" t="n">
        <v>17</v>
      </c>
      <c r="Q178" t="inlineStr">
        <is>
          <t>PP</t>
        </is>
      </c>
      <c r="R178" t="inlineStr">
        <is>
          <t>М</t>
        </is>
      </c>
      <c r="S178" s="2">
        <f>HYPERLINK("https://yandex.ru/maps/?&amp;text=46.403082, 48.098567", "46.403082, 48.098567")</f>
        <v/>
      </c>
      <c r="T178" s="2">
        <f>HYPERLINK("D:\venv_torgi\env\cache\objs_in_district/46.403082_48.098567.json", "46.403082_48.098567.json")</f>
        <v/>
      </c>
      <c r="U178" t="inlineStr">
        <is>
          <t xml:space="preserve">30:12:020163:1618; </t>
        </is>
      </c>
      <c r="V178" s="7" t="inlineStr">
        <is>
          <t>1</t>
        </is>
      </c>
      <c r="Y178" t="n">
        <v>0</v>
      </c>
    </row>
    <row r="179">
      <c r="A179" s="8" t="n">
        <v>177</v>
      </c>
      <c r="B179" t="n">
        <v>30</v>
      </c>
      <c r="C179" s="1" t="n">
        <v>178.4</v>
      </c>
      <c r="D179" s="2">
        <f>HYPERLINK("https://torgi.gov.ru/new/public/lots/lot/21000021980000000016_2/(lotInfo:info)", "21000021980000000016_2")</f>
        <v/>
      </c>
      <c r="E179" t="inlineStr">
        <is>
          <t>нежилые помещения, расположенные по адресу: г. Астрахань, Ленинский район, ул. Акса-кова, д. 7в, пом. 2-3, общей площадью 73,2 кв.м, кадастровый номер 30:12:020163:1623; пом. 4-7, общей площадью 105,2 кв.м, кадастровый номер 30:12:020163:1624. На 1 этаже 1-этажного деревянного здания. Вход через помещения общего пользования. Состояние требует капитального ремонта. Стены деревянные, перекрытия деревянные. Год постройки  1990г</t>
        </is>
      </c>
      <c r="F179" s="3" t="inlineStr">
        <is>
          <t>28.08.22 12:00</t>
        </is>
      </c>
      <c r="G179" t="inlineStr">
        <is>
          <t>г. Астрахань, Ленинский район,  ул. Аксакова, д. 7в, пом. 2-3, 4-7</t>
        </is>
      </c>
      <c r="H179" s="4" t="n">
        <v>2534000</v>
      </c>
      <c r="I179" s="4" t="n">
        <v>14204.03587443946</v>
      </c>
      <c r="J179" t="inlineStr">
        <is>
          <t>Нежилое помещение</t>
        </is>
      </c>
      <c r="K179" s="5" t="n">
        <v>3.69</v>
      </c>
      <c r="L179" s="4" t="n">
        <v>835.53</v>
      </c>
      <c r="M179" t="n">
        <v>3849</v>
      </c>
      <c r="O179" t="n">
        <v>17</v>
      </c>
      <c r="Q179" t="inlineStr">
        <is>
          <t>PP</t>
        </is>
      </c>
      <c r="R179" t="inlineStr">
        <is>
          <t>М</t>
        </is>
      </c>
      <c r="S179" s="2">
        <f>HYPERLINK("https://yandex.ru/maps/?&amp;text=46.403082, 48.098567", "46.403082, 48.098567")</f>
        <v/>
      </c>
      <c r="T179" s="2">
        <f>HYPERLINK("D:\venv_torgi\env\cache\objs_in_district/46.403082_48.098567.json", "46.403082_48.098567.json")</f>
        <v/>
      </c>
      <c r="U179" t="inlineStr">
        <is>
          <t xml:space="preserve">30:12:020163:1623; </t>
        </is>
      </c>
      <c r="V179" s="7" t="inlineStr">
        <is>
          <t>1</t>
        </is>
      </c>
      <c r="Y179" t="n">
        <v>0</v>
      </c>
    </row>
    <row r="180">
      <c r="A180" s="8" t="n">
        <v>178</v>
      </c>
      <c r="B180" t="n">
        <v>30</v>
      </c>
      <c r="C180" s="1" t="n">
        <v>130.1</v>
      </c>
      <c r="D180" s="2">
        <f>HYPERLINK("https://torgi.gov.ru/new/public/lots/lot/21000002210000000855_1/(lotInfo:info)", "21000002210000000855_1")</f>
        <v/>
      </c>
      <c r="E180" t="inlineStr">
        <is>
          <t>Нежилое помещение, расположенное по адресу: Астраханская область, Лиманский район, р.п. Лиман, ул.  Комсомольская, д. 69, помещение 12, площадь 130,1 кв. м, назначение: нежилое, номер, тип этажа, на котором расположено помещение: Этаж №1, кадастровый номер 30:07:240102:2578</t>
        </is>
      </c>
      <c r="F180" s="3" t="inlineStr">
        <is>
          <t>06.09.22 20:00</t>
        </is>
      </c>
      <c r="G180" t="inlineStr">
        <is>
          <t>Астраханская обл, рп Лиман, ул Комсомольская, д 69</t>
        </is>
      </c>
      <c r="H180" s="4" t="n">
        <v>1871000</v>
      </c>
      <c r="I180" s="4" t="n">
        <v>14381.24519600308</v>
      </c>
      <c r="J180" t="inlineStr">
        <is>
          <t>Нежилое помещение</t>
        </is>
      </c>
      <c r="K180" s="5" t="n">
        <v>10.3</v>
      </c>
      <c r="L180" s="4" t="n">
        <v>1027.21</v>
      </c>
      <c r="M180" t="n">
        <v>1396</v>
      </c>
      <c r="N180" s="6" t="n">
        <v>8514</v>
      </c>
      <c r="O180" t="n">
        <v>14</v>
      </c>
      <c r="P180" s="21" t="n">
        <v>0.1280361444939503</v>
      </c>
      <c r="Q180" t="inlineStr">
        <is>
          <t>EA</t>
        </is>
      </c>
      <c r="R180" t="inlineStr">
        <is>
          <t>М</t>
        </is>
      </c>
      <c r="S180" s="2">
        <f>HYPERLINK("https://yandex.ru/maps/?&amp;text=45.785231, 47.225944", "45.785231, 47.225944")</f>
        <v/>
      </c>
      <c r="T180" s="2">
        <f>HYPERLINK("D:\venv_torgi\env\cache\objs_in_district/45.785231_47.225944.json", "45.785231_47.225944.json")</f>
        <v/>
      </c>
      <c r="U180" t="inlineStr">
        <is>
          <t>30:07:240102:2578</t>
        </is>
      </c>
      <c r="V180" s="7" t="inlineStr">
        <is>
          <t>1</t>
        </is>
      </c>
      <c r="W180" s="20" t="n">
        <v>16222.56438392146</v>
      </c>
      <c r="X180" s="22" t="n">
        <v>1841.319187918378</v>
      </c>
      <c r="Y180" t="n">
        <v>0</v>
      </c>
    </row>
    <row r="181">
      <c r="A181" s="8" t="n">
        <v>179</v>
      </c>
      <c r="B181" t="n">
        <v>30</v>
      </c>
      <c r="C181" s="1" t="n">
        <v>159.1</v>
      </c>
      <c r="D181" s="2">
        <f>HYPERLINK("https://torgi.gov.ru/new/public/lots/lot/21000021980000000016_4/(lotInfo:info)", "21000021980000000016_4")</f>
        <v/>
      </c>
      <c r="E181" t="inlineStr">
        <is>
          <t>нежилое помещение, расположенное по адресу: г. Астрахань, Советский район, ул. Н. Островского, д. 113 пом. 2, общей площадью 159,1 кв.м, кадастровый номер 30:12:030791:531. На 1 этаже 9-этажного жилого дома (ранее – общежитие). Вход через помещения общего пользования (подъезд). Стены – ж/бетонные стеновые панели, перекрытия железобетонные. Год постройки 1990г. Требует капитального ремонта.</t>
        </is>
      </c>
      <c r="F181" s="3" t="inlineStr">
        <is>
          <t>28.08.22 12:00</t>
        </is>
      </c>
      <c r="G181" t="inlineStr">
        <is>
          <t>г Астрахань, ул Николая Островского, д 113</t>
        </is>
      </c>
      <c r="H181" s="4" t="n">
        <v>2850000</v>
      </c>
      <c r="I181" s="4" t="n">
        <v>17913.26209930861</v>
      </c>
      <c r="J181" t="inlineStr">
        <is>
          <t>Нежилое помещение</t>
        </is>
      </c>
      <c r="K181" s="5" t="n">
        <v>4.27</v>
      </c>
      <c r="L181" s="4" t="n">
        <v>1194.2</v>
      </c>
      <c r="M181" t="n">
        <v>4197</v>
      </c>
      <c r="N181" s="6" t="n">
        <v>532699</v>
      </c>
      <c r="O181" t="n">
        <v>15</v>
      </c>
      <c r="P181" s="21" t="n">
        <v>0.4997982087743996</v>
      </c>
      <c r="Q181" t="inlineStr">
        <is>
          <t>PP</t>
        </is>
      </c>
      <c r="R181" t="inlineStr">
        <is>
          <t>М</t>
        </is>
      </c>
      <c r="S181" s="2">
        <f>HYPERLINK("https://yandex.ru/maps/?&amp;text=46.33528, 48.041615", "46.33528, 48.041615")</f>
        <v/>
      </c>
      <c r="T181" s="2">
        <f>HYPERLINK("D:\venv_torgi\env\cache\objs_in_district/46.33528_48.041615.json", "46.33528_48.041615.json")</f>
        <v/>
      </c>
      <c r="U181" t="inlineStr">
        <is>
          <t>30:12:030791:531</t>
        </is>
      </c>
      <c r="V181" s="7" t="inlineStr">
        <is>
          <t>1</t>
        </is>
      </c>
      <c r="W181" s="20" t="n">
        <v>26866.27840984939</v>
      </c>
      <c r="X181" s="22" t="n">
        <v>8953.016310540785</v>
      </c>
      <c r="Y181" t="n">
        <v>0</v>
      </c>
    </row>
    <row r="182">
      <c r="A182" s="8" t="n">
        <v>180</v>
      </c>
      <c r="B182" t="n">
        <v>30</v>
      </c>
      <c r="C182" s="1" t="n">
        <v>49.8</v>
      </c>
      <c r="D182" s="2">
        <f>HYPERLINK("https://torgi.gov.ru/new/public/lots/lot/21000021980000000018_1/(lotInfo:info)", "21000021980000000018_1")</f>
        <v/>
      </c>
      <c r="E182" t="inlineStr">
        <is>
          <t>нежилое  помещение,  расположенное  по  адресу:  г. Астрахань,   Трусовский район, ул. Гагарина/ пер. Некрасова/ ул. Тянь-Шаньская, д. 21/1/32а пом.7, общей площадью 49,8 кв.м, кадастровый номер 30:12:040416:40. На 1 этаже 2-этажного здания. Отдельный вход с торца здания. Стены – пластинные, облицованные кирпичом, перекрытия деревянные. Год постройки 1920г. Требует ремонта</t>
        </is>
      </c>
      <c r="F182" s="3" t="inlineStr">
        <is>
          <t>12.09.22 13:00</t>
        </is>
      </c>
      <c r="G182" t="inlineStr">
        <is>
          <t>г. Астрахань, Трусовский район, ул. Гагарина/ пер. Некрасова/ ул. Тянь-Шаньская, д. 21/1/32а пом.7</t>
        </is>
      </c>
      <c r="H182" s="4" t="n">
        <v>899000</v>
      </c>
      <c r="I182" s="4" t="n">
        <v>18052.20883534137</v>
      </c>
      <c r="J182" t="inlineStr">
        <is>
          <t>Нежилое помещение</t>
        </is>
      </c>
      <c r="K182" s="5" t="n">
        <v>8.08</v>
      </c>
      <c r="L182" s="10" t="n"/>
      <c r="M182" t="n">
        <v>2235</v>
      </c>
      <c r="O182" t="inlineStr">
        <is>
          <t>0</t>
        </is>
      </c>
      <c r="Q182" t="inlineStr">
        <is>
          <t>PP</t>
        </is>
      </c>
      <c r="R182" t="inlineStr">
        <is>
          <t>М</t>
        </is>
      </c>
      <c r="S182" s="2">
        <f>HYPERLINK("https://yandex.ru/maps/?&amp;text=46.406922, 48.008412", "46.406922, 48.008412")</f>
        <v/>
      </c>
      <c r="T182" s="11">
        <f>HYPERLINK("D:\venv_torgi\env\cache\objs_in_district/46.406922_48.008412.json", "46.406922_48.008412.json")</f>
        <v/>
      </c>
      <c r="U182" t="inlineStr">
        <is>
          <t>30:12:040416:40</t>
        </is>
      </c>
      <c r="V182" s="7" t="inlineStr">
        <is>
          <t>1</t>
        </is>
      </c>
      <c r="Y182" t="n">
        <v>1</v>
      </c>
    </row>
    <row r="183">
      <c r="A183" s="8" t="n">
        <v>181</v>
      </c>
      <c r="B183" t="n">
        <v>30</v>
      </c>
      <c r="C183" s="1" t="n">
        <v>77.09999999999999</v>
      </c>
      <c r="D183" s="2">
        <f>HYPERLINK("https://torgi.gov.ru/new/public/lots/lot/21000021980000000018_2/(lotInfo:info)", "21000021980000000018_2")</f>
        <v/>
      </c>
      <c r="E183" t="inlineStr">
        <is>
          <t>нежилое  помещение,  расположенное  по  адресу:  г. Астрахань, Трусовский район, ул. Парковая, д.10 пом.141, общей площадью 77,1 кв.м, кадастровый номер 30:12:040085:332. На 1 этаже 5-этажного жилого дома. Отдельный вход с дворовой территории. Стены кирпичные, перекрытия железобетонные. Год постройки 1974г.</t>
        </is>
      </c>
      <c r="F183" s="3" t="inlineStr">
        <is>
          <t>12.09.22 13:00</t>
        </is>
      </c>
      <c r="G183" t="inlineStr">
        <is>
          <t>г. Астрахань, Трусовский район, ул. Парковая, д.10 пом.141</t>
        </is>
      </c>
      <c r="H183" s="4" t="n">
        <v>1406000</v>
      </c>
      <c r="I183" s="4" t="n">
        <v>18236.05706874189</v>
      </c>
      <c r="J183" t="inlineStr">
        <is>
          <t>Нежилое помещение</t>
        </is>
      </c>
      <c r="K183" s="5" t="n">
        <v>8</v>
      </c>
      <c r="L183" s="10" t="n"/>
      <c r="M183" t="n">
        <v>2279</v>
      </c>
      <c r="O183" t="inlineStr">
        <is>
          <t>0</t>
        </is>
      </c>
      <c r="Q183" t="inlineStr">
        <is>
          <t>PP</t>
        </is>
      </c>
      <c r="R183" t="inlineStr">
        <is>
          <t>М</t>
        </is>
      </c>
      <c r="S183" s="2">
        <f>HYPERLINK("https://yandex.ru/maps/?&amp;text=46.283072, 47.944524", "46.283072, 47.944524")</f>
        <v/>
      </c>
      <c r="T183" s="11">
        <f>HYPERLINK("D:\venv_torgi\env\cache\objs_in_district/46.283072_47.944524.json", "46.283072_47.944524.json")</f>
        <v/>
      </c>
      <c r="U183" t="inlineStr">
        <is>
          <t>30:12:040085:332</t>
        </is>
      </c>
      <c r="V183" s="7" t="inlineStr">
        <is>
          <t>1</t>
        </is>
      </c>
      <c r="Y183" t="n">
        <v>1</v>
      </c>
    </row>
    <row r="184">
      <c r="A184" s="8" t="n">
        <v>182</v>
      </c>
      <c r="B184" t="n">
        <v>30</v>
      </c>
      <c r="C184" s="1" t="n">
        <v>15.9</v>
      </c>
      <c r="D184" s="2">
        <f>HYPERLINK("https://torgi.gov.ru/new/public/lots/lot/21000021980000000018_5/(lotInfo:info)", "21000021980000000018_5")</f>
        <v/>
      </c>
      <c r="E184" t="inlineStr">
        <is>
          <t>нежилое  помещение,  расположенное  по  адресу:  г. Астрахань, Советский район,  ул. Челябинская/ ул. Фр. Энгельса, д. 20/21 пом. 9, общей площадью 15,9 кв.м, кадастровый номер 30:12:030067:630. На 1 этаже пристроя к 3-этажному зданию. Отдельный вход  с дворовой территории. Состояние требует капитального ремонта. Стены кирпичные, перекрытия деревянные.</t>
        </is>
      </c>
      <c r="F184" s="3" t="inlineStr">
        <is>
          <t>12.09.22 13:00</t>
        </is>
      </c>
      <c r="G184" t="inlineStr">
        <is>
          <t>г. Астрахань, Советский район,  ул. Челябинская/  ул. Фр. Энгельса, д. 20/21 пом. 9</t>
        </is>
      </c>
      <c r="H184" s="4" t="n">
        <v>296000</v>
      </c>
      <c r="I184" s="4" t="n">
        <v>18616.35220125786</v>
      </c>
      <c r="J184" t="inlineStr">
        <is>
          <t>Нежилое помещение</t>
        </is>
      </c>
      <c r="Q184" t="inlineStr">
        <is>
          <t>PP</t>
        </is>
      </c>
      <c r="R184" t="inlineStr">
        <is>
          <t>М</t>
        </is>
      </c>
      <c r="U184" t="inlineStr">
        <is>
          <t>30:12:030067:630</t>
        </is>
      </c>
      <c r="V184" s="7" t="inlineStr">
        <is>
          <t>1</t>
        </is>
      </c>
      <c r="Y184" t="n">
        <v>1</v>
      </c>
    </row>
    <row r="185">
      <c r="A185" s="8" t="n">
        <v>183</v>
      </c>
      <c r="B185" t="n">
        <v>30</v>
      </c>
      <c r="C185" s="1" t="n">
        <v>39</v>
      </c>
      <c r="D185" s="2">
        <f>HYPERLINK("https://torgi.gov.ru/new/public/lots/lot/21000021980000000019_6/(lotInfo:info)", "21000021980000000019_6")</f>
        <v/>
      </c>
      <c r="E185" t="inlineStr">
        <is>
          <t>нежилое  помещение,  расположенное  по  адресу:  г. Астрахань, Советский район, ул. Фунтовское шоссе, д.10 пом.108, общей площадью 39,0 кв.м, кадастровый номер 30:12:030355:533. На 1 этаже 5-этажного жилого дома (ранее – общежития). Вход с торца дома через общий коридор. Стены – панельные, перекрытия железобетонные. Год постройки 1975г. Требует ремонта</t>
        </is>
      </c>
      <c r="F185" s="3" t="inlineStr">
        <is>
          <t>13.09.22 13:00</t>
        </is>
      </c>
      <c r="G185" t="inlineStr">
        <is>
          <t>г. Астрахань,  Советский район,  ул. Фунтовское шоссе, д.10 пом.108</t>
        </is>
      </c>
      <c r="H185" s="4" t="n">
        <v>783000</v>
      </c>
      <c r="I185" s="4" t="n">
        <v>20076.92307692308</v>
      </c>
      <c r="J185" t="inlineStr">
        <is>
          <t>Нежилое помещение</t>
        </is>
      </c>
      <c r="K185" s="5" t="n">
        <v>4.44</v>
      </c>
      <c r="L185" s="10" t="n"/>
      <c r="M185" t="n">
        <v>4525</v>
      </c>
      <c r="O185" t="inlineStr">
        <is>
          <t>0</t>
        </is>
      </c>
      <c r="Q185" t="inlineStr">
        <is>
          <t>EA</t>
        </is>
      </c>
      <c r="R185" t="inlineStr">
        <is>
          <t>М</t>
        </is>
      </c>
      <c r="S185" s="2">
        <f>HYPERLINK("https://yandex.ru/maps/?&amp;text=46.314217, 48.032963", "46.314217, 48.032963")</f>
        <v/>
      </c>
      <c r="T185" s="11">
        <f>HYPERLINK("D:\venv_torgi\env\cache\objs_in_district/46.314217_48.032963.json", "46.314217_48.032963.json")</f>
        <v/>
      </c>
      <c r="U185" t="inlineStr">
        <is>
          <t>30:12:030355:533</t>
        </is>
      </c>
      <c r="V185" s="7" t="inlineStr">
        <is>
          <t>1</t>
        </is>
      </c>
      <c r="Y185" t="n">
        <v>0</v>
      </c>
    </row>
    <row r="186">
      <c r="A186" s="8" t="n">
        <v>184</v>
      </c>
      <c r="B186" t="n">
        <v>31</v>
      </c>
      <c r="C186" s="1" t="n">
        <v>367.7</v>
      </c>
      <c r="D186" s="2">
        <f>HYPERLINK("https://torgi.gov.ru/new/public/lots/lot/21000016390000000105_8/(lotInfo:info)", "21000016390000000105_8")</f>
        <v/>
      </c>
      <c r="E186" t="inlineStr">
        <is>
          <t>Нежилое здание, площадью 367,7 кв.м., КН:31:01:0313002:60. Земельный участок, площадью 14014 кв.м., КН:31:01:0313001:54. Имущество обременено: арест, запрещение регистрации. Имущество принадлежит на праве собственности Новикову М.П. Основание реализации: исполнительный лист Ивнянского районного суда №ФС021896914 от 28.07.2020</t>
        </is>
      </c>
      <c r="F186" s="3" t="inlineStr">
        <is>
          <t>07.09.22 15:00</t>
        </is>
      </c>
      <c r="G186" t="inlineStr">
        <is>
          <t>Белгородская область, р-н Ивнянский, Кировское отделение</t>
        </is>
      </c>
      <c r="H186" s="4" t="n">
        <v>5433452</v>
      </c>
      <c r="I186" s="4" t="n">
        <v>14776.86157193364</v>
      </c>
      <c r="J186" t="inlineStr">
        <is>
          <t xml:space="preserve">здание, </t>
        </is>
      </c>
      <c r="K186" s="5" t="n">
        <v>220.54</v>
      </c>
      <c r="M186" t="n">
        <v>67</v>
      </c>
      <c r="Q186" t="inlineStr">
        <is>
          <t>EA</t>
        </is>
      </c>
      <c r="R186" t="inlineStr">
        <is>
          <t>Д</t>
        </is>
      </c>
      <c r="S186" s="2">
        <f>HYPERLINK("https://yandex.ru/maps/?&amp;text=51.020121, 36.122569", "51.020121, 36.122569")</f>
        <v/>
      </c>
      <c r="U186" t="inlineStr">
        <is>
          <t>31:01:0313002:60</t>
        </is>
      </c>
      <c r="V186" s="7" t="inlineStr">
        <is>
          <t>1</t>
        </is>
      </c>
      <c r="Y186" t="n">
        <v>0</v>
      </c>
    </row>
    <row r="187">
      <c r="A187" s="8" t="n">
        <v>185</v>
      </c>
      <c r="B187" t="n">
        <v>31</v>
      </c>
      <c r="C187" s="1" t="n">
        <v>190.9</v>
      </c>
      <c r="D187" s="2">
        <f>HYPERLINK("https://torgi.gov.ru/new/public/lots/lot/21000016390000000117_5/(lotInfo:info)", "21000016390000000117_5")</f>
        <v/>
      </c>
      <c r="E187" t="inlineStr">
        <is>
          <t>Нежилое здание, площадью 190,90 кв.м., КН:31:14:0903002:177. Нежилое здание, площадью 373,20 кв.м., КН: 31:14:0903002:179. Имущество обременено: арест, запрещение регистрации. Имущество принадлежит на праве собственности Мамонтову В.Н. Основание реализации: судебный участок №1 мирового судьи Борисовского района Белгородской области №2а-552/2021 от 08.04.2021</t>
        </is>
      </c>
      <c r="F187" s="3" t="inlineStr">
        <is>
          <t>16.09.22 15:00</t>
        </is>
      </c>
      <c r="G187" t="inlineStr">
        <is>
          <t>Белгородская обл, Борисовский р-н, село Беленькое, ул Первомайская, зд 59б</t>
        </is>
      </c>
      <c r="H187" s="4" t="n">
        <v>4535228</v>
      </c>
      <c r="I187" s="4" t="n">
        <v>23757.08748035621</v>
      </c>
      <c r="J187" t="inlineStr">
        <is>
          <t xml:space="preserve">здание, </t>
        </is>
      </c>
      <c r="K187" s="5" t="n">
        <v>54.61</v>
      </c>
      <c r="M187" t="n">
        <v>435</v>
      </c>
      <c r="N187" s="6" t="n">
        <v>1463</v>
      </c>
      <c r="Q187" t="inlineStr">
        <is>
          <t>EA</t>
        </is>
      </c>
      <c r="R187" t="inlineStr">
        <is>
          <t>Д</t>
        </is>
      </c>
      <c r="S187" s="2">
        <f>HYPERLINK("https://yandex.ru/maps/?&amp;text=50.580682, 35.908959", "50.580682, 35.908959")</f>
        <v/>
      </c>
      <c r="U187" t="inlineStr">
        <is>
          <t>31:14:0903002:177</t>
        </is>
      </c>
      <c r="W187" s="20" t="n">
        <v>10184.55663459608</v>
      </c>
      <c r="X187" s="23" t="n">
        <v>-13572.53084576013</v>
      </c>
      <c r="Y187" t="n">
        <v>0</v>
      </c>
    </row>
    <row r="188">
      <c r="A188" s="8" t="n">
        <v>186</v>
      </c>
      <c r="B188" t="n">
        <v>31</v>
      </c>
      <c r="C188" s="1" t="n">
        <v>62.7</v>
      </c>
      <c r="D188" s="2">
        <f>HYPERLINK("https://torgi.gov.ru/new/public/lots/lot/21000016390000000117_10/(lotInfo:info)", "21000016390000000117_10")</f>
        <v/>
      </c>
      <c r="E188" t="inlineStr">
        <is>
          <t>Нежилое помещение, площадью 62,7 кв.м., КН:31:16:0101001:13641. Имущество обременено: арест, запрещение регистрации. Имущество принадлежит на праве собственности ООО «НСТР Космические системы». Основание реализации: постановление о передаче арестованного имущества №31010/22/517723 от 20.06.2022 судебного пристава-исполнителя ОСП по г.Белгороду УФССП России по Белгородской области</t>
        </is>
      </c>
      <c r="F188" s="3" t="inlineStr">
        <is>
          <t>16.09.22 15:00</t>
        </is>
      </c>
      <c r="G188" t="inlineStr">
        <is>
          <t>г Белгород, ул Почтовая, д 62в к 4</t>
        </is>
      </c>
      <c r="H188" s="4" t="n">
        <v>2158447.5</v>
      </c>
      <c r="I188" s="4" t="n">
        <v>34425</v>
      </c>
      <c r="J188" t="inlineStr">
        <is>
          <t>Нежилое помещение</t>
        </is>
      </c>
      <c r="K188" s="5" t="n">
        <v>7.94</v>
      </c>
      <c r="L188" s="4" t="n">
        <v>4917.86</v>
      </c>
      <c r="M188" t="n">
        <v>4338</v>
      </c>
      <c r="N188" s="6" t="n">
        <v>378390</v>
      </c>
      <c r="O188" t="n">
        <v>7</v>
      </c>
      <c r="Q188" t="inlineStr">
        <is>
          <t>EA</t>
        </is>
      </c>
      <c r="R188" t="inlineStr">
        <is>
          <t>Д</t>
        </is>
      </c>
      <c r="S188" s="2">
        <f>HYPERLINK("https://yandex.ru/maps/?&amp;text=50.582713, 36.672922", "50.582713, 36.672922")</f>
        <v/>
      </c>
      <c r="T188" s="2">
        <f>HYPERLINK("D:\venv_torgi\env\cache\objs_in_district/50.582713_36.672922.json", "50.582713_36.672922.json")</f>
        <v/>
      </c>
      <c r="U188" t="inlineStr">
        <is>
          <t>31:16:0101001:13641</t>
        </is>
      </c>
      <c r="W188" s="20" t="n">
        <v>26866.27840984939</v>
      </c>
      <c r="X188" s="23" t="n">
        <v>-7558.721590150606</v>
      </c>
      <c r="Y188" t="n">
        <v>0</v>
      </c>
    </row>
    <row r="189">
      <c r="A189" s="8" t="n">
        <v>187</v>
      </c>
      <c r="B189" t="n">
        <v>31</v>
      </c>
      <c r="C189" s="1" t="n">
        <v>160.3</v>
      </c>
      <c r="D189" s="2">
        <f>HYPERLINK("https://torgi.gov.ru/new/public/lots/lot/21000026630000000013_1/(lotInfo:info)", "21000026630000000013_1")</f>
        <v/>
      </c>
      <c r="E189" t="inlineStr">
        <is>
          <t>Нежилое помещение площадью 160,3 кв.м, кадастровый номер 31:06:0322001:535, по адресу: Белгородская обл., г. Старый Оскол, пр-к Губкина, д.5</t>
        </is>
      </c>
      <c r="F189" s="3" t="inlineStr">
        <is>
          <t>29.08.22 15:00</t>
        </is>
      </c>
      <c r="G189" t="inlineStr">
        <is>
          <t>Белгородская обл, г Старый Оскол, пр-кт Губкина, д 5</t>
        </is>
      </c>
      <c r="H189" s="4" t="n">
        <v>7015400</v>
      </c>
      <c r="I189" s="4" t="n">
        <v>43764.19213973798</v>
      </c>
      <c r="J189" t="inlineStr">
        <is>
          <t>Нежилое помещение</t>
        </is>
      </c>
      <c r="K189" s="5" t="n">
        <v>5.3</v>
      </c>
      <c r="L189" s="4" t="n">
        <v>460.67</v>
      </c>
      <c r="M189" t="n">
        <v>8265</v>
      </c>
      <c r="N189" s="6" t="n">
        <v>231864</v>
      </c>
      <c r="O189" t="n">
        <v>95</v>
      </c>
      <c r="Q189" t="inlineStr">
        <is>
          <t>EA</t>
        </is>
      </c>
      <c r="R189" t="inlineStr">
        <is>
          <t>М</t>
        </is>
      </c>
      <c r="S189" s="2">
        <f>HYPERLINK("https://yandex.ru/maps/?&amp;text=51.28618, 37.80576", "51.28618, 37.80576")</f>
        <v/>
      </c>
      <c r="T189" s="2">
        <f>HYPERLINK("D:\venv_torgi\env\cache\objs_in_district/51.28618_37.80576.json", "51.28618_37.80576.json")</f>
        <v/>
      </c>
      <c r="U189" t="inlineStr">
        <is>
          <t xml:space="preserve">31:06:0322001:535, </t>
        </is>
      </c>
      <c r="V189" s="7" t="inlineStr">
        <is>
          <t>1</t>
        </is>
      </c>
      <c r="W189" s="20" t="n">
        <v>26866.27840984939</v>
      </c>
      <c r="X189" s="23" t="n">
        <v>-16897.91372988858</v>
      </c>
      <c r="Y189" t="n">
        <v>0</v>
      </c>
    </row>
    <row r="190">
      <c r="A190" s="8" t="n">
        <v>188</v>
      </c>
      <c r="B190" t="n">
        <v>31</v>
      </c>
      <c r="C190" s="1" t="n">
        <v>159.1</v>
      </c>
      <c r="D190" s="2">
        <f>HYPERLINK("https://torgi.gov.ru/new/public/lots/lot/21000016390000000105_6/(lotInfo:info)", "21000016390000000105_6")</f>
        <v/>
      </c>
      <c r="E190" t="inlineStr">
        <is>
          <t>Нежилое помещение, площадью 159,10 кв.м., КН:31:16:0101001:4441. Имущество обременено: арест, запрещение регистрации. Имущество принадлежит на праве собственности ЗАО «Благо». Основание реализации: постановление судебного пристава-исполнителя ОСП по г.Белгороду УФССП России по Белгородской области №31010/22/111688 от 05.07.2022</t>
        </is>
      </c>
      <c r="F190" s="3" t="inlineStr">
        <is>
          <t>07.09.22 15:00</t>
        </is>
      </c>
      <c r="G190" t="inlineStr">
        <is>
          <t>г Белгород, ул Щорса, д 45д к 2</t>
        </is>
      </c>
      <c r="H190" s="4" t="n">
        <v>9466450</v>
      </c>
      <c r="I190" s="4" t="n">
        <v>59500</v>
      </c>
      <c r="J190" t="inlineStr">
        <is>
          <t>Нежилое помещение</t>
        </is>
      </c>
      <c r="K190" s="5" t="n">
        <v>13.41</v>
      </c>
      <c r="L190" s="4" t="n">
        <v>2833.33</v>
      </c>
      <c r="M190" t="n">
        <v>4437</v>
      </c>
      <c r="N190" s="6" t="n">
        <v>378390</v>
      </c>
      <c r="O190" t="n">
        <v>21</v>
      </c>
      <c r="Q190" t="inlineStr">
        <is>
          <t>EA</t>
        </is>
      </c>
      <c r="R190" t="inlineStr">
        <is>
          <t>Д</t>
        </is>
      </c>
      <c r="S190" s="2">
        <f>HYPERLINK("https://yandex.ru/maps/?&amp;text=50.561735, 36.577629", "50.561735, 36.577629")</f>
        <v/>
      </c>
      <c r="T190" s="2">
        <f>HYPERLINK("D:\venv_torgi\env\cache\objs_in_district/50.561735_36.577629.json", "50.561735_36.577629.json")</f>
        <v/>
      </c>
      <c r="U190" t="inlineStr">
        <is>
          <t>31:16:0101001:4441</t>
        </is>
      </c>
      <c r="W190" s="20" t="n">
        <v>26866.27840984939</v>
      </c>
      <c r="X190" s="23" t="n">
        <v>-32633.72159015061</v>
      </c>
      <c r="Y190" t="n">
        <v>0</v>
      </c>
    </row>
    <row r="191">
      <c r="A191" s="8" t="n">
        <v>189</v>
      </c>
      <c r="B191" t="n">
        <v>31</v>
      </c>
      <c r="C191" s="1" t="n">
        <v>126.3</v>
      </c>
      <c r="D191" s="2">
        <f>HYPERLINK("https://torgi.gov.ru/new/public/lots/lot/21000016390000000103_2/(lotInfo:info)", "21000016390000000103_2")</f>
        <v/>
      </c>
      <c r="E191" t="inlineStr">
        <is>
          <t>Нежилое помещение, площадью 126,3 кв.м., КН:31:16:0117018:6665. Имущество обременено: арест, запрещение регистрации. Имущество принадлежит на праве собственности ООО «ПРОМАВТОТЕХСНАБ». Основание реализации: постановление судебного пристава-исполнителя ОСП по г.Белгороду УФССП России по Белгородской области №31010/20/341756 от 04.12.2020</t>
        </is>
      </c>
      <c r="F191" s="3" t="inlineStr">
        <is>
          <t>05.09.22 15:00</t>
        </is>
      </c>
      <c r="G191" t="inlineStr">
        <is>
          <t>г Белгород, ул Щорса, д 49, кв 1</t>
        </is>
      </c>
      <c r="H191" s="4" t="n">
        <v>8985613.5</v>
      </c>
      <c r="I191" s="4" t="n">
        <v>71145</v>
      </c>
      <c r="J191" t="inlineStr">
        <is>
          <t>Нежилое помещение</t>
        </is>
      </c>
      <c r="K191" s="5" t="n">
        <v>23.91</v>
      </c>
      <c r="L191" s="4" t="n">
        <v>3557.25</v>
      </c>
      <c r="M191" t="n">
        <v>2976</v>
      </c>
      <c r="N191" s="6" t="n">
        <v>378390</v>
      </c>
      <c r="O191" t="n">
        <v>20</v>
      </c>
      <c r="Q191" t="inlineStr">
        <is>
          <t>EA</t>
        </is>
      </c>
      <c r="R191" t="inlineStr">
        <is>
          <t>Д</t>
        </is>
      </c>
      <c r="S191" s="2">
        <f>HYPERLINK("https://yandex.ru/maps/?&amp;text=50.557796, 36.578087", "50.557796, 36.578087")</f>
        <v/>
      </c>
      <c r="T191" s="2">
        <f>HYPERLINK("D:\venv_torgi\env\cache\objs_in_district/50.557796_36.578087.json", "50.557796_36.578087.json")</f>
        <v/>
      </c>
      <c r="U191" t="inlineStr">
        <is>
          <t>31:16:0117018:6665</t>
        </is>
      </c>
      <c r="W191" s="20" t="n">
        <v>26866.27840984939</v>
      </c>
      <c r="X191" s="23" t="n">
        <v>-44278.72159015061</v>
      </c>
      <c r="Y191" t="n">
        <v>0</v>
      </c>
    </row>
    <row r="192">
      <c r="A192" s="8" t="n">
        <v>190</v>
      </c>
      <c r="B192" t="n">
        <v>31</v>
      </c>
      <c r="C192" s="1" t="n">
        <v>45.7</v>
      </c>
      <c r="D192" s="2">
        <f>HYPERLINK("https://torgi.gov.ru/new/public/lots/lot/21000016390000000105_7/(lotInfo:info)", "21000016390000000105_7")</f>
        <v/>
      </c>
      <c r="E192" t="inlineStr">
        <is>
          <t>Нежилое помещение, площадью 45,7 кв.м., КН:31:16:0109015:4766. Имущество обременено: арест, запрещение регистрации. Имущество принадлежит на праве собственности Алиеву Садагат Багман Кызы. Основание реализации: исполнительный лист Октябрьского районного суда г.Белгорода №ФС037050889 от 06.07.2021</t>
        </is>
      </c>
      <c r="F192" s="3" t="inlineStr">
        <is>
          <t>07.09.22 15:00</t>
        </is>
      </c>
      <c r="G192" t="inlineStr">
        <is>
          <t>г Белгород, Народный б-р, д 90</t>
        </is>
      </c>
      <c r="H192" s="4" t="n">
        <v>4899040</v>
      </c>
      <c r="I192" s="4" t="n">
        <v>107200</v>
      </c>
      <c r="J192" t="inlineStr">
        <is>
          <t>Нежилое помещение</t>
        </is>
      </c>
      <c r="K192" s="5" t="n">
        <v>16.81</v>
      </c>
      <c r="L192" s="4" t="n">
        <v>1468.49</v>
      </c>
      <c r="M192" t="n">
        <v>6378</v>
      </c>
      <c r="N192" s="6" t="n">
        <v>378390</v>
      </c>
      <c r="O192" t="n">
        <v>73</v>
      </c>
      <c r="Q192" t="inlineStr">
        <is>
          <t>EA</t>
        </is>
      </c>
      <c r="R192" t="inlineStr">
        <is>
          <t>Д</t>
        </is>
      </c>
      <c r="S192" s="2">
        <f>HYPERLINK("https://yandex.ru/maps/?&amp;text=50.601486, 36.58592", "50.601486, 36.58592")</f>
        <v/>
      </c>
      <c r="T192" s="2">
        <f>HYPERLINK("D:\venv_torgi\env\cache\objs_in_district/50.601486_36.58592.json", "50.601486_36.58592.json")</f>
        <v/>
      </c>
      <c r="U192" t="inlineStr">
        <is>
          <t>31:16:0109015:4766</t>
        </is>
      </c>
      <c r="W192" s="20" t="n">
        <v>26866.27840984939</v>
      </c>
      <c r="X192" s="23" t="n">
        <v>-80333.72159015061</v>
      </c>
      <c r="Y192" t="n">
        <v>0</v>
      </c>
    </row>
    <row r="193">
      <c r="A193" s="8" t="n">
        <v>191</v>
      </c>
      <c r="B193" t="n">
        <v>32</v>
      </c>
      <c r="C193" s="1" t="n">
        <v>69.40000000000001</v>
      </c>
      <c r="D193" s="2">
        <f>HYPERLINK("https://torgi.gov.ru/new/public/lots/lot/21000018780000000008_10/(lotInfo:info)", "21000018780000000008_10")</f>
        <v/>
      </c>
      <c r="E193" t="inlineStr">
        <is>
          <t>нежилое помещение площадью 69,4 кв.м. кадастровый номер 32:30:0020704:212, расположенное по адресу: Брянская область, г. Клинцы,   ул. Кронштадтская, 54, пом.. 2.</t>
        </is>
      </c>
      <c r="F193" s="3" t="inlineStr">
        <is>
          <t>04.09.22 20:59</t>
        </is>
      </c>
      <c r="G193" t="inlineStr">
        <is>
          <t>Брянская обл, г Клинцы, ул Кронштадтская, д 54</t>
        </is>
      </c>
      <c r="H193" s="4" t="n">
        <v>125000</v>
      </c>
      <c r="I193" s="4" t="n">
        <v>1801.152737752161</v>
      </c>
      <c r="J193" t="inlineStr">
        <is>
          <t>Нежилое помещение</t>
        </is>
      </c>
      <c r="K193" s="5" t="n">
        <v>0.7</v>
      </c>
      <c r="M193" t="n">
        <v>2570</v>
      </c>
      <c r="N193" s="6" t="n">
        <v>70089</v>
      </c>
      <c r="P193" s="21" t="n">
        <v>13.91615777314839</v>
      </c>
      <c r="Q193" t="inlineStr">
        <is>
          <t>EA</t>
        </is>
      </c>
      <c r="R193" t="inlineStr">
        <is>
          <t>М</t>
        </is>
      </c>
      <c r="S193" s="2">
        <f>HYPERLINK("https://yandex.ru/maps/?&amp;text=52.760114, 32.242224", "52.760114, 32.242224")</f>
        <v/>
      </c>
      <c r="U193" t="inlineStr">
        <is>
          <t xml:space="preserve">32:30:0020704:212, </t>
        </is>
      </c>
      <c r="W193" s="20" t="n">
        <v>26866.27840984939</v>
      </c>
      <c r="X193" s="22" t="n">
        <v>25065.12567209723</v>
      </c>
      <c r="Y193" t="n">
        <v>0</v>
      </c>
    </row>
    <row r="194">
      <c r="A194" s="8" t="n">
        <v>192</v>
      </c>
      <c r="B194" t="n">
        <v>32</v>
      </c>
      <c r="C194" s="1" t="n">
        <v>37.7</v>
      </c>
      <c r="D194" s="2">
        <f>HYPERLINK("https://torgi.gov.ru/new/public/lots/lot/22000080200000000002_1/(lotInfo:info)", "22000080200000000002_1")</f>
        <v/>
      </c>
      <c r="E194" t="inlineStr">
        <is>
          <t>Нежилое здание ( в т.ч. земельный участок) по адресу: Российская                     Федерация, Брянская область, Клинцовский район, с. Лопатни Зеленая ,                    дом  26Условия приватизации   утверждены решением Лопатенского сельского Совета депутатов от 30.10.2019 № 15.Здание  свободно от арендных отношений.Нежилое здание:Площадь здания 37,7 кв.м., начальная цена без НДС -13000,00 рублей.Кадастровый номер  здания-32:13:0030101:1173.Земельный участок:Площадь  земельного участка 764 кв.м.Кадастровый номер земельного участка-32:13:0030101:722.Категория земель: земли населенных пунктов.</t>
        </is>
      </c>
      <c r="F194" s="3" t="inlineStr">
        <is>
          <t>18.09.22 11:00</t>
        </is>
      </c>
      <c r="G194" t="inlineStr">
        <is>
          <t>Брянская обл, Клинцовский р-н, село Лопатни, ул Зеленая, д 26</t>
        </is>
      </c>
      <c r="H194" s="4" t="n">
        <v>112000</v>
      </c>
      <c r="I194" s="4" t="n">
        <v>2970.822281167108</v>
      </c>
      <c r="J194" t="inlineStr">
        <is>
          <t xml:space="preserve">здание ( </t>
        </is>
      </c>
      <c r="K194" s="5" t="n">
        <v>24.15</v>
      </c>
      <c r="M194" t="n">
        <v>123</v>
      </c>
      <c r="N194" s="6" t="n">
        <v>685</v>
      </c>
      <c r="P194" s="21" t="n">
        <v>7.751754467922947</v>
      </c>
      <c r="Q194" t="inlineStr">
        <is>
          <t>EA</t>
        </is>
      </c>
      <c r="R194" t="inlineStr">
        <is>
          <t>М</t>
        </is>
      </c>
      <c r="S194" s="2">
        <f>HYPERLINK("https://yandex.ru/maps/?&amp;text=52.829655, 32.134328", "52.829655, 32.134328")</f>
        <v/>
      </c>
      <c r="V194" s="7" t="inlineStr">
        <is>
          <t>1</t>
        </is>
      </c>
      <c r="W194" s="20" t="n">
        <v>25999.90717260928</v>
      </c>
      <c r="X194" s="22" t="n">
        <v>23029.08489144217</v>
      </c>
      <c r="Y194" t="n">
        <v>0</v>
      </c>
    </row>
    <row r="195">
      <c r="A195" s="8" t="n">
        <v>193</v>
      </c>
      <c r="B195" t="n">
        <v>32</v>
      </c>
      <c r="C195" s="1" t="n">
        <v>58.3</v>
      </c>
      <c r="D195" s="2">
        <f>HYPERLINK("https://torgi.gov.ru/new/public/lots/lot/21000018780000000008_9/(lotInfo:info)", "21000018780000000008_9")</f>
        <v/>
      </c>
      <c r="E195" t="inlineStr">
        <is>
          <t>нежилое помещение площадью 58,3 кв.м. кадастровый номер 32:30:0010112:9, расположенное по адресу: Брянская область, г. Клинцы,   ул. Гензика, 146, кв. 4.</t>
        </is>
      </c>
      <c r="F195" s="3" t="inlineStr">
        <is>
          <t>04.09.22 20:59</t>
        </is>
      </c>
      <c r="G195" t="inlineStr">
        <is>
          <t>Брянская обл, г Клинцы, ул Гензика, д 146</t>
        </is>
      </c>
      <c r="H195" s="4" t="n">
        <v>250000</v>
      </c>
      <c r="I195" s="4" t="n">
        <v>4288.164665523156</v>
      </c>
      <c r="J195" t="inlineStr">
        <is>
          <t>Нежилое помещение</t>
        </is>
      </c>
      <c r="K195" s="5" t="n">
        <v>1.88</v>
      </c>
      <c r="M195" t="n">
        <v>2285</v>
      </c>
      <c r="N195" s="6" t="n">
        <v>70089</v>
      </c>
      <c r="P195" s="21" t="n">
        <v>2.783102014330483</v>
      </c>
      <c r="Q195" t="inlineStr">
        <is>
          <t>EA</t>
        </is>
      </c>
      <c r="R195" t="inlineStr">
        <is>
          <t>М</t>
        </is>
      </c>
      <c r="S195" s="2">
        <f>HYPERLINK("https://yandex.ru/maps/?&amp;text=52.765885, 32.219919", "52.765885, 32.219919")</f>
        <v/>
      </c>
      <c r="U195" t="inlineStr">
        <is>
          <t xml:space="preserve">32:30:0010112:9, </t>
        </is>
      </c>
      <c r="W195" s="20" t="n">
        <v>16222.56438392146</v>
      </c>
      <c r="X195" s="22" t="n">
        <v>11934.3997183983</v>
      </c>
      <c r="Y195" t="n">
        <v>0</v>
      </c>
    </row>
    <row r="196">
      <c r="A196" s="8" t="n">
        <v>194</v>
      </c>
      <c r="B196" t="n">
        <v>32</v>
      </c>
      <c r="C196" s="1" t="n">
        <v>130.7</v>
      </c>
      <c r="D196" s="2">
        <f>HYPERLINK("https://torgi.gov.ru/new/public/lots/lot/21000026170000000008_2/(lotInfo:info)", "21000026170000000008_2")</f>
        <v/>
      </c>
      <c r="E196" t="inlineStr">
        <is>
          <t>Нежилое помещение, расположенное по адресу: Российская Федерация, Брянская область, Новозыбковский городской округ, город Новозыбков, улица Коммунистическая, дом 31, помещение 9. Характеристика недвижимого имущества: Нежилое помещение, общая площадь 130.7 кв. м., фундаменты – ленточные бутобетонные, стены – кирпичные, окрашенные, перекрытия – деревянные, оштукатуренные, побеленные, кровля – асбоцементная, четырехскатная по деревянным стропилам, полы – деревянные, покрытые линолеумом, проемы – деревянные, отделочные работы – штукатурка, оклейка обоями, частично побелка, внутренние санитарно – технические устройства – имеется электропроводка и освещение.Кадастровый номер: 32:31:0010320:534.</t>
        </is>
      </c>
      <c r="F196" s="3" t="inlineStr">
        <is>
          <t>30.08.22 14:00</t>
        </is>
      </c>
      <c r="G196" t="inlineStr">
        <is>
          <t>Брянская обл, г Новозыбков, ул Коммунистическая, д 31</t>
        </is>
      </c>
      <c r="H196" s="4" t="n">
        <v>670560</v>
      </c>
      <c r="I196" s="4" t="n">
        <v>5130.52792654935</v>
      </c>
      <c r="J196" t="inlineStr">
        <is>
          <t>Нежилое помещение</t>
        </is>
      </c>
      <c r="K196" s="5" t="n">
        <v>1.69</v>
      </c>
      <c r="L196" s="4" t="n">
        <v>51.82</v>
      </c>
      <c r="M196" t="n">
        <v>3039</v>
      </c>
      <c r="N196" s="6" t="n">
        <v>39725</v>
      </c>
      <c r="O196" t="n">
        <v>99</v>
      </c>
      <c r="P196" s="21" t="n">
        <v>4.236552416140711</v>
      </c>
      <c r="Q196" t="inlineStr">
        <is>
          <t>EA</t>
        </is>
      </c>
      <c r="R196" t="inlineStr">
        <is>
          <t>М</t>
        </is>
      </c>
      <c r="S196" s="2">
        <f>HYPERLINK("https://yandex.ru/maps/?&amp;text=52.534065, 31.929647", "52.534065, 31.929647")</f>
        <v/>
      </c>
      <c r="T196" s="2">
        <f>HYPERLINK("D:\venv_torgi\env\cache\objs_in_district/52.534065_31.929647.json", "52.534065_31.929647.json")</f>
        <v/>
      </c>
      <c r="U196" t="inlineStr">
        <is>
          <t>32:31:0010320:534</t>
        </is>
      </c>
      <c r="V196" s="7" t="inlineStr">
        <is>
          <t>2</t>
        </is>
      </c>
      <c r="W196" s="20" t="n">
        <v>26866.27840984939</v>
      </c>
      <c r="X196" s="22" t="n">
        <v>21735.75048330004</v>
      </c>
      <c r="Y196" t="n">
        <v>0</v>
      </c>
    </row>
    <row r="197">
      <c r="A197" s="8" t="n">
        <v>195</v>
      </c>
      <c r="B197" t="n">
        <v>32</v>
      </c>
      <c r="C197" s="1" t="n">
        <v>138</v>
      </c>
      <c r="D197" s="2">
        <f>HYPERLINK("https://torgi.gov.ru/new/public/lots/lot/21000026170000000008_4/(lotInfo:info)", "21000026170000000008_4")</f>
        <v/>
      </c>
      <c r="E197" t="inlineStr">
        <is>
          <t>Нежилое помещение, расположенное по адресу: Российская Федерация, Брянская область, Новозыбковский городской округ, город Новозыбков, улица Коммунистическая, дом 31, помещение 11 Характеристика недвижимого имущества: Нежилое помещение, общая площадь 138 кв. м., фундаменты – ленточные бутобетонные, стены – кирпичные, окрашенные, перекрытия – деревянные, оштукатуренные, побеленные, кровля – асбоцементная, четырехскатная по деревянным стропилам, полы – деревянные, покрытые линолеумом, проемы – деревянные, отделочные работы – штукатурка, оклейка обоями, частично побелка, внутренние санитарно – технические устройства – имеется электропроводка и освещение, Кадастровый номер: 32:31:0010320:536.</t>
        </is>
      </c>
      <c r="F197" s="3" t="inlineStr">
        <is>
          <t>30.08.22 14:00</t>
        </is>
      </c>
      <c r="G197" t="inlineStr">
        <is>
          <t>Брянская обл, г Новозыбков, ул Коммунистическая, д 31</t>
        </is>
      </c>
      <c r="H197" s="4" t="n">
        <v>747840</v>
      </c>
      <c r="I197" s="4" t="n">
        <v>5419.130434782609</v>
      </c>
      <c r="J197" t="inlineStr">
        <is>
          <t>Нежилое помещение</t>
        </is>
      </c>
      <c r="K197" s="5" t="n">
        <v>1.78</v>
      </c>
      <c r="L197" s="4" t="n">
        <v>54.74</v>
      </c>
      <c r="M197" t="n">
        <v>3039</v>
      </c>
      <c r="N197" s="6" t="n">
        <v>39725</v>
      </c>
      <c r="O197" t="n">
        <v>99</v>
      </c>
      <c r="P197" s="21" t="n">
        <v>3.957673326592876</v>
      </c>
      <c r="Q197" t="inlineStr">
        <is>
          <t>EA</t>
        </is>
      </c>
      <c r="R197" t="inlineStr">
        <is>
          <t>М</t>
        </is>
      </c>
      <c r="S197" s="2">
        <f>HYPERLINK("https://yandex.ru/maps/?&amp;text=52.534065, 31.929647", "52.534065, 31.929647")</f>
        <v/>
      </c>
      <c r="T197" s="2">
        <f>HYPERLINK("D:\venv_torgi\env\cache\objs_in_district/52.534065_31.929647.json", "52.534065_31.929647.json")</f>
        <v/>
      </c>
      <c r="U197" t="inlineStr">
        <is>
          <t>32:31:0010320:536</t>
        </is>
      </c>
      <c r="V197" s="7" t="inlineStr">
        <is>
          <t>2</t>
        </is>
      </c>
      <c r="W197" s="20" t="n">
        <v>26866.27840984939</v>
      </c>
      <c r="X197" s="22" t="n">
        <v>21447.14797506679</v>
      </c>
      <c r="Y197" t="n">
        <v>0</v>
      </c>
    </row>
    <row r="198">
      <c r="A198" s="8" t="n">
        <v>196</v>
      </c>
      <c r="B198" t="n">
        <v>32</v>
      </c>
      <c r="C198" s="1" t="n">
        <v>49.4</v>
      </c>
      <c r="D198" s="2">
        <f>HYPERLINK("https://torgi.gov.ru/new/public/lots/lot/21000026170000000008_1/(lotInfo:info)", "21000026170000000008_1")</f>
        <v/>
      </c>
      <c r="E198" t="inlineStr">
        <is>
          <t>Нежилое помещение, расположенное по адресу: Российская Федерация, Брянская область, Новозыбковский городской округ, город Новозыбков, улица Коммунистическая, дом 31, помещение 4. Характеристика недвижимого имущества: Нежилое помещение, общая площадь 49.4 кв. м., фундаменты – ленточные бутобетонные, стены – кирпичные, окрашенные, перекрытия – деревянные, оштукатуренные, кровля – асбоцементная, четырехскатная по деревянным стропилам, полы – деревянные, покрытые линолеумом, частично цементные с керамической плиткой, проемы – деревянные, отделочные работы – штукатурка, частичная оклейка обоями, побелка, окраска, листы ГКЛ, внутренние санитарно – технические устройства – имеется электропроводка и освещение, центральный водопровод и канализация. Кадастровый номер: 32:31:0010320:532.</t>
        </is>
      </c>
      <c r="F198" s="3" t="inlineStr">
        <is>
          <t>30.08.22 14:00</t>
        </is>
      </c>
      <c r="G198" t="inlineStr">
        <is>
          <t>Брянская обл, г Новозыбков, ул Коммунистическая, д 31</t>
        </is>
      </c>
      <c r="H198" s="4" t="n">
        <v>293280</v>
      </c>
      <c r="I198" s="4" t="n">
        <v>5936.842105263158</v>
      </c>
      <c r="J198" t="inlineStr">
        <is>
          <t>Нежилое помещение</t>
        </is>
      </c>
      <c r="K198" s="5" t="n">
        <v>1.95</v>
      </c>
      <c r="L198" s="4" t="n">
        <v>59.96</v>
      </c>
      <c r="M198" t="n">
        <v>3039</v>
      </c>
      <c r="N198" s="6" t="n">
        <v>39725</v>
      </c>
      <c r="O198" t="n">
        <v>99</v>
      </c>
      <c r="P198" s="21" t="n">
        <v>3.525348313715766</v>
      </c>
      <c r="Q198" t="inlineStr">
        <is>
          <t>EA</t>
        </is>
      </c>
      <c r="R198" t="inlineStr">
        <is>
          <t>М</t>
        </is>
      </c>
      <c r="S198" s="2">
        <f>HYPERLINK("https://yandex.ru/maps/?&amp;text=52.534065, 31.929647", "52.534065, 31.929647")</f>
        <v/>
      </c>
      <c r="T198" s="2">
        <f>HYPERLINK("D:\venv_torgi\env\cache\objs_in_district/52.534065_31.929647.json", "52.534065_31.929647.json")</f>
        <v/>
      </c>
      <c r="U198" t="inlineStr">
        <is>
          <t>32:31:0010320:532</t>
        </is>
      </c>
      <c r="V198" s="7" t="inlineStr">
        <is>
          <t>1</t>
        </is>
      </c>
      <c r="W198" s="20" t="n">
        <v>26866.27840984939</v>
      </c>
      <c r="X198" s="22" t="n">
        <v>20929.43630458623</v>
      </c>
      <c r="Y198" t="n">
        <v>0</v>
      </c>
    </row>
    <row r="199">
      <c r="A199" s="8" t="n">
        <v>197</v>
      </c>
      <c r="B199" t="n">
        <v>32</v>
      </c>
      <c r="C199" s="1" t="n">
        <v>556.9</v>
      </c>
      <c r="D199" s="2">
        <f>HYPERLINK("https://torgi.gov.ru/new/public/lots/lot/21000008500000000169_1/(lotInfo:info)", "21000008500000000169_1")</f>
        <v/>
      </c>
      <c r="E199" t="inlineStr">
        <is>
          <t>Находящееся в муниципальной собственности нежилое помещение - магазин площадью 556,9 кв.м. (этаж № 01, подвал), расположенное по адресу: Брянская область, г. Брянск, ул.Луначарского, д.12, кадастровый номер 32:28:0032013:247</t>
        </is>
      </c>
      <c r="F199" s="3" t="inlineStr">
        <is>
          <t>09.09.22 10:00</t>
        </is>
      </c>
      <c r="G199" t="inlineStr">
        <is>
          <t>г Брянск, ул Луначарского, д 12</t>
        </is>
      </c>
      <c r="H199" s="4" t="n">
        <v>3525664.85</v>
      </c>
      <c r="I199" s="4" t="n">
        <v>6330.876010055666</v>
      </c>
      <c r="J199" t="inlineStr">
        <is>
          <t>магазин</t>
        </is>
      </c>
      <c r="K199" s="5" t="n">
        <v>1.58</v>
      </c>
      <c r="L199" s="4" t="n">
        <v>351.67</v>
      </c>
      <c r="M199" t="n">
        <v>3999</v>
      </c>
      <c r="N199" s="6" t="n">
        <v>418062</v>
      </c>
      <c r="O199" t="n">
        <v>18</v>
      </c>
      <c r="P199" s="21" t="n">
        <v>0.1973529772538562</v>
      </c>
      <c r="Q199" t="inlineStr">
        <is>
          <t>EA</t>
        </is>
      </c>
      <c r="R199" t="inlineStr">
        <is>
          <t>М</t>
        </is>
      </c>
      <c r="S199" s="2">
        <f>HYPERLINK("https://yandex.ru/maps/?&amp;text=53.233716, 34.359814", "53.233716, 34.359814")</f>
        <v/>
      </c>
      <c r="T199" s="2">
        <f>HYPERLINK("D:\venv_torgi\env\cache\objs_in_district/53.233716_34.359814.json", "53.233716_34.359814.json")</f>
        <v/>
      </c>
      <c r="U199" t="inlineStr">
        <is>
          <t>32:28:0032013:247</t>
        </is>
      </c>
      <c r="V199" s="7" t="inlineStr">
        <is>
          <t>1</t>
        </is>
      </c>
      <c r="W199" s="20" t="n">
        <v>7580.293239265166</v>
      </c>
      <c r="X199" s="22" t="n">
        <v>1249.4172292095</v>
      </c>
      <c r="Y199" t="n">
        <v>0</v>
      </c>
    </row>
    <row r="200">
      <c r="A200" s="8" t="n">
        <v>198</v>
      </c>
      <c r="B200" t="n">
        <v>32</v>
      </c>
      <c r="C200" s="1" t="n">
        <v>184.1</v>
      </c>
      <c r="D200" s="2">
        <f>HYPERLINK("https://torgi.gov.ru/new/public/lots/lot/21000008500000000186_1/(lotInfo:info)", "21000008500000000186_1")</f>
        <v/>
      </c>
      <c r="E200" t="inlineStr">
        <is>
          <t>Находящееся в муниципальной собственности помещение площадью 184,1 кв.м. (этаж № 1), расположенное по адресу: Брянская область, г. Брянск, пер.Камвольный, д.6, кадастровый номер  32:28:0011603:1468</t>
        </is>
      </c>
      <c r="F200" s="3" t="inlineStr">
        <is>
          <t>22.09.22 10:00</t>
        </is>
      </c>
      <c r="G200" t="inlineStr">
        <is>
          <t>г Брянск, Камвольный пер, д 6</t>
        </is>
      </c>
      <c r="H200" s="4" t="n">
        <v>1536000</v>
      </c>
      <c r="I200" s="4" t="n">
        <v>8343.291689299294</v>
      </c>
      <c r="J200" t="inlineStr">
        <is>
          <t>Нежилое помещение</t>
        </is>
      </c>
      <c r="K200" s="5" t="n">
        <v>32.72</v>
      </c>
      <c r="L200" s="4" t="n">
        <v>758.45</v>
      </c>
      <c r="M200" t="n">
        <v>255</v>
      </c>
      <c r="N200" s="6" t="n">
        <v>418062</v>
      </c>
      <c r="O200" t="n">
        <v>11</v>
      </c>
      <c r="P200" s="21" t="n">
        <v>0.2206880705918864</v>
      </c>
      <c r="Q200" t="inlineStr">
        <is>
          <t>EA</t>
        </is>
      </c>
      <c r="R200" t="inlineStr">
        <is>
          <t>М</t>
        </is>
      </c>
      <c r="S200" s="2">
        <f>HYPERLINK("https://yandex.ru/maps/?&amp;text=53.34335, 34.308037", "53.34335, 34.308037")</f>
        <v/>
      </c>
      <c r="T200" s="2">
        <f>HYPERLINK("D:\venv_torgi\env\cache\objs_in_district/53.34335_34.308037.json", "53.34335_34.308037.json")</f>
        <v/>
      </c>
      <c r="U200" t="inlineStr">
        <is>
          <t>32:28:0011603:1468</t>
        </is>
      </c>
      <c r="V200" s="7" t="inlineStr">
        <is>
          <t>1</t>
        </is>
      </c>
      <c r="W200" s="20" t="n">
        <v>10184.55663459608</v>
      </c>
      <c r="X200" s="22" t="n">
        <v>1841.264945296782</v>
      </c>
      <c r="Y200" t="n">
        <v>0</v>
      </c>
    </row>
    <row r="201">
      <c r="A201" s="8" t="n">
        <v>199</v>
      </c>
      <c r="B201" t="n">
        <v>32</v>
      </c>
      <c r="C201" s="1" t="n">
        <v>261.6</v>
      </c>
      <c r="D201" s="2">
        <f>HYPERLINK("https://torgi.gov.ru/new/public/lots/lot/21000008500000000175_1/(lotInfo:info)", "21000008500000000175_1")</f>
        <v/>
      </c>
      <c r="E201" t="inlineStr">
        <is>
          <t>Находящееся в муниципальной собственности нежилое помещение площадью 261,6 кв.м. (этаж № 1), расположенное по адресу: Брянская область, г.Брянск, пер.Камвольный, д.10, кадастровый номер 32:28:0011603:1372</t>
        </is>
      </c>
      <c r="F201" s="3" t="inlineStr">
        <is>
          <t>09.09.22 10:00</t>
        </is>
      </c>
      <c r="G201" t="inlineStr">
        <is>
          <t>г Брянск, Камвольный пер, д 10</t>
        </is>
      </c>
      <c r="H201" s="4" t="n">
        <v>2523263.84</v>
      </c>
      <c r="I201" s="4" t="n">
        <v>9645.503975535166</v>
      </c>
      <c r="J201" t="inlineStr">
        <is>
          <t>Нежилое помещение</t>
        </is>
      </c>
      <c r="K201" s="5" t="n">
        <v>29.5</v>
      </c>
      <c r="L201" s="4" t="n">
        <v>1205.62</v>
      </c>
      <c r="M201" t="n">
        <v>327</v>
      </c>
      <c r="N201" s="6" t="n">
        <v>418062</v>
      </c>
      <c r="O201" t="n">
        <v>8</v>
      </c>
      <c r="P201" s="21" t="n">
        <v>0.05588641717718033</v>
      </c>
      <c r="Q201" t="inlineStr">
        <is>
          <t>EA</t>
        </is>
      </c>
      <c r="R201" t="inlineStr">
        <is>
          <t>М</t>
        </is>
      </c>
      <c r="S201" s="2">
        <f>HYPERLINK("https://yandex.ru/maps/?&amp;text=53.344683, 34.308188", "53.344683, 34.308188")</f>
        <v/>
      </c>
      <c r="T201" s="2">
        <f>HYPERLINK("D:\venv_torgi\env\cache\objs_in_district/53.344683_34.308188.json", "53.344683_34.308188.json")</f>
        <v/>
      </c>
      <c r="U201" t="inlineStr">
        <is>
          <t>32:28:0011603:1372</t>
        </is>
      </c>
      <c r="V201" s="7" t="inlineStr">
        <is>
          <t>1</t>
        </is>
      </c>
      <c r="W201" s="20" t="n">
        <v>10184.55663459608</v>
      </c>
      <c r="X201" s="22" t="n">
        <v>539.0526590609097</v>
      </c>
      <c r="Y201" t="n">
        <v>0</v>
      </c>
    </row>
    <row r="202">
      <c r="A202" s="8" t="n">
        <v>200</v>
      </c>
      <c r="B202" t="n">
        <v>32</v>
      </c>
      <c r="C202" s="1" t="n">
        <v>125.6</v>
      </c>
      <c r="D202" s="2">
        <f>HYPERLINK("https://torgi.gov.ru/new/public/lots/lot/21000008500000000180_1/(lotInfo:info)", "21000008500000000180_1")</f>
        <v/>
      </c>
      <c r="E202" t="inlineStr">
        <is>
          <t>Находящееся в муниципальной собственности нежилое помещение площадью 125,6 кв.м. (этаж № 1), расположенное по адресу: Брянская область, г.Брянск, пер.Камвольный, д.8, кадастровый номер 32:28:0011603:1407</t>
        </is>
      </c>
      <c r="F202" s="3" t="inlineStr">
        <is>
          <t>19.09.22 10:00</t>
        </is>
      </c>
      <c r="G202" t="inlineStr">
        <is>
          <t>г Брянск, Камвольный пер, д 8</t>
        </is>
      </c>
      <c r="H202" s="4" t="n">
        <v>1336853.24</v>
      </c>
      <c r="I202" s="4" t="n">
        <v>10643.73598726115</v>
      </c>
      <c r="J202" t="inlineStr">
        <is>
          <t>Нежилое помещение</t>
        </is>
      </c>
      <c r="K202" s="5" t="n">
        <v>43.8</v>
      </c>
      <c r="L202" s="4" t="n">
        <v>1064.3</v>
      </c>
      <c r="M202" t="n">
        <v>243</v>
      </c>
      <c r="N202" s="6" t="n">
        <v>418062</v>
      </c>
      <c r="O202" t="n">
        <v>10</v>
      </c>
      <c r="P202" s="21" t="n">
        <v>0.52414193694181</v>
      </c>
      <c r="Q202" t="inlineStr">
        <is>
          <t>EA</t>
        </is>
      </c>
      <c r="R202" t="inlineStr">
        <is>
          <t>М</t>
        </is>
      </c>
      <c r="S202" s="2">
        <f>HYPERLINK("https://yandex.ru/maps/?&amp;text=53.344017, 34.308105", "53.344017, 34.308105")</f>
        <v/>
      </c>
      <c r="T202" s="2">
        <f>HYPERLINK("D:\venv_torgi\env\cache\objs_in_district/53.344017_34.308105.json", "53.344017_34.308105.json")</f>
        <v/>
      </c>
      <c r="U202" t="inlineStr">
        <is>
          <t>32:28:0011603:1407</t>
        </is>
      </c>
      <c r="V202" s="7" t="inlineStr">
        <is>
          <t>1</t>
        </is>
      </c>
      <c r="W202" s="20" t="n">
        <v>16222.56438392146</v>
      </c>
      <c r="X202" s="22" t="n">
        <v>5578.828396660307</v>
      </c>
      <c r="Y202" t="n">
        <v>0</v>
      </c>
    </row>
    <row r="203">
      <c r="A203" s="8" t="n">
        <v>201</v>
      </c>
      <c r="B203" t="n">
        <v>32</v>
      </c>
      <c r="C203" s="1" t="n">
        <v>495.7</v>
      </c>
      <c r="D203" s="2">
        <f>HYPERLINK("https://torgi.gov.ru/new/public/lots/lot/21000008500000000162_1/(lotInfo:info)", "21000008500000000162_1")</f>
        <v/>
      </c>
      <c r="E203" t="inlineStr">
        <is>
          <t>Находящееся в муниципальной собственности нежилое помещение площадью 495,7 кв.м. (этаж № 1), расположенное по адресу: Брянская область, г.Брянск, ул.Одесская, д.3, пом.1, кадастровый номер 32:28:0021313:262</t>
        </is>
      </c>
      <c r="F203" s="3" t="inlineStr">
        <is>
          <t>05.09.22 10:00</t>
        </is>
      </c>
      <c r="G203" t="inlineStr">
        <is>
          <t>г Брянск, ул Одесская, д 3</t>
        </is>
      </c>
      <c r="H203" s="4" t="n">
        <v>5600000</v>
      </c>
      <c r="I203" s="4" t="n">
        <v>11297.15553762356</v>
      </c>
      <c r="J203" t="inlineStr">
        <is>
          <t>Нежилое помещение</t>
        </is>
      </c>
      <c r="K203" s="5" t="n">
        <v>2.14</v>
      </c>
      <c r="L203" s="4" t="n">
        <v>664.53</v>
      </c>
      <c r="M203" t="n">
        <v>5287</v>
      </c>
      <c r="N203" s="6" t="n">
        <v>418062</v>
      </c>
      <c r="O203" t="n">
        <v>17</v>
      </c>
      <c r="Q203" t="inlineStr">
        <is>
          <t>EA</t>
        </is>
      </c>
      <c r="R203" t="inlineStr">
        <is>
          <t>М</t>
        </is>
      </c>
      <c r="S203" s="2">
        <f>HYPERLINK("https://yandex.ru/maps/?&amp;text=53.268848, 34.408566", "53.268848, 34.408566")</f>
        <v/>
      </c>
      <c r="T203" s="2">
        <f>HYPERLINK("D:\venv_torgi\env\cache\objs_in_district/53.268848_34.408566.json", "53.268848_34.408566.json")</f>
        <v/>
      </c>
      <c r="U203" t="inlineStr">
        <is>
          <t>32:28:0021313:262</t>
        </is>
      </c>
      <c r="V203" s="7" t="inlineStr">
        <is>
          <t>1</t>
        </is>
      </c>
      <c r="W203" s="20" t="n">
        <v>7580.293239265166</v>
      </c>
      <c r="X203" s="23" t="n">
        <v>-3716.862298358394</v>
      </c>
      <c r="Y203" t="n">
        <v>0</v>
      </c>
    </row>
    <row r="204">
      <c r="A204" s="8" t="n">
        <v>202</v>
      </c>
      <c r="B204" t="n">
        <v>32</v>
      </c>
      <c r="C204" s="1" t="n">
        <v>428.9</v>
      </c>
      <c r="D204" s="2">
        <f>HYPERLINK("https://torgi.gov.ru/new/public/lots/lot/21000008500000000178_1/(lotInfo:info)", "21000008500000000178_1")</f>
        <v/>
      </c>
      <c r="E204" t="inlineStr">
        <is>
          <t>Находящееся в муниципальной собственности нежилое помещение площадью 428,9 кв.м. (этаж № 1), расположенное по адресу: Брянская область, г. Брянск, ул. Шоссейная, д.61, пом.I, кадастровый номер 32:28:0013104:175</t>
        </is>
      </c>
      <c r="F204" s="3" t="inlineStr">
        <is>
          <t>15.09.22 10:00</t>
        </is>
      </c>
      <c r="G204" t="inlineStr">
        <is>
          <t>г Брянск, ул Шоссейная, д 61</t>
        </is>
      </c>
      <c r="H204" s="4" t="n">
        <v>4860000</v>
      </c>
      <c r="I204" s="4" t="n">
        <v>11331.31266029378</v>
      </c>
      <c r="J204" t="inlineStr">
        <is>
          <t>Нежилое помещение</t>
        </is>
      </c>
      <c r="K204" s="5" t="n">
        <v>30.71</v>
      </c>
      <c r="L204" s="4" t="n">
        <v>3777</v>
      </c>
      <c r="M204" t="n">
        <v>369</v>
      </c>
      <c r="N204" s="6" t="n">
        <v>418062</v>
      </c>
      <c r="O204" t="n">
        <v>3</v>
      </c>
      <c r="Q204" t="inlineStr">
        <is>
          <t>PP</t>
        </is>
      </c>
      <c r="R204" t="inlineStr">
        <is>
          <t>М</t>
        </is>
      </c>
      <c r="S204" s="2">
        <f>HYPERLINK("https://yandex.ru/maps/?&amp;text=53.333817, 34.223488", "53.333817, 34.223488")</f>
        <v/>
      </c>
      <c r="T204" s="2">
        <f>HYPERLINK("D:\venv_torgi\env\cache\objs_in_district/53.333817_34.223488.json", "53.333817_34.223488.json")</f>
        <v/>
      </c>
      <c r="U204" t="inlineStr">
        <is>
          <t>32:28:0013104:175</t>
        </is>
      </c>
      <c r="V204" s="7" t="inlineStr">
        <is>
          <t>1</t>
        </is>
      </c>
      <c r="W204" s="20" t="n">
        <v>4495.121984005761</v>
      </c>
      <c r="X204" s="23" t="n">
        <v>-6836.190676288018</v>
      </c>
      <c r="Y204" t="n">
        <v>0</v>
      </c>
    </row>
    <row r="205">
      <c r="A205" s="8" t="n">
        <v>203</v>
      </c>
      <c r="B205" t="n">
        <v>32</v>
      </c>
      <c r="C205" s="1" t="n">
        <v>300.4</v>
      </c>
      <c r="D205" s="2">
        <f>HYPERLINK("https://torgi.gov.ru/new/public/lots/lot/21000008500000000168_1/(lotInfo:info)", "21000008500000000168_1")</f>
        <v/>
      </c>
      <c r="E205" t="inlineStr">
        <is>
          <t>Находящееся в муниципальной собственности нежилое помещение площадью 300,4 кв.м. (этаж № 1), расположенное по адресу: Брянская область, г.Брянск, ул.Почтовая, д.130, кадастровый номер 32:28:0011703:1911</t>
        </is>
      </c>
      <c r="F205" s="3" t="inlineStr">
        <is>
          <t>06.09.22 10:00</t>
        </is>
      </c>
      <c r="G205" t="inlineStr">
        <is>
          <t>г Брянск, ул Почтовая, д 130</t>
        </is>
      </c>
      <c r="H205" s="4" t="n">
        <v>3500000</v>
      </c>
      <c r="I205" s="4" t="n">
        <v>11651.13182423436</v>
      </c>
      <c r="J205" t="inlineStr">
        <is>
          <t>Нежилое помещение</t>
        </is>
      </c>
      <c r="K205" s="5" t="n">
        <v>27.35</v>
      </c>
      <c r="L205" s="4" t="n">
        <v>5825.5</v>
      </c>
      <c r="M205" t="n">
        <v>426</v>
      </c>
      <c r="N205" s="6" t="n">
        <v>418062</v>
      </c>
      <c r="O205" t="n">
        <v>2</v>
      </c>
      <c r="Q205" t="inlineStr">
        <is>
          <t>EA</t>
        </is>
      </c>
      <c r="R205" t="inlineStr">
        <is>
          <t>М</t>
        </is>
      </c>
      <c r="S205" s="2">
        <f>HYPERLINK("https://yandex.ru/maps/?&amp;text=53.345564, 34.314278", "53.345564, 34.314278")</f>
        <v/>
      </c>
      <c r="T205" s="2">
        <f>HYPERLINK("D:\venv_torgi\env\cache\objs_in_district/53.345564_34.314278.json", "53.345564_34.314278.json")</f>
        <v/>
      </c>
      <c r="U205" t="inlineStr">
        <is>
          <t>32:28:0011703:1911</t>
        </is>
      </c>
      <c r="V205" s="7" t="inlineStr">
        <is>
          <t>1</t>
        </is>
      </c>
      <c r="W205" s="20" t="n">
        <v>10184.55663459608</v>
      </c>
      <c r="X205" s="23" t="n">
        <v>-1466.575189638284</v>
      </c>
      <c r="Y205" t="n">
        <v>0</v>
      </c>
    </row>
    <row r="206">
      <c r="A206" s="8" t="n">
        <v>204</v>
      </c>
      <c r="B206" t="n">
        <v>32</v>
      </c>
      <c r="C206" s="1" t="n">
        <v>105.4</v>
      </c>
      <c r="D206" s="2">
        <f>HYPERLINK("https://torgi.gov.ru/new/public/lots/lot/21000008500000000145_1/(lotInfo:info)", "21000008500000000145_1")</f>
        <v/>
      </c>
      <c r="E206" t="inlineStr">
        <is>
          <t>Находящееся в муниципальной собственности нежилое помещение площадью 105,4 кв.м. (этаж № 1), расположенное по адресу: Брянская область, г.Брянск, ул.Володарского, д.70, кадастровый номер 32:28:0021202:615</t>
        </is>
      </c>
      <c r="F206" s="3" t="inlineStr">
        <is>
          <t>29.08.22 10:00</t>
        </is>
      </c>
      <c r="G206" t="inlineStr">
        <is>
          <t>г Брянск, ул Володарского, д 70</t>
        </is>
      </c>
      <c r="H206" s="4" t="n">
        <v>1263000</v>
      </c>
      <c r="I206" s="4" t="n">
        <v>11982.92220113852</v>
      </c>
      <c r="J206" t="inlineStr">
        <is>
          <t>Нежилое помещение</t>
        </is>
      </c>
      <c r="K206" s="5" t="n">
        <v>2.97</v>
      </c>
      <c r="L206" s="4" t="n">
        <v>855.86</v>
      </c>
      <c r="M206" t="n">
        <v>4038</v>
      </c>
      <c r="N206" s="6" t="n">
        <v>418062</v>
      </c>
      <c r="O206" t="n">
        <v>14</v>
      </c>
      <c r="P206" s="21" t="n">
        <v>1.242047303561462</v>
      </c>
      <c r="Q206" t="inlineStr">
        <is>
          <t>EA</t>
        </is>
      </c>
      <c r="R206" t="inlineStr">
        <is>
          <t>М</t>
        </is>
      </c>
      <c r="S206" s="2">
        <f>HYPERLINK("https://yandex.ru/maps/?&amp;text=53.275278, 34.393788", "53.275278, 34.393788")</f>
        <v/>
      </c>
      <c r="T206" s="2">
        <f>HYPERLINK("D:\venv_torgi\env\cache\objs_in_district/53.275278_34.393788.json", "53.275278_34.393788.json")</f>
        <v/>
      </c>
      <c r="U206" t="inlineStr">
        <is>
          <t>32:28:0021202:615</t>
        </is>
      </c>
      <c r="V206" s="7" t="inlineStr">
        <is>
          <t>1</t>
        </is>
      </c>
      <c r="W206" s="20" t="n">
        <v>26866.27840984939</v>
      </c>
      <c r="X206" s="22" t="n">
        <v>14883.35620871087</v>
      </c>
      <c r="Y206" t="n">
        <v>0</v>
      </c>
    </row>
    <row r="207">
      <c r="A207" s="8" t="n">
        <v>205</v>
      </c>
      <c r="B207" t="n">
        <v>32</v>
      </c>
      <c r="C207" s="1" t="n">
        <v>12.3</v>
      </c>
      <c r="D207" s="2">
        <f>HYPERLINK("https://torgi.gov.ru/new/public/lots/lot/21000008500000000161_1/(lotInfo:info)", "21000008500000000161_1")</f>
        <v/>
      </c>
      <c r="E207" t="inlineStr">
        <is>
          <t>Находящееся в муниципальной собственности нежилое помещение площадью 12,3 кв.м. (этаж № 1), расположенное по адресу: Брянская область, г.Брянск, ул.Медведева, д.80, кадастровый номер 32:28:0014602:145</t>
        </is>
      </c>
      <c r="F207" s="3" t="inlineStr">
        <is>
          <t>05.09.22 10:00</t>
        </is>
      </c>
      <c r="G207" t="inlineStr">
        <is>
          <t>г Брянск, ул Медведева, д 80</t>
        </is>
      </c>
      <c r="H207" s="4" t="n">
        <v>150000</v>
      </c>
      <c r="I207" s="4" t="n">
        <v>12195.12195121951</v>
      </c>
      <c r="J207" t="inlineStr">
        <is>
          <t>Нежилое помещение</t>
        </is>
      </c>
      <c r="K207" s="5" t="n">
        <v>23.59</v>
      </c>
      <c r="M207" t="n">
        <v>517</v>
      </c>
      <c r="N207" s="6" t="n">
        <v>418062</v>
      </c>
      <c r="P207" s="21" t="n">
        <v>2.16741334831994</v>
      </c>
      <c r="Q207" t="inlineStr">
        <is>
          <t>EA</t>
        </is>
      </c>
      <c r="R207" t="inlineStr">
        <is>
          <t>М</t>
        </is>
      </c>
      <c r="S207" s="2">
        <f>HYPERLINK("https://yandex.ru/maps/?&amp;text=53.311302, 34.290868", "53.311302, 34.290868")</f>
        <v/>
      </c>
      <c r="U207" t="inlineStr">
        <is>
          <t>32:28:0014602:145</t>
        </is>
      </c>
      <c r="V207" s="7" t="inlineStr">
        <is>
          <t>1</t>
        </is>
      </c>
      <c r="W207" s="20" t="n">
        <v>38626.9920526822</v>
      </c>
      <c r="X207" s="22" t="n">
        <v>26431.87010146269</v>
      </c>
      <c r="Y207" t="n">
        <v>0</v>
      </c>
    </row>
    <row r="208">
      <c r="A208" s="8" t="n">
        <v>206</v>
      </c>
      <c r="B208" t="n">
        <v>32</v>
      </c>
      <c r="C208" s="1" t="n">
        <v>174.1</v>
      </c>
      <c r="D208" s="2">
        <f>HYPERLINK("https://torgi.gov.ru/new/public/lots/lot/21000008500000000184_1/(lotInfo:info)", "21000008500000000184_1")</f>
        <v/>
      </c>
      <c r="E208" t="inlineStr">
        <is>
          <t>Находящееся в муниципальной собственности нежилое помещение площадью 174,1 кв.м. (цокольный этаж), расположенное по адресу: Брянская область, г. Брянск, ул.Кромская, д.43, кадастровый номер 32:28:0014410:54</t>
        </is>
      </c>
      <c r="F208" s="3" t="inlineStr">
        <is>
          <t>19.09.22 10:00</t>
        </is>
      </c>
      <c r="G208" t="inlineStr">
        <is>
          <t>г Брянск, ул Кромская, д 43</t>
        </is>
      </c>
      <c r="H208" s="4" t="n">
        <v>2348607.61</v>
      </c>
      <c r="I208" s="4" t="n">
        <v>13489.99201608271</v>
      </c>
      <c r="J208" t="inlineStr">
        <is>
          <t>Нежилое помещение</t>
        </is>
      </c>
      <c r="K208" s="5" t="n">
        <v>7.53</v>
      </c>
      <c r="L208" s="4" t="n">
        <v>674.45</v>
      </c>
      <c r="M208" t="n">
        <v>1792</v>
      </c>
      <c r="N208" s="6" t="n">
        <v>418062</v>
      </c>
      <c r="O208" t="n">
        <v>20</v>
      </c>
      <c r="P208" s="21" t="n">
        <v>0.2585819035539508</v>
      </c>
      <c r="Q208" t="inlineStr">
        <is>
          <t>EA</t>
        </is>
      </c>
      <c r="R208" t="inlineStr">
        <is>
          <t>М</t>
        </is>
      </c>
      <c r="S208" s="2">
        <f>HYPERLINK("https://yandex.ru/maps/?&amp;text=53.316101, 34.287751", "53.316101, 34.287751")</f>
        <v/>
      </c>
      <c r="T208" s="2">
        <f>HYPERLINK("D:\venv_torgi\env\cache\objs_in_district/53.316101_34.287751.json", "53.316101_34.287751.json")</f>
        <v/>
      </c>
      <c r="U208" t="inlineStr">
        <is>
          <t>32:28:0014410:54</t>
        </is>
      </c>
      <c r="V208" s="7" t="inlineStr">
        <is>
          <t>0</t>
        </is>
      </c>
      <c r="W208" s="20" t="n">
        <v>16978.25983052898</v>
      </c>
      <c r="X208" s="22" t="n">
        <v>3488.267814446266</v>
      </c>
      <c r="Y208" t="n">
        <v>0</v>
      </c>
    </row>
    <row r="209">
      <c r="A209" s="8" t="n">
        <v>207</v>
      </c>
      <c r="B209" t="n">
        <v>32</v>
      </c>
      <c r="C209" s="1" t="n">
        <v>131.8</v>
      </c>
      <c r="D209" s="2">
        <f>HYPERLINK("https://torgi.gov.ru/new/public/lots/lot/21000008500000000146_1/(lotInfo:info)", "21000008500000000146_1")</f>
        <v/>
      </c>
      <c r="E209" t="inlineStr">
        <is>
          <t>Находящееся в муниципальной собственности нежилое помещение площадью 131,8 кв.м. (этаж № 1), расположенное по адресу: Брянская область, г.Брянск, ул.Вокзальная, д.170, кадастровый номер 32:28:0010501:2348</t>
        </is>
      </c>
      <c r="F209" s="3" t="inlineStr">
        <is>
          <t>29.08.22 10:00</t>
        </is>
      </c>
      <c r="G209" t="inlineStr">
        <is>
          <t>г Брянск, ул Вокзальная, д 170</t>
        </is>
      </c>
      <c r="H209" s="4" t="n">
        <v>1899000</v>
      </c>
      <c r="I209" s="4" t="n">
        <v>14408.1942336874</v>
      </c>
      <c r="J209" t="inlineStr">
        <is>
          <t>Нежилое помещение</t>
        </is>
      </c>
      <c r="K209" s="5" t="n">
        <v>92.95</v>
      </c>
      <c r="L209" s="4" t="n">
        <v>7204</v>
      </c>
      <c r="M209" t="n">
        <v>155</v>
      </c>
      <c r="N209" s="6" t="n">
        <v>418062</v>
      </c>
      <c r="O209" t="n">
        <v>2</v>
      </c>
      <c r="P209" s="21" t="n">
        <v>0.1259262695107155</v>
      </c>
      <c r="Q209" t="inlineStr">
        <is>
          <t>EA</t>
        </is>
      </c>
      <c r="R209" t="inlineStr">
        <is>
          <t>М</t>
        </is>
      </c>
      <c r="S209" s="2">
        <f>HYPERLINK("https://yandex.ru/maps/?&amp;text=53.333037, 34.245746", "53.333037, 34.245746")</f>
        <v/>
      </c>
      <c r="T209" s="2">
        <f>HYPERLINK("D:\venv_torgi\env\cache\objs_in_district/53.333037_34.245746.json", "53.333037_34.245746.json")</f>
        <v/>
      </c>
      <c r="U209" t="inlineStr">
        <is>
          <t>32:28:0010501:2348</t>
        </is>
      </c>
      <c r="V209" s="7" t="inlineStr">
        <is>
          <t>1</t>
        </is>
      </c>
      <c r="W209" s="20" t="n">
        <v>16222.56438392146</v>
      </c>
      <c r="X209" s="22" t="n">
        <v>1814.370150234057</v>
      </c>
      <c r="Y209" t="n">
        <v>0</v>
      </c>
    </row>
    <row r="210">
      <c r="A210" s="8" t="n">
        <v>208</v>
      </c>
      <c r="B210" t="n">
        <v>32</v>
      </c>
      <c r="C210" s="1" t="n">
        <v>32.8</v>
      </c>
      <c r="D210" s="2">
        <f>HYPERLINK("https://torgi.gov.ru/new/public/lots/lot/21000008500000000147_1/(lotInfo:info)", "21000008500000000147_1")</f>
        <v/>
      </c>
      <c r="E210" t="inlineStr">
        <is>
          <t>Находящееся в муниципальной собственности нежилое помещение площадью 32,8 кв.м. (этаж № 1), расположенное по адресу: Брянская область, г.Брянск, ул.Красных Партизан, д.16,пом.I, кадастровый номер 32:28:0042417:505</t>
        </is>
      </c>
      <c r="F210" s="3" t="inlineStr">
        <is>
          <t>29.08.22 10:00</t>
        </is>
      </c>
      <c r="G210" t="inlineStr">
        <is>
          <t>г Брянск, ул Красных Партизан, д 16</t>
        </is>
      </c>
      <c r="H210" s="4" t="n">
        <v>480000</v>
      </c>
      <c r="I210" s="4" t="n">
        <v>14634.14634146342</v>
      </c>
      <c r="J210" t="inlineStr">
        <is>
          <t>Нежилое помещение</t>
        </is>
      </c>
      <c r="K210" s="5" t="n">
        <v>2.5</v>
      </c>
      <c r="M210" t="n">
        <v>5852</v>
      </c>
      <c r="N210" s="6" t="n">
        <v>418062</v>
      </c>
      <c r="P210" s="21" t="n">
        <v>0.8358623580063748</v>
      </c>
      <c r="Q210" t="inlineStr">
        <is>
          <t>EA</t>
        </is>
      </c>
      <c r="R210" t="inlineStr">
        <is>
          <t>М</t>
        </is>
      </c>
      <c r="S210" s="2">
        <f>HYPERLINK("https://yandex.ru/maps/?&amp;text=53.208683, 34.41374", "53.208683, 34.41374")</f>
        <v/>
      </c>
      <c r="U210" t="inlineStr">
        <is>
          <t>32:28:0042417:505</t>
        </is>
      </c>
      <c r="V210" s="7" t="inlineStr">
        <is>
          <t>1</t>
        </is>
      </c>
      <c r="W210" s="20" t="n">
        <v>26866.27840984939</v>
      </c>
      <c r="X210" s="22" t="n">
        <v>12232.13206838597</v>
      </c>
      <c r="Y210" t="n">
        <v>0</v>
      </c>
    </row>
    <row r="211">
      <c r="A211" s="8" t="n">
        <v>209</v>
      </c>
      <c r="B211" t="n">
        <v>32</v>
      </c>
      <c r="C211" s="1" t="n">
        <v>17.6</v>
      </c>
      <c r="D211" s="2">
        <f>HYPERLINK("https://torgi.gov.ru/new/public/lots/lot/21000008500000000154_1/(lotInfo:info)", "21000008500000000154_1")</f>
        <v/>
      </c>
      <c r="E211" t="inlineStr">
        <is>
          <t>Находящееся в муниципальной собственности нежилое помещение площадью 17,6 кв.м. (этаж № 1), расположенное по адресу: Брянская область, г.Брянск, ул.50-й Армии, д.7, кадастровый номер 32:28:0011603:979</t>
        </is>
      </c>
      <c r="F211" s="3" t="inlineStr">
        <is>
          <t>30.08.22 10:00</t>
        </is>
      </c>
      <c r="G211" t="inlineStr">
        <is>
          <t>г Брянск, ул 50-й Армии, д 7</t>
        </is>
      </c>
      <c r="H211" s="4" t="n">
        <v>280000</v>
      </c>
      <c r="I211" s="4" t="n">
        <v>15909.09090909091</v>
      </c>
      <c r="J211" t="inlineStr">
        <is>
          <t>Нежилое помещение</t>
        </is>
      </c>
      <c r="K211" s="5" t="n">
        <v>167.46</v>
      </c>
      <c r="M211" t="n">
        <v>95</v>
      </c>
      <c r="N211" s="6" t="n">
        <v>418062</v>
      </c>
      <c r="P211" s="21" t="n">
        <v>1.427982357597166</v>
      </c>
      <c r="Q211" t="inlineStr">
        <is>
          <t>EA</t>
        </is>
      </c>
      <c r="R211" t="inlineStr">
        <is>
          <t>М</t>
        </is>
      </c>
      <c r="S211" s="2">
        <f>HYPERLINK("https://yandex.ru/maps/?&amp;text=53.341667, 34.309005", "53.341667, 34.309005")</f>
        <v/>
      </c>
      <c r="U211" t="inlineStr">
        <is>
          <t>32:28:0011603:979</t>
        </is>
      </c>
      <c r="V211" s="7" t="inlineStr">
        <is>
          <t>1</t>
        </is>
      </c>
      <c r="W211" s="20" t="n">
        <v>38626.9920526822</v>
      </c>
      <c r="X211" s="22" t="n">
        <v>22717.90114359128</v>
      </c>
      <c r="Y211" t="n">
        <v>0</v>
      </c>
    </row>
    <row r="212">
      <c r="A212" s="8" t="n">
        <v>210</v>
      </c>
      <c r="B212" t="n">
        <v>32</v>
      </c>
      <c r="C212" s="1" t="n">
        <v>36.9</v>
      </c>
      <c r="D212" s="2">
        <f>HYPERLINK("https://torgi.gov.ru/new/public/lots/lot/21000008500000000166_1/(lotInfo:info)", "21000008500000000166_1")</f>
        <v/>
      </c>
      <c r="E212" t="inlineStr">
        <is>
          <t>Находящееся в муниципальной собственности нежилое помещение площадью 36,9 кв.м. (этаж № 1), расположенное по адресу: Брянская область, г.Брянск, пр-кт Московский, д.81, к.1, пом.I, кадастровый номер 32:28:0041511:735</t>
        </is>
      </c>
      <c r="F212" s="3" t="inlineStr">
        <is>
          <t>06.09.22 10:00</t>
        </is>
      </c>
      <c r="G212" t="inlineStr">
        <is>
          <t>г Брянск, Московский пр-кт, д 81 к 1</t>
        </is>
      </c>
      <c r="H212" s="4" t="n">
        <v>650000</v>
      </c>
      <c r="I212" s="4" t="n">
        <v>17615.17615176152</v>
      </c>
      <c r="J212" t="inlineStr">
        <is>
          <t>Нежилое помещение</t>
        </is>
      </c>
      <c r="K212" s="5" t="n">
        <v>3.15</v>
      </c>
      <c r="L212" s="4" t="n">
        <v>1174.33</v>
      </c>
      <c r="M212" t="n">
        <v>5597</v>
      </c>
      <c r="N212" s="6" t="n">
        <v>418062</v>
      </c>
      <c r="O212" t="n">
        <v>15</v>
      </c>
      <c r="P212" s="21" t="n">
        <v>0.5251779589591424</v>
      </c>
      <c r="Q212" t="inlineStr">
        <is>
          <t>EA</t>
        </is>
      </c>
      <c r="R212" t="inlineStr">
        <is>
          <t>М</t>
        </is>
      </c>
      <c r="S212" s="2">
        <f>HYPERLINK("https://yandex.ru/maps/?&amp;text=53.213855, 34.429865", "53.213855, 34.429865")</f>
        <v/>
      </c>
      <c r="T212" s="2">
        <f>HYPERLINK("D:\venv_torgi\env\cache\objs_in_district/53.213855_34.429865.json", "53.213855_34.429865.json")</f>
        <v/>
      </c>
      <c r="U212" t="inlineStr">
        <is>
          <t>32:28:0041511:735</t>
        </is>
      </c>
      <c r="V212" s="7" t="inlineStr">
        <is>
          <t>1</t>
        </is>
      </c>
      <c r="W212" s="20" t="n">
        <v>26866.27840984939</v>
      </c>
      <c r="X212" s="22" t="n">
        <v>9251.102258087874</v>
      </c>
      <c r="Y212" t="n">
        <v>0</v>
      </c>
    </row>
    <row r="213">
      <c r="A213" s="8" t="n">
        <v>211</v>
      </c>
      <c r="B213" t="n">
        <v>32</v>
      </c>
      <c r="C213" s="1" t="n">
        <v>52.8</v>
      </c>
      <c r="D213" s="2">
        <f>HYPERLINK("https://torgi.gov.ru/new/public/lots/lot/21000008500000000152_1/(lotInfo:info)", "21000008500000000152_1")</f>
        <v/>
      </c>
      <c r="E213" t="inlineStr">
        <is>
          <t>Находящееся в муниципальной собственности помещение площадью 52,8 кв.м. (этаж № 1), расположенное по адресу: Брянская область, г.Брянск, рп Белые Берега, ул.Коминтерна, д.24, кадастровый номер 32:28:0040410:304</t>
        </is>
      </c>
      <c r="F213" s="3" t="inlineStr">
        <is>
          <t>30.08.22 10:00</t>
        </is>
      </c>
      <c r="G213" t="inlineStr">
        <is>
          <t>г Брянск, рп Белые Берега, ул Коминтерна, д 24</t>
        </is>
      </c>
      <c r="H213" s="4" t="n">
        <v>990000</v>
      </c>
      <c r="I213" s="4" t="n">
        <v>18750</v>
      </c>
      <c r="J213" t="inlineStr">
        <is>
          <t>Нежилое помещение</t>
        </is>
      </c>
      <c r="K213" s="5" t="n">
        <v>9.9</v>
      </c>
      <c r="L213" s="4" t="n">
        <v>1102.94</v>
      </c>
      <c r="M213" t="n">
        <v>1893</v>
      </c>
      <c r="N213" s="6" t="n">
        <v>418062</v>
      </c>
      <c r="O213" t="n">
        <v>17</v>
      </c>
      <c r="P213" s="21" t="n">
        <v>0.3866617158724949</v>
      </c>
      <c r="Q213" t="inlineStr">
        <is>
          <t>EA</t>
        </is>
      </c>
      <c r="R213" t="inlineStr">
        <is>
          <t>М</t>
        </is>
      </c>
      <c r="S213" s="2">
        <f>HYPERLINK("https://yandex.ru/maps/?&amp;text=53.207966, 34.662519", "53.207966, 34.662519")</f>
        <v/>
      </c>
      <c r="T213" s="2">
        <f>HYPERLINK("D:\venv_torgi\env\cache\objs_in_district/53.207966_34.662519.json", "53.207966_34.662519.json")</f>
        <v/>
      </c>
      <c r="U213" t="inlineStr">
        <is>
          <t>32:28:0040410:304</t>
        </is>
      </c>
      <c r="V213" s="7" t="inlineStr">
        <is>
          <t>1</t>
        </is>
      </c>
      <c r="W213" s="20" t="n">
        <v>25999.90717260928</v>
      </c>
      <c r="X213" s="22" t="n">
        <v>7249.907172609281</v>
      </c>
      <c r="Y213" t="n">
        <v>0</v>
      </c>
    </row>
    <row r="214">
      <c r="A214" s="8" t="n">
        <v>212</v>
      </c>
      <c r="B214" t="n">
        <v>32</v>
      </c>
      <c r="C214" s="1" t="n">
        <v>25</v>
      </c>
      <c r="D214" s="2">
        <f>HYPERLINK("https://torgi.gov.ru/new/public/lots/lot/21000008500000000156_1/(lotInfo:info)", "21000008500000000156_1")</f>
        <v/>
      </c>
      <c r="E214" t="inlineStr">
        <is>
          <t>Находящаяся в муниципальной собственности лифтерная ЖЭУ № 2 площадью 25 кв.м. (этаж № 1), расположенная по адресу: Брянская область, г.Брянск, ул.Мало-Завальская, д.5, кадастровый номер 32:28:0031622:1292</t>
        </is>
      </c>
      <c r="F214" s="3" t="inlineStr">
        <is>
          <t>30.08.22 10:00</t>
        </is>
      </c>
      <c r="G214" t="inlineStr">
        <is>
          <t>г Брянск, ул Мало-Завальская, д 5</t>
        </is>
      </c>
      <c r="H214" s="4" t="n">
        <v>500000</v>
      </c>
      <c r="I214" s="4" t="n">
        <v>20000</v>
      </c>
      <c r="J214" t="inlineStr">
        <is>
          <t>Нежилое помещение</t>
        </is>
      </c>
      <c r="K214" s="5" t="n">
        <v>5.22</v>
      </c>
      <c r="L214" s="4" t="n">
        <v>2500</v>
      </c>
      <c r="M214" t="n">
        <v>3835</v>
      </c>
      <c r="N214" s="6" t="n">
        <v>418062</v>
      </c>
      <c r="O214" t="n">
        <v>8</v>
      </c>
      <c r="P214" s="21" t="n">
        <v>0.3433139204924697</v>
      </c>
      <c r="Q214" t="inlineStr">
        <is>
          <t>EA</t>
        </is>
      </c>
      <c r="R214" t="inlineStr">
        <is>
          <t>М</t>
        </is>
      </c>
      <c r="S214" s="2">
        <f>HYPERLINK("https://yandex.ru/maps/?&amp;text=53.253582, 34.370262", "53.253582, 34.370262")</f>
        <v/>
      </c>
      <c r="T214" s="2">
        <f>HYPERLINK("D:\venv_torgi\env\cache\objs_in_district/53.253582_34.370262.json", "53.253582_34.370262.json")</f>
        <v/>
      </c>
      <c r="U214" t="inlineStr">
        <is>
          <t>32:28:0031622:1292</t>
        </is>
      </c>
      <c r="V214" s="7" t="inlineStr">
        <is>
          <t>1</t>
        </is>
      </c>
      <c r="W214" s="20" t="n">
        <v>26866.27840984939</v>
      </c>
      <c r="X214" s="22" t="n">
        <v>6866.278409849394</v>
      </c>
      <c r="Y214" t="n">
        <v>0</v>
      </c>
    </row>
    <row r="215">
      <c r="A215" s="8" t="n">
        <v>213</v>
      </c>
      <c r="B215" t="n">
        <v>32</v>
      </c>
      <c r="C215" s="1" t="n">
        <v>38.9</v>
      </c>
      <c r="D215" s="2">
        <f>HYPERLINK("https://torgi.gov.ru/new/public/lots/lot/21000008500000000192_1/(lotInfo:info)", "21000008500000000192_1")</f>
        <v/>
      </c>
      <c r="E215" t="inlineStr">
        <is>
          <t>Находящееся в муниципальной собственности нежилое помещение площадью 38,9 кв.м. (этаж № 1), расположенное по адресу: Брянская область, г.Брянск, пр-кт Московский, д.90Б, кадастровый номер 32:28:0042701:152</t>
        </is>
      </c>
      <c r="F215" s="3" t="inlineStr">
        <is>
          <t>22.09.22 10:00</t>
        </is>
      </c>
      <c r="G215" t="inlineStr">
        <is>
          <t>г Брянск, Московский пр-кт, д 90Б</t>
        </is>
      </c>
      <c r="H215" s="4" t="n">
        <v>800000</v>
      </c>
      <c r="I215" s="4" t="n">
        <v>20565.55269922879</v>
      </c>
      <c r="J215" t="inlineStr">
        <is>
          <t>Нежилое помещение</t>
        </is>
      </c>
      <c r="K215" s="5" t="n">
        <v>4.4</v>
      </c>
      <c r="L215" s="4" t="n">
        <v>2056.5</v>
      </c>
      <c r="M215" t="n">
        <v>4671</v>
      </c>
      <c r="N215" s="6" t="n">
        <v>418062</v>
      </c>
      <c r="O215" t="n">
        <v>10</v>
      </c>
      <c r="P215" s="21" t="n">
        <v>0.3063727876789269</v>
      </c>
      <c r="Q215" t="inlineStr">
        <is>
          <t>EA</t>
        </is>
      </c>
      <c r="R215" t="inlineStr">
        <is>
          <t>М</t>
        </is>
      </c>
      <c r="S215" s="2">
        <f>HYPERLINK("https://yandex.ru/maps/?&amp;text=53.209816, 34.441444", "53.209816, 34.441444")</f>
        <v/>
      </c>
      <c r="T215" s="2">
        <f>HYPERLINK("D:\venv_torgi\env\cache\objs_in_district/53.209816_34.441444.json", "53.209816_34.441444.json")</f>
        <v/>
      </c>
      <c r="U215" t="inlineStr">
        <is>
          <t>32:28:0042701:152</t>
        </is>
      </c>
      <c r="V215" s="7" t="inlineStr">
        <is>
          <t>1</t>
        </is>
      </c>
      <c r="W215" s="20" t="n">
        <v>26866.27840984939</v>
      </c>
      <c r="X215" s="22" t="n">
        <v>6300.725710620605</v>
      </c>
      <c r="Y215" t="n">
        <v>0</v>
      </c>
    </row>
    <row r="216">
      <c r="A216" s="8" t="n">
        <v>214</v>
      </c>
      <c r="B216" t="n">
        <v>32</v>
      </c>
      <c r="C216" s="1" t="n">
        <v>16.5</v>
      </c>
      <c r="D216" s="2">
        <f>HYPERLINK("https://torgi.gov.ru/new/public/lots/lot/21000008500000000163_1/(lotInfo:info)", "21000008500000000163_1")</f>
        <v/>
      </c>
      <c r="E216" t="inlineStr">
        <is>
          <t>Находящееся в муниципальной собственности помещение площадью 16,5 кв.м. (этаж № 1), расположенное по адресу: Брянская область, г.Брянск, ул.Молодой Гвардии, д.41, кадастровый номер 32:28:0014414:294</t>
        </is>
      </c>
      <c r="F216" s="3" t="inlineStr">
        <is>
          <t>06.09.22 10:00</t>
        </is>
      </c>
      <c r="G216" t="inlineStr">
        <is>
          <t>г Брянск, ул Молодой Гвардии, д 41</t>
        </is>
      </c>
      <c r="H216" s="4" t="n">
        <v>340000</v>
      </c>
      <c r="I216" s="4" t="n">
        <v>20606.06060606061</v>
      </c>
      <c r="J216" t="inlineStr">
        <is>
          <t>Нежилое помещение</t>
        </is>
      </c>
      <c r="K216" s="5" t="n">
        <v>43.66</v>
      </c>
      <c r="M216" t="n">
        <v>472</v>
      </c>
      <c r="N216" s="6" t="n">
        <v>418062</v>
      </c>
      <c r="P216" s="21" t="n">
        <v>0.8745452025566356</v>
      </c>
      <c r="Q216" t="inlineStr">
        <is>
          <t>EA</t>
        </is>
      </c>
      <c r="R216" t="inlineStr">
        <is>
          <t>М</t>
        </is>
      </c>
      <c r="S216" s="2">
        <f>HYPERLINK("https://yandex.ru/maps/?&amp;text=53.32056, 34.289126", "53.32056, 34.289126")</f>
        <v/>
      </c>
      <c r="U216" t="inlineStr">
        <is>
          <t>32:28:0014414:294</t>
        </is>
      </c>
      <c r="V216" s="7" t="inlineStr">
        <is>
          <t>1</t>
        </is>
      </c>
      <c r="W216" s="20" t="n">
        <v>38626.9920526822</v>
      </c>
      <c r="X216" s="22" t="n">
        <v>18020.93144662158</v>
      </c>
      <c r="Y216" t="n">
        <v>0</v>
      </c>
    </row>
    <row r="217">
      <c r="A217" s="8" t="n">
        <v>215</v>
      </c>
      <c r="B217" t="n">
        <v>32</v>
      </c>
      <c r="C217" s="1" t="n">
        <v>10.7</v>
      </c>
      <c r="D217" s="2">
        <f>HYPERLINK("https://torgi.gov.ru/new/public/lots/lot/21000008500000000164_1/(lotInfo:info)", "21000008500000000164_1")</f>
        <v/>
      </c>
      <c r="E217" t="inlineStr">
        <is>
          <t>Находящееся в муниципальной собственности помещение площадью 10,7 кв.м. (этаж № 1), расположенное по адресу: Брянская область, г.Брянск, ул.Молодой Гвардии, д.41, кадастровый номер 32:28:0014414:295</t>
        </is>
      </c>
      <c r="F217" s="3" t="inlineStr">
        <is>
          <t>06.09.22 10:00</t>
        </is>
      </c>
      <c r="G217" t="inlineStr">
        <is>
          <t>г Брянск, ул Молодой Гвардии, д 41</t>
        </is>
      </c>
      <c r="H217" s="4" t="n">
        <v>230000</v>
      </c>
      <c r="I217" s="4" t="n">
        <v>21495.32710280374</v>
      </c>
      <c r="J217" t="inlineStr">
        <is>
          <t>Нежилое помещение</t>
        </is>
      </c>
      <c r="K217" s="5" t="n">
        <v>45.54</v>
      </c>
      <c r="M217" t="n">
        <v>472</v>
      </c>
      <c r="N217" s="6" t="n">
        <v>418062</v>
      </c>
      <c r="P217" s="21" t="n">
        <v>0.7969948476682585</v>
      </c>
      <c r="Q217" t="inlineStr">
        <is>
          <t>EA</t>
        </is>
      </c>
      <c r="R217" t="inlineStr">
        <is>
          <t>М</t>
        </is>
      </c>
      <c r="S217" s="2">
        <f>HYPERLINK("https://yandex.ru/maps/?&amp;text=53.31517, 34.28512", "53.31517, 34.28512")</f>
        <v/>
      </c>
      <c r="U217" t="inlineStr">
        <is>
          <t>32:28:0014414:295</t>
        </is>
      </c>
      <c r="V217" s="7" t="inlineStr">
        <is>
          <t>1</t>
        </is>
      </c>
      <c r="W217" s="20" t="n">
        <v>38626.9920526822</v>
      </c>
      <c r="X217" s="22" t="n">
        <v>17131.66494987845</v>
      </c>
      <c r="Y217" t="n">
        <v>0</v>
      </c>
    </row>
    <row r="218">
      <c r="A218" s="8" t="n">
        <v>216</v>
      </c>
      <c r="B218" t="n">
        <v>32</v>
      </c>
      <c r="C218" s="1" t="n">
        <v>93.40000000000001</v>
      </c>
      <c r="D218" s="2">
        <f>HYPERLINK("https://torgi.gov.ru/new/public/lots/lot/21000008500000000159_1/(lotInfo:info)", "21000008500000000159_1")</f>
        <v/>
      </c>
      <c r="E218" t="inlineStr">
        <is>
          <t>Находящееся в муниципальной собственности нежилое помещение площадью 93,4 кв.м. (этаж № 1), расположенное по адресу: Брянская область,    г. Брянск, ул.Киевская, д.63, кадастровый номер 32:28:0042004:1356</t>
        </is>
      </c>
      <c r="F218" s="3" t="inlineStr">
        <is>
          <t>05.09.22 10:00</t>
        </is>
      </c>
      <c r="G218" t="inlineStr">
        <is>
          <t>г Брянск, ул Киевская, д 63</t>
        </is>
      </c>
      <c r="H218" s="4" t="n">
        <v>2191000</v>
      </c>
      <c r="I218" s="4" t="n">
        <v>23458.24411134903</v>
      </c>
      <c r="J218" t="inlineStr">
        <is>
          <t>Нежилое помещение</t>
        </is>
      </c>
      <c r="K218" s="5" t="n">
        <v>6.15</v>
      </c>
      <c r="L218" s="4" t="n">
        <v>7819.33</v>
      </c>
      <c r="M218" t="n">
        <v>3816</v>
      </c>
      <c r="N218" s="6" t="n">
        <v>418062</v>
      </c>
      <c r="O218" t="n">
        <v>3</v>
      </c>
      <c r="P218" s="21" t="n">
        <v>0.1452808779004719</v>
      </c>
      <c r="Q218" t="inlineStr">
        <is>
          <t>EA</t>
        </is>
      </c>
      <c r="R218" t="inlineStr">
        <is>
          <t>М</t>
        </is>
      </c>
      <c r="S218" s="2">
        <f>HYPERLINK("https://yandex.ru/maps/?&amp;text=53.216357, 34.391417", "53.216357, 34.391417")</f>
        <v/>
      </c>
      <c r="T218" s="2">
        <f>HYPERLINK("D:\venv_torgi\env\cache\objs_in_district/53.216357_34.391417.json", "53.216357_34.391417.json")</f>
        <v/>
      </c>
      <c r="U218" t="inlineStr">
        <is>
          <t>32:28:0042004:1356</t>
        </is>
      </c>
      <c r="V218" s="7" t="inlineStr">
        <is>
          <t>1</t>
        </is>
      </c>
      <c r="W218" s="20" t="n">
        <v>26866.27840984939</v>
      </c>
      <c r="X218" s="22" t="n">
        <v>3408.034298500363</v>
      </c>
      <c r="Y218" t="n">
        <v>0</v>
      </c>
    </row>
    <row r="219">
      <c r="A219" s="8" t="n">
        <v>217</v>
      </c>
      <c r="B219" t="n">
        <v>32</v>
      </c>
      <c r="C219" s="1" t="n">
        <v>19</v>
      </c>
      <c r="D219" s="2">
        <f>HYPERLINK("https://torgi.gov.ru/new/public/lots/lot/21000008500000000173_1/(lotInfo:info)", "21000008500000000173_1")</f>
        <v/>
      </c>
      <c r="E219" t="inlineStr">
        <is>
          <t>Находящееся в муниципальной собственности нежилое помещение площадью 19 кв.м. (этаж № 1), расположенное по адресу: Брянская область, г.Брянск, ул.Мичурина, д. 31, пом. 1, кадастровый номер 32:28:0020807:248</t>
        </is>
      </c>
      <c r="F219" s="3" t="inlineStr">
        <is>
          <t>09.09.22 10:00</t>
        </is>
      </c>
      <c r="G219" t="inlineStr">
        <is>
          <t>г Брянск, ул Мичурина, д 31</t>
        </is>
      </c>
      <c r="H219" s="4" t="n">
        <v>451097.54</v>
      </c>
      <c r="I219" s="4" t="n">
        <v>23741.97578947368</v>
      </c>
      <c r="J219" t="inlineStr">
        <is>
          <t>Нежилое помещение</t>
        </is>
      </c>
      <c r="K219" s="5" t="n">
        <v>3.55</v>
      </c>
      <c r="M219" t="n">
        <v>6687</v>
      </c>
      <c r="N219" s="6" t="n">
        <v>418062</v>
      </c>
      <c r="P219" s="21" t="n">
        <v>0.6269493489167814</v>
      </c>
      <c r="Q219" t="inlineStr">
        <is>
          <t>EA</t>
        </is>
      </c>
      <c r="R219" t="inlineStr">
        <is>
          <t>М</t>
        </is>
      </c>
      <c r="S219" s="2">
        <f>HYPERLINK("https://yandex.ru/maps/?&amp;text=53.266968, 34.421402", "53.266968, 34.421402")</f>
        <v/>
      </c>
      <c r="U219" t="inlineStr">
        <is>
          <t>32:28:0020807:248</t>
        </is>
      </c>
      <c r="V219" s="7" t="inlineStr">
        <is>
          <t>1</t>
        </is>
      </c>
      <c r="W219" s="20" t="n">
        <v>38626.9920526822</v>
      </c>
      <c r="X219" s="22" t="n">
        <v>14885.01626320852</v>
      </c>
      <c r="Y219" t="n">
        <v>0</v>
      </c>
    </row>
    <row r="220">
      <c r="A220" s="8" t="n">
        <v>218</v>
      </c>
      <c r="B220" t="n">
        <v>32</v>
      </c>
      <c r="C220" s="1" t="n">
        <v>16.7</v>
      </c>
      <c r="D220" s="2">
        <f>HYPERLINK("https://torgi.gov.ru/new/public/lots/lot/21000008500000000158_1/(lotInfo:info)", "21000008500000000158_1")</f>
        <v/>
      </c>
      <c r="E220" t="inlineStr">
        <is>
          <t>Находящееся в муниципальной собственности нежилое помещение площадью 16,7 кв.м. (этаж № 1), расположенное по адресу: Брянская область, г. Брянск, ул.Вокзальная, д.138, кадастровый номер 32:28:0011005:122</t>
        </is>
      </c>
      <c r="F220" s="3" t="inlineStr">
        <is>
          <t>05.09.22 10:00</t>
        </is>
      </c>
      <c r="G220" t="inlineStr">
        <is>
          <t>г Брянск, ул Вокзальная, д 138</t>
        </is>
      </c>
      <c r="H220" s="4" t="n">
        <v>417000</v>
      </c>
      <c r="I220" s="4" t="n">
        <v>24970.05988023952</v>
      </c>
      <c r="J220" t="inlineStr">
        <is>
          <t>Нежилое помещение</t>
        </is>
      </c>
      <c r="K220" s="5" t="n">
        <v>55.74</v>
      </c>
      <c r="M220" t="n">
        <v>448</v>
      </c>
      <c r="N220" s="6" t="n">
        <v>418062</v>
      </c>
      <c r="P220" s="21" t="n">
        <v>0.5469322956349943</v>
      </c>
      <c r="Q220" t="inlineStr">
        <is>
          <t>EA</t>
        </is>
      </c>
      <c r="R220" t="inlineStr">
        <is>
          <t>М</t>
        </is>
      </c>
      <c r="S220" s="2">
        <f>HYPERLINK("https://yandex.ru/maps/?&amp;text=53.322733, 34.278552", "53.322733, 34.278552")</f>
        <v/>
      </c>
      <c r="U220" t="inlineStr">
        <is>
          <t>32:28:0011005:122</t>
        </is>
      </c>
      <c r="V220" s="7" t="inlineStr">
        <is>
          <t>1</t>
        </is>
      </c>
      <c r="W220" s="20" t="n">
        <v>38626.9920526822</v>
      </c>
      <c r="X220" s="22" t="n">
        <v>13656.93217244267</v>
      </c>
      <c r="Y220" t="n">
        <v>0</v>
      </c>
    </row>
    <row r="221">
      <c r="A221" s="8" t="n">
        <v>219</v>
      </c>
      <c r="B221" t="n">
        <v>32</v>
      </c>
      <c r="C221" s="1" t="n">
        <v>32.7</v>
      </c>
      <c r="D221" s="2">
        <f>HYPERLINK("https://torgi.gov.ru/new/public/lots/lot/21000008500000000183_1/(lotInfo:info)", "21000008500000000183_1")</f>
        <v/>
      </c>
      <c r="E221" t="inlineStr">
        <is>
          <t>Находящееся в муниципальной собственности нежилое помещение площадью 32,7 кв.м. (этаж № 1), расположенное по адресу: Брянская область, г.Брянск, пер.Камвольный, д.8, пом.2, кадастровый номер 32:28:0011603:1376</t>
        </is>
      </c>
      <c r="F221" s="3" t="inlineStr">
        <is>
          <t>19.09.22 10:00</t>
        </is>
      </c>
      <c r="G221" t="inlineStr">
        <is>
          <t>г Брянск, Камвольный пер, д 8</t>
        </is>
      </c>
      <c r="H221" s="4" t="n">
        <v>829511.23</v>
      </c>
      <c r="I221" s="4" t="n">
        <v>25367.31590214067</v>
      </c>
      <c r="J221" t="inlineStr">
        <is>
          <t>Нежилое помещение</t>
        </is>
      </c>
      <c r="K221" s="5" t="n">
        <v>104.39</v>
      </c>
      <c r="L221" s="4" t="n">
        <v>2536.7</v>
      </c>
      <c r="M221" t="n">
        <v>243</v>
      </c>
      <c r="N221" s="6" t="n">
        <v>418062</v>
      </c>
      <c r="O221" t="n">
        <v>10</v>
      </c>
      <c r="P221" s="21" t="n">
        <v>0.02493725677990355</v>
      </c>
      <c r="Q221" t="inlineStr">
        <is>
          <t>EA</t>
        </is>
      </c>
      <c r="R221" t="inlineStr">
        <is>
          <t>М</t>
        </is>
      </c>
      <c r="S221" s="2">
        <f>HYPERLINK("https://yandex.ru/maps/?&amp;text=53.344017, 34.308105", "53.344017, 34.308105")</f>
        <v/>
      </c>
      <c r="T221" s="2">
        <f>HYPERLINK("D:\venv_torgi\env\cache\objs_in_district/53.344017_34.308105.json", "53.344017_34.308105.json")</f>
        <v/>
      </c>
      <c r="U221" t="inlineStr">
        <is>
          <t>32:28:0011603:1376</t>
        </is>
      </c>
      <c r="V221" s="7" t="inlineStr">
        <is>
          <t>1</t>
        </is>
      </c>
      <c r="W221" s="20" t="n">
        <v>25999.90717260928</v>
      </c>
      <c r="X221" s="22" t="n">
        <v>632.5912704686125</v>
      </c>
      <c r="Y221" t="n">
        <v>0</v>
      </c>
    </row>
    <row r="222">
      <c r="A222" s="8" t="n">
        <v>220</v>
      </c>
      <c r="B222" t="n">
        <v>32</v>
      </c>
      <c r="C222" s="1" t="n">
        <v>15.7</v>
      </c>
      <c r="D222" s="2">
        <f>HYPERLINK("https://torgi.gov.ru/new/public/lots/lot/21000008500000000170_1/(lotInfo:info)", "21000008500000000170_1")</f>
        <v/>
      </c>
      <c r="E222" t="inlineStr">
        <is>
          <t>Находящееся в муниципальной собственности нежилое помещение площадью 15,7 кв.м. (этаж № 1), расположенное по адресу: Брянская область, г.Брянск, ул.Тельмана, д.66, корп.4, пом. 1, кадастровый номер 32:28:0021603:1295</t>
        </is>
      </c>
      <c r="F222" s="3" t="inlineStr">
        <is>
          <t>09.09.22 06:00</t>
        </is>
      </c>
      <c r="G222" t="inlineStr">
        <is>
          <t>г Брянск, ул Тельмана, д 66 к 4</t>
        </is>
      </c>
      <c r="H222" s="4" t="n">
        <v>398266.86</v>
      </c>
      <c r="I222" s="4" t="n">
        <v>25367.31592356688</v>
      </c>
      <c r="J222" t="inlineStr">
        <is>
          <t>Нежилое помещение</t>
        </is>
      </c>
      <c r="K222" s="5" t="n">
        <v>6.21</v>
      </c>
      <c r="M222" t="n">
        <v>4088</v>
      </c>
      <c r="N222" s="6" t="n">
        <v>418062</v>
      </c>
      <c r="P222" s="21" t="n">
        <v>0.5227070995239486</v>
      </c>
      <c r="Q222" t="inlineStr">
        <is>
          <t>EA</t>
        </is>
      </c>
      <c r="R222" t="inlineStr">
        <is>
          <t>М</t>
        </is>
      </c>
      <c r="S222" s="2">
        <f>HYPERLINK("https://yandex.ru/maps/?&amp;text=53.253783, 34.438066", "53.253783, 34.438066")</f>
        <v/>
      </c>
      <c r="U222" t="inlineStr">
        <is>
          <t>32:28:0021603:1295</t>
        </is>
      </c>
      <c r="V222" s="7" t="inlineStr">
        <is>
          <t>1</t>
        </is>
      </c>
      <c r="W222" s="20" t="n">
        <v>38626.9920526822</v>
      </c>
      <c r="X222" s="22" t="n">
        <v>13259.67612911532</v>
      </c>
      <c r="Y222" t="n">
        <v>0</v>
      </c>
    </row>
    <row r="223">
      <c r="A223" s="8" t="n">
        <v>221</v>
      </c>
      <c r="B223" t="n">
        <v>32</v>
      </c>
      <c r="C223" s="1" t="n">
        <v>33</v>
      </c>
      <c r="D223" s="2">
        <f>HYPERLINK("https://torgi.gov.ru/new/public/lots/lot/21000008500000000182_1/(lotInfo:info)", "21000008500000000182_1")</f>
        <v/>
      </c>
      <c r="E223" t="inlineStr">
        <is>
          <t>Находящееся в муниципальной собственности помещение лифтерной площадью 33 кв.м. (этаж № 1), расположенное по адресу: Брянская область, г.Брянск, пер.Камвольный, д.8, кадастровый номер 32:28:0011603:1379</t>
        </is>
      </c>
      <c r="F223" s="3" t="inlineStr">
        <is>
          <t>19.09.22 10:00</t>
        </is>
      </c>
      <c r="G223" t="inlineStr">
        <is>
          <t>г Брянск, Камвольный пер, д 8</t>
        </is>
      </c>
      <c r="H223" s="4" t="n">
        <v>837121.4300000001</v>
      </c>
      <c r="I223" s="4" t="n">
        <v>25367.31606060606</v>
      </c>
      <c r="J223" t="inlineStr">
        <is>
          <t>Нежилое помещение</t>
        </is>
      </c>
      <c r="K223" s="5" t="n">
        <v>104.39</v>
      </c>
      <c r="L223" s="4" t="n">
        <v>2536.7</v>
      </c>
      <c r="M223" t="n">
        <v>243</v>
      </c>
      <c r="N223" s="6" t="n">
        <v>418062</v>
      </c>
      <c r="O223" t="n">
        <v>10</v>
      </c>
      <c r="P223" s="21" t="n">
        <v>0.02493725037729151</v>
      </c>
      <c r="Q223" t="inlineStr">
        <is>
          <t>EA</t>
        </is>
      </c>
      <c r="R223" t="inlineStr">
        <is>
          <t>М</t>
        </is>
      </c>
      <c r="S223" s="2">
        <f>HYPERLINK("https://yandex.ru/maps/?&amp;text=53.344017, 34.308105", "53.344017, 34.308105")</f>
        <v/>
      </c>
      <c r="T223" s="2">
        <f>HYPERLINK("D:\venv_torgi\env\cache\objs_in_district/53.344017_34.308105.json", "53.344017_34.308105.json")</f>
        <v/>
      </c>
      <c r="U223" t="inlineStr">
        <is>
          <t>32:28:0011603:1379</t>
        </is>
      </c>
      <c r="V223" s="7" t="inlineStr">
        <is>
          <t>1</t>
        </is>
      </c>
      <c r="W223" s="20" t="n">
        <v>25999.90717260928</v>
      </c>
      <c r="X223" s="22" t="n">
        <v>632.5911120032215</v>
      </c>
      <c r="Y223" t="n">
        <v>0</v>
      </c>
    </row>
    <row r="224">
      <c r="A224" s="8" t="n">
        <v>222</v>
      </c>
      <c r="B224" t="n">
        <v>32</v>
      </c>
      <c r="C224" s="1" t="n">
        <v>131.5</v>
      </c>
      <c r="D224" s="2">
        <f>HYPERLINK("https://torgi.gov.ru/new/public/lots/lot/21000008500000000181_1/(lotInfo:info)", "21000008500000000181_1")</f>
        <v/>
      </c>
      <c r="E224" t="inlineStr">
        <is>
          <t>Находящееся в муниципальной собственности нежилое помещение площадью 131,5 кв.м. (этаж № 01), расположенное по адресу: Брянская область, г. Брянск, ул. Гомельская, д.59, пом.I, кадастровый номер 32:28:0042614:110</t>
        </is>
      </c>
      <c r="F224" s="3" t="inlineStr">
        <is>
          <t>19.09.22 10:00</t>
        </is>
      </c>
      <c r="G224" t="inlineStr">
        <is>
          <t>г Брянск, ул Гомельская, д 59</t>
        </is>
      </c>
      <c r="H224" s="4" t="n">
        <v>4623001.46</v>
      </c>
      <c r="I224" s="4" t="n">
        <v>35155.90463878327</v>
      </c>
      <c r="J224" t="inlineStr">
        <is>
          <t>Нежилое помещение</t>
        </is>
      </c>
      <c r="K224" s="5" t="n">
        <v>8.880000000000001</v>
      </c>
      <c r="L224" s="4" t="n">
        <v>4394.38</v>
      </c>
      <c r="M224" t="n">
        <v>3959</v>
      </c>
      <c r="N224" s="6" t="n">
        <v>418062</v>
      </c>
      <c r="O224" t="n">
        <v>8</v>
      </c>
      <c r="Q224" t="inlineStr">
        <is>
          <t>EA</t>
        </is>
      </c>
      <c r="R224" t="inlineStr">
        <is>
          <t>М</t>
        </is>
      </c>
      <c r="S224" s="2">
        <f>HYPERLINK("https://yandex.ru/maps/?&amp;text=53.20314, 34.43982", "53.20314, 34.43982")</f>
        <v/>
      </c>
      <c r="T224" s="2">
        <f>HYPERLINK("D:\venv_torgi\env\cache\objs_in_district/53.20314_34.43982.json", "53.20314_34.43982.json")</f>
        <v/>
      </c>
      <c r="U224" t="inlineStr">
        <is>
          <t>32:28:0042614:110</t>
        </is>
      </c>
      <c r="V224" s="7" t="inlineStr">
        <is>
          <t>1</t>
        </is>
      </c>
      <c r="W224" s="20" t="n">
        <v>26866.27840984939</v>
      </c>
      <c r="X224" s="23" t="n">
        <v>-8289.626228933877</v>
      </c>
      <c r="Y224" t="n">
        <v>0</v>
      </c>
    </row>
    <row r="225">
      <c r="A225" s="8" t="n">
        <v>223</v>
      </c>
      <c r="B225" t="n">
        <v>33</v>
      </c>
      <c r="C225" s="1" t="n">
        <v>49.8</v>
      </c>
      <c r="D225" s="2">
        <f>HYPERLINK("https://torgi.gov.ru/new/public/lots/lot/21000001470000000003_2/(lotInfo:info)", "21000001470000000003_2")</f>
        <v/>
      </c>
      <c r="E225" t="inlineStr">
        <is>
          <t>Кадастровый номер: 33:03:000114:151</t>
        </is>
      </c>
      <c r="F225" s="3" t="inlineStr">
        <is>
          <t>05.09.22 14:00</t>
        </is>
      </c>
      <c r="G225" t="inlineStr">
        <is>
          <t>Владимирская обл, Кольчугинский р-н, поселок Металлист, ул Центральная, д 3</t>
        </is>
      </c>
      <c r="H225" s="4" t="n">
        <v>173000</v>
      </c>
      <c r="I225" s="4" t="n">
        <v>3473.895582329318</v>
      </c>
      <c r="J225" t="inlineStr">
        <is>
          <t>магазин</t>
        </is>
      </c>
      <c r="K225" s="5" t="n">
        <v>12.36</v>
      </c>
      <c r="M225" t="n">
        <v>281</v>
      </c>
      <c r="N225" s="6" t="n">
        <v>435</v>
      </c>
      <c r="P225" s="21" t="n">
        <v>6.484366342173075</v>
      </c>
      <c r="Q225" t="inlineStr">
        <is>
          <t>EA</t>
        </is>
      </c>
      <c r="R225" t="inlineStr">
        <is>
          <t>М</t>
        </is>
      </c>
      <c r="S225" s="2">
        <f>HYPERLINK("https://yandex.ru/maps/?&amp;text=56.361888, 39.23816", "56.361888, 39.23816")</f>
        <v/>
      </c>
      <c r="U225" t="inlineStr">
        <is>
          <t>33:03:000114:151</t>
        </is>
      </c>
      <c r="W225" s="20" t="n">
        <v>25999.90717260928</v>
      </c>
      <c r="X225" s="22" t="n">
        <v>22526.01159027996</v>
      </c>
      <c r="Y225" t="n">
        <v>0</v>
      </c>
    </row>
    <row r="226">
      <c r="A226" s="8" t="n">
        <v>224</v>
      </c>
      <c r="B226" t="n">
        <v>33</v>
      </c>
      <c r="C226" s="1" t="n">
        <v>33</v>
      </c>
      <c r="D226" s="2">
        <f>HYPERLINK("https://torgi.gov.ru/new/public/lots/lot/21000001470000000003_1/(lotInfo:info)", "21000001470000000003_1")</f>
        <v/>
      </c>
      <c r="E226" t="inlineStr">
        <is>
          <t>Кадастровый номер 33:18:000308:501</t>
        </is>
      </c>
      <c r="F226" s="3" t="inlineStr">
        <is>
          <t>05.09.22 14:00</t>
        </is>
      </c>
      <c r="G226" t="inlineStr">
        <is>
          <t>Владимирская область, г. Кольчугино, ул. 6 линия Ленинского посёлка,д.31</t>
        </is>
      </c>
      <c r="H226" s="4" t="n">
        <v>161000</v>
      </c>
      <c r="I226" s="4" t="n">
        <v>4878.787878787879</v>
      </c>
      <c r="J226" t="inlineStr">
        <is>
          <t>Нежилое помещение</t>
        </is>
      </c>
      <c r="Q226" t="inlineStr">
        <is>
          <t>EA</t>
        </is>
      </c>
      <c r="R226" t="inlineStr">
        <is>
          <t>М</t>
        </is>
      </c>
      <c r="U226" t="inlineStr">
        <is>
          <t>33:18:000308:501</t>
        </is>
      </c>
      <c r="Y226" t="n">
        <v>0</v>
      </c>
    </row>
    <row r="227">
      <c r="A227" s="8" t="n">
        <v>225</v>
      </c>
      <c r="B227" t="n">
        <v>33</v>
      </c>
      <c r="C227" s="1" t="n">
        <v>39.7</v>
      </c>
      <c r="D227" s="2">
        <f>HYPERLINK("https://torgi.gov.ru/new/public/lots/lot/21000003690000000013_1/(lotInfo:info)", "21000003690000000013_1")</f>
        <v/>
      </c>
      <c r="E227" t="inlineStr">
        <is>
          <t>нежилое помещение с кадастровым номером 33:21:010112:915, общей площадью 39,7 кв. м, расположенное по адресу: Владимирская область, Вязниковский район, город Вязники, 2-й Кутузовский проезд, д. 5.</t>
        </is>
      </c>
      <c r="F227" s="3" t="inlineStr">
        <is>
          <t>19.09.22 14:00</t>
        </is>
      </c>
      <c r="G227" t="inlineStr">
        <is>
          <t>Владимирская обл, г Вязники, 2-й Кутузовский пр-д, д 5</t>
        </is>
      </c>
      <c r="H227" s="4" t="n">
        <v>250639.33</v>
      </c>
      <c r="I227" s="4" t="n">
        <v>6313.333249370276</v>
      </c>
      <c r="J227" t="inlineStr">
        <is>
          <t>Нежилое помещение</t>
        </is>
      </c>
      <c r="K227" s="5" t="n">
        <v>5.28</v>
      </c>
      <c r="M227" t="n">
        <v>1196</v>
      </c>
      <c r="N227" s="6" t="n">
        <v>36635</v>
      </c>
      <c r="P227" s="21" t="n">
        <v>3.118253566798908</v>
      </c>
      <c r="Q227" t="inlineStr">
        <is>
          <t>EA</t>
        </is>
      </c>
      <c r="R227" t="inlineStr">
        <is>
          <t>М</t>
        </is>
      </c>
      <c r="S227" s="2">
        <f>HYPERLINK("https://yandex.ru/maps/?&amp;text=56.240944, 42.103165", "56.240944, 42.103165")</f>
        <v/>
      </c>
      <c r="U227" t="inlineStr">
        <is>
          <t xml:space="preserve">33:21:010112:915, </t>
        </is>
      </c>
      <c r="W227" s="20" t="n">
        <v>25999.90717260928</v>
      </c>
      <c r="X227" s="22" t="n">
        <v>19686.573923239</v>
      </c>
      <c r="Y227" t="n">
        <v>0</v>
      </c>
    </row>
    <row r="228">
      <c r="A228" s="8" t="n">
        <v>226</v>
      </c>
      <c r="B228" t="n">
        <v>33</v>
      </c>
      <c r="C228" s="1" t="n">
        <v>51.6</v>
      </c>
      <c r="D228" s="2">
        <f>HYPERLINK("https://torgi.gov.ru/new/public/lots/lot/21000001400000000012_1/(lotInfo:info)", "21000001400000000012_1")</f>
        <v/>
      </c>
      <c r="E228" t="inlineStr">
        <is>
          <t>нежилое помещение, назначение: нежилое помещение, общей площадью 51,6 кв. м, этаж № 1, с кадастровым номером: 33:01:0001501:1124, по адресу: Владимирская обл., Александровский р-н, МО Каринское с/п, д. Лизуново, ул. Мусатова, д. 23.</t>
        </is>
      </c>
      <c r="F228" s="3" t="inlineStr">
        <is>
          <t>18.09.22 13:00</t>
        </is>
      </c>
      <c r="G228" t="inlineStr">
        <is>
          <t xml:space="preserve">Владимирская обл., Александровский р-н, МО Каринское с/п, д. Лизуново, ул. Мусатова, д. 23. </t>
        </is>
      </c>
      <c r="H228" s="4" t="n">
        <v>404160</v>
      </c>
      <c r="I228" s="4" t="n">
        <v>7832.558139534884</v>
      </c>
      <c r="J228" t="inlineStr">
        <is>
          <t>Нежилое помещение</t>
        </is>
      </c>
      <c r="Q228" t="inlineStr">
        <is>
          <t>EA</t>
        </is>
      </c>
      <c r="R228" t="inlineStr">
        <is>
          <t>М</t>
        </is>
      </c>
      <c r="U228" t="inlineStr">
        <is>
          <t xml:space="preserve">33:01:0001501:1124, </t>
        </is>
      </c>
      <c r="V228" s="7" t="inlineStr">
        <is>
          <t>1</t>
        </is>
      </c>
      <c r="Y228" t="n">
        <v>0</v>
      </c>
    </row>
    <row r="229">
      <c r="A229" s="8" t="n">
        <v>227</v>
      </c>
      <c r="B229" t="n">
        <v>33</v>
      </c>
      <c r="C229" s="1" t="n">
        <v>247.9</v>
      </c>
      <c r="D229" s="2">
        <f>HYPERLINK("https://torgi.gov.ru/new/public/lots/lot/21000011840000000019_1/(lotInfo:info)", "21000011840000000019_1")</f>
        <v/>
      </c>
      <c r="E229" t="inlineStr">
        <is>
          <t>Нежилое помещение I, расположенное по адресу: Владимирская область, г. Ковров, ул. Фрунзе, д. 2</t>
        </is>
      </c>
      <c r="F229" s="3" t="inlineStr">
        <is>
          <t>29.08.22 13:30</t>
        </is>
      </c>
      <c r="G229" t="inlineStr">
        <is>
          <t>Владимирская обл, г Ковров, ул Фрунзе, д 2</t>
        </is>
      </c>
      <c r="H229" s="4" t="n">
        <v>2070000</v>
      </c>
      <c r="I229" s="4" t="n">
        <v>8350.141185962082</v>
      </c>
      <c r="J229" t="inlineStr">
        <is>
          <t>Нежилое помещение</t>
        </is>
      </c>
      <c r="K229" s="5" t="n">
        <v>2.43</v>
      </c>
      <c r="L229" s="4" t="n">
        <v>1670</v>
      </c>
      <c r="M229" t="n">
        <v>3434</v>
      </c>
      <c r="N229" s="6" t="n">
        <v>138552</v>
      </c>
      <c r="O229" t="n">
        <v>5</v>
      </c>
      <c r="P229" s="21" t="n">
        <v>0.2196867583170856</v>
      </c>
      <c r="Q229" t="inlineStr">
        <is>
          <t>EA</t>
        </is>
      </c>
      <c r="R229" t="inlineStr">
        <is>
          <t>М</t>
        </is>
      </c>
      <c r="S229" s="2">
        <f>HYPERLINK("https://yandex.ru/maps/?&amp;text=56.352543, 41.290928", "56.352543, 41.290928")</f>
        <v/>
      </c>
      <c r="T229" s="2">
        <f>HYPERLINK("D:\venv_torgi\env\cache\objs_in_district/56.352543_41.290928.json", "56.352543_41.290928.json")</f>
        <v/>
      </c>
      <c r="U229" t="inlineStr">
        <is>
          <t>33:20:013707:359</t>
        </is>
      </c>
      <c r="V229" s="7" t="inlineStr">
        <is>
          <t>1</t>
        </is>
      </c>
      <c r="W229" s="20" t="n">
        <v>10184.55663459608</v>
      </c>
      <c r="X229" s="22" t="n">
        <v>1834.415448633994</v>
      </c>
      <c r="Y229" t="n">
        <v>0</v>
      </c>
    </row>
    <row r="230">
      <c r="A230" s="8" t="n">
        <v>228</v>
      </c>
      <c r="B230" t="n">
        <v>33</v>
      </c>
      <c r="C230" s="1" t="n">
        <v>59.9</v>
      </c>
      <c r="D230" s="2">
        <f>HYPERLINK("https://torgi.gov.ru/new/public/lots/lot/21000003690000000011_1/(lotInfo:info)", "21000003690000000011_1")</f>
        <v/>
      </c>
      <c r="E230" t="inlineStr">
        <is>
          <t>нежилое помещение с кадастровым номером 33:08:000000:1455, общей площадью 59,9 кв. м, расположенное по адресу: Владимирская область, Вязниковский район, поселок Никологоры, ул. Урожайная, д. 45.</t>
        </is>
      </c>
      <c r="F230" s="3" t="inlineStr">
        <is>
          <t>03.09.22 14:00</t>
        </is>
      </c>
      <c r="G230" t="inlineStr">
        <is>
          <t>Владимирская обл, Вязниковский р-н, поселок Никологоры, ул Урожайная, д 45</t>
        </is>
      </c>
      <c r="H230" s="4" t="n">
        <v>620764</v>
      </c>
      <c r="I230" s="4" t="n">
        <v>10363.33889816361</v>
      </c>
      <c r="J230" t="inlineStr">
        <is>
          <t>Нежилое помещение</t>
        </is>
      </c>
      <c r="K230" s="5" t="n">
        <v>88.56999999999999</v>
      </c>
      <c r="L230" s="10" t="n"/>
      <c r="M230" t="n">
        <v>117</v>
      </c>
      <c r="N230" s="6" t="n">
        <v>4977</v>
      </c>
      <c r="O230" t="inlineStr">
        <is>
          <t>0</t>
        </is>
      </c>
      <c r="P230" s="21" t="n">
        <v>0.5653800906574721</v>
      </c>
      <c r="Q230" t="inlineStr">
        <is>
          <t>EA</t>
        </is>
      </c>
      <c r="R230" t="inlineStr">
        <is>
          <t>М</t>
        </is>
      </c>
      <c r="S230" s="2">
        <f>HYPERLINK("https://yandex.ru/maps/?&amp;text=56.140645, 42.009436", "56.140645, 42.009436")</f>
        <v/>
      </c>
      <c r="T230" s="11">
        <f>HYPERLINK("D:\venv_torgi\env\cache\objs_in_district/56.140645_42.009436.json", "56.140645_42.009436.json")</f>
        <v/>
      </c>
      <c r="U230" t="inlineStr">
        <is>
          <t xml:space="preserve">33:08:000000:1455, </t>
        </is>
      </c>
      <c r="W230" s="20" t="n">
        <v>16222.56438392146</v>
      </c>
      <c r="X230" s="22" t="n">
        <v>5859.225485757846</v>
      </c>
      <c r="Y230" t="n">
        <v>0</v>
      </c>
    </row>
    <row r="231">
      <c r="A231" s="8" t="n">
        <v>229</v>
      </c>
      <c r="B231" t="n">
        <v>33</v>
      </c>
      <c r="C231" s="1" t="n">
        <v>57.6</v>
      </c>
      <c r="D231" s="2">
        <f>HYPERLINK("https://torgi.gov.ru/new/public/lots/lot/21000001400000000011_1/(lotInfo:info)", "21000001400000000011_1")</f>
        <v/>
      </c>
      <c r="E231" t="inlineStr">
        <is>
          <t>нежилое помещение, назначение: нежилое помещение, общей площадью 57,6 кв. м, этаж № 1, с кадастровым номером: 33:17:0000404:1312, по адресу: Владимирская обл., г. Александров, ул. Революции, д. 51</t>
        </is>
      </c>
      <c r="F231" s="3" t="inlineStr">
        <is>
          <t>18.09.22 13:00</t>
        </is>
      </c>
      <c r="G231" t="inlineStr">
        <is>
          <t>Владимирская обл, г Александров, ул Революции, д 51</t>
        </is>
      </c>
      <c r="H231" s="4" t="n">
        <v>738000</v>
      </c>
      <c r="I231" s="4" t="n">
        <v>12812.5</v>
      </c>
      <c r="J231" t="inlineStr">
        <is>
          <t>Нежилое помещение</t>
        </is>
      </c>
      <c r="K231" s="5" t="n">
        <v>7.67</v>
      </c>
      <c r="L231" s="4" t="n">
        <v>1601.5</v>
      </c>
      <c r="M231" t="n">
        <v>1671</v>
      </c>
      <c r="N231" s="6" t="n">
        <v>59328</v>
      </c>
      <c r="O231" t="n">
        <v>8</v>
      </c>
      <c r="P231" s="21" t="n">
        <v>0.2661513665499674</v>
      </c>
      <c r="Q231" t="inlineStr">
        <is>
          <t>EA</t>
        </is>
      </c>
      <c r="R231" t="inlineStr">
        <is>
          <t>М</t>
        </is>
      </c>
      <c r="S231" s="2">
        <f>HYPERLINK("https://yandex.ru/maps/?&amp;text=56.400952, 38.725348", "56.400952, 38.725348")</f>
        <v/>
      </c>
      <c r="T231" s="2">
        <f>HYPERLINK("D:\venv_torgi\env\cache\objs_in_district/56.400952_38.725348.json", "56.400952_38.725348.json")</f>
        <v/>
      </c>
      <c r="U231" t="inlineStr">
        <is>
          <t xml:space="preserve">33:17:0000404:1312, </t>
        </is>
      </c>
      <c r="V231" s="7" t="inlineStr">
        <is>
          <t>1</t>
        </is>
      </c>
      <c r="W231" s="20" t="n">
        <v>16222.56438392146</v>
      </c>
      <c r="X231" s="22" t="n">
        <v>3410.064383921457</v>
      </c>
      <c r="Y231" t="n">
        <v>0</v>
      </c>
    </row>
    <row r="232">
      <c r="A232" s="8" t="n">
        <v>230</v>
      </c>
      <c r="B232" t="n">
        <v>33</v>
      </c>
      <c r="C232" s="1" t="n">
        <v>71.5</v>
      </c>
      <c r="D232" s="2">
        <f>HYPERLINK("https://torgi.gov.ru/new/public/lots/lot/21000011840000000018_1/(lotInfo:info)", "21000011840000000018_1")</f>
        <v/>
      </c>
      <c r="E232" t="inlineStr">
        <is>
          <t>Нежилое помещение VI, ул. Фрунзе, д. 2</t>
        </is>
      </c>
      <c r="F232" s="3" t="inlineStr">
        <is>
          <t>29.08.22 13:30</t>
        </is>
      </c>
      <c r="G232" t="inlineStr">
        <is>
          <t>Владимирская обл, г Ковров, ул Фрунзе, д 2</t>
        </is>
      </c>
      <c r="H232" s="4" t="n">
        <v>1950000</v>
      </c>
      <c r="I232" s="4" t="n">
        <v>27272.72727272727</v>
      </c>
      <c r="J232" t="inlineStr">
        <is>
          <t>Нежилое помещение</t>
        </is>
      </c>
      <c r="K232" s="5" t="n">
        <v>7.94</v>
      </c>
      <c r="L232" s="4" t="n">
        <v>5454.4</v>
      </c>
      <c r="M232" t="n">
        <v>3434</v>
      </c>
      <c r="N232" s="6" t="n">
        <v>138552</v>
      </c>
      <c r="O232" t="n">
        <v>5</v>
      </c>
      <c r="Q232" t="inlineStr">
        <is>
          <t>EA</t>
        </is>
      </c>
      <c r="R232" t="inlineStr">
        <is>
          <t>М</t>
        </is>
      </c>
      <c r="S232" s="2">
        <f>HYPERLINK("https://yandex.ru/maps/?&amp;text=56.352543, 41.290928", "56.352543, 41.290928")</f>
        <v/>
      </c>
      <c r="T232" s="2">
        <f>HYPERLINK("D:\venv_torgi\env\cache\objs_in_district/56.352543_41.290928.json", "56.352543_41.290928.json")</f>
        <v/>
      </c>
      <c r="U232" t="inlineStr">
        <is>
          <t>33:20:013707:364</t>
        </is>
      </c>
      <c r="V232" s="7" t="inlineStr">
        <is>
          <t>1</t>
        </is>
      </c>
      <c r="W232" s="20" t="n">
        <v>26866.27840984939</v>
      </c>
      <c r="X232" s="23" t="n">
        <v>-406.4488628778745</v>
      </c>
      <c r="Y232" t="n">
        <v>0</v>
      </c>
    </row>
    <row r="233">
      <c r="A233" s="8" t="n">
        <v>231</v>
      </c>
      <c r="B233" t="n">
        <v>33</v>
      </c>
      <c r="C233" s="1" t="n">
        <v>32.9</v>
      </c>
      <c r="D233" s="2">
        <f>HYPERLINK("https://torgi.gov.ru/new/public/lots/lot/21000001400000000010_1/(lotInfo:info)", "21000001400000000010_1")</f>
        <v/>
      </c>
      <c r="E233" t="inlineStr">
        <is>
          <t>нежилое помещение, назначение: нежилое помещение, общей площадью 32,9 кв. м, этаж № 1, с кадастровым номером: 33:17:0000501:642, по адресу: Владимирская обл., г. Александров, ул. Советская, д. 48.</t>
        </is>
      </c>
      <c r="F233" s="3" t="inlineStr">
        <is>
          <t>18.09.22 13:00</t>
        </is>
      </c>
      <c r="G233" t="inlineStr">
        <is>
          <t>Владимирская обл, г Александров, ул Советская, д 48</t>
        </is>
      </c>
      <c r="H233" s="4" t="n">
        <v>1306560</v>
      </c>
      <c r="I233" s="4" t="n">
        <v>39713.06990881459</v>
      </c>
      <c r="J233" t="inlineStr">
        <is>
          <t>Нежилое помещение</t>
        </is>
      </c>
      <c r="K233" s="5" t="n">
        <v>29.33</v>
      </c>
      <c r="L233" s="4" t="n">
        <v>3610.27</v>
      </c>
      <c r="M233" t="n">
        <v>1354</v>
      </c>
      <c r="N233" s="6" t="n">
        <v>59328</v>
      </c>
      <c r="O233" t="n">
        <v>11</v>
      </c>
      <c r="Q233" t="inlineStr">
        <is>
          <t>EA</t>
        </is>
      </c>
      <c r="R233" t="inlineStr">
        <is>
          <t>М</t>
        </is>
      </c>
      <c r="S233" s="2">
        <f>HYPERLINK("https://yandex.ru/maps/?&amp;text=56.399283, 38.741697", "56.399283, 38.741697")</f>
        <v/>
      </c>
      <c r="T233" s="2">
        <f>HYPERLINK("D:\venv_torgi\env\cache\objs_in_district/56.399283_38.741697.json", "56.399283_38.741697.json")</f>
        <v/>
      </c>
      <c r="U233" t="inlineStr">
        <is>
          <t xml:space="preserve">33:17:0000501:642, </t>
        </is>
      </c>
      <c r="V233" s="7" t="inlineStr">
        <is>
          <t>1</t>
        </is>
      </c>
      <c r="W233" s="20" t="n">
        <v>25999.90717260928</v>
      </c>
      <c r="X233" s="23" t="n">
        <v>-13713.16273620531</v>
      </c>
      <c r="Y233" t="n">
        <v>0</v>
      </c>
    </row>
    <row r="234">
      <c r="A234" s="8" t="n">
        <v>232</v>
      </c>
      <c r="B234" t="n">
        <v>34</v>
      </c>
      <c r="C234" s="1" t="n">
        <v>37.7</v>
      </c>
      <c r="D234" s="2">
        <f>HYPERLINK("https://torgi.gov.ru/new/public/lots/lot/21000003300000000045_7/(lotInfo:info)", "21000003300000000045_7")</f>
        <v/>
      </c>
      <c r="E234" t="inlineStr">
        <is>
          <t>Нежилое помещение площадью 37,7 кв.м (4 этаж), кадастровый номер 34:34:080114:225. Волгоград, Красноармейский район, ул. 40 лет ВЛКСМ, д. 58. Полная информация приведена в файле с Информационным сообщением.</t>
        </is>
      </c>
      <c r="F234" s="3" t="inlineStr">
        <is>
          <t>13.09.22 14:30</t>
        </is>
      </c>
      <c r="G234" t="inlineStr">
        <is>
          <t>г Волгоград, ул 40 лет ВЛКСМ, д 58</t>
        </is>
      </c>
      <c r="H234" s="4" t="n">
        <v>265000</v>
      </c>
      <c r="I234" s="4" t="n">
        <v>7029.177718832891</v>
      </c>
      <c r="J234" t="inlineStr">
        <is>
          <t>Нежилое помещение</t>
        </is>
      </c>
      <c r="K234" s="5" t="n">
        <v>9.59</v>
      </c>
      <c r="M234" t="n">
        <v>733</v>
      </c>
      <c r="N234" s="6" t="n">
        <v>1030400</v>
      </c>
      <c r="P234" s="16" t="n">
        <v>5.509773889104292</v>
      </c>
      <c r="Q234" t="inlineStr">
        <is>
          <t>EA</t>
        </is>
      </c>
      <c r="R234" t="inlineStr">
        <is>
          <t>М</t>
        </is>
      </c>
      <c r="S234" s="2">
        <f>HYPERLINK("https://yandex.ru/maps/?&amp;text=48.504603, 44.581914", "48.504603, 44.581914")</f>
        <v/>
      </c>
      <c r="U234" t="inlineStr">
        <is>
          <t>34:34:080114:225</t>
        </is>
      </c>
      <c r="V234" s="7" t="inlineStr">
        <is>
          <t>4</t>
        </is>
      </c>
      <c r="W234" s="17" t="n">
        <v>45758.35757593202</v>
      </c>
      <c r="X234" s="18" t="n">
        <v>38729.17985709913</v>
      </c>
      <c r="Y234" t="n">
        <v>0</v>
      </c>
    </row>
    <row r="235">
      <c r="A235" s="8" t="n">
        <v>233</v>
      </c>
      <c r="B235" t="n">
        <v>34</v>
      </c>
      <c r="C235" s="1" t="n">
        <v>36.6</v>
      </c>
      <c r="D235" s="2">
        <f>HYPERLINK("https://torgi.gov.ru/new/public/lots/lot/21000003300000000045_6/(lotInfo:info)", "21000003300000000045_6")</f>
        <v/>
      </c>
      <c r="E235" t="inlineStr">
        <is>
          <t>Нежилое помещение площадью 36,6 кв.м (4 этаж), кадастровый номер 34:34:080114:161. Волгоград, Красноармейский район, ул. 40 лет ВЛКСМ, д. 58. Полная информация приведена в файле с Информационным сообщением.</t>
        </is>
      </c>
      <c r="F235" s="3" t="inlineStr">
        <is>
          <t>13.09.22 14:30</t>
        </is>
      </c>
      <c r="G235" t="inlineStr">
        <is>
          <t>г Волгоград, ул 40 лет ВЛКСМ, д 58</t>
        </is>
      </c>
      <c r="H235" s="4" t="n">
        <v>282000</v>
      </c>
      <c r="I235" s="4" t="n">
        <v>7704.918032786885</v>
      </c>
      <c r="J235" t="inlineStr">
        <is>
          <t>Нежилое помещение</t>
        </is>
      </c>
      <c r="K235" s="5" t="n">
        <v>10.51</v>
      </c>
      <c r="M235" t="n">
        <v>733</v>
      </c>
      <c r="N235" s="6" t="n">
        <v>1030400</v>
      </c>
      <c r="P235" s="16" t="n">
        <v>4.938850664110326</v>
      </c>
      <c r="Q235" t="inlineStr">
        <is>
          <t>EA</t>
        </is>
      </c>
      <c r="R235" t="inlineStr">
        <is>
          <t>М</t>
        </is>
      </c>
      <c r="S235" s="2">
        <f>HYPERLINK("https://yandex.ru/maps/?&amp;text=48.504603, 44.581914", "48.504603, 44.581914")</f>
        <v/>
      </c>
      <c r="U235" t="inlineStr">
        <is>
          <t>34:34:080114:161</t>
        </is>
      </c>
      <c r="V235" s="7" t="inlineStr">
        <is>
          <t>4</t>
        </is>
      </c>
      <c r="W235" s="17" t="n">
        <v>45758.35757593202</v>
      </c>
      <c r="X235" s="18" t="n">
        <v>38053.43954314514</v>
      </c>
      <c r="Y235" t="n">
        <v>0</v>
      </c>
    </row>
    <row r="236">
      <c r="A236" s="8" t="n">
        <v>234</v>
      </c>
      <c r="B236" t="n">
        <v>34</v>
      </c>
      <c r="C236" s="1" t="n">
        <v>34</v>
      </c>
      <c r="D236" s="2">
        <f>HYPERLINK("https://torgi.gov.ru/new/public/lots/lot/21000003300000000045_4/(lotInfo:info)", "21000003300000000045_4")</f>
        <v/>
      </c>
      <c r="E236" t="inlineStr">
        <is>
          <t>Нежилое помещение площадью 34,0 кв.м (4 этаж), кадастровый номер 34:34:080114:138. Волгоград, Красноармейский район, ул. 40 лет ВЛКСМ, д. 58.  Полная информация приведена в файле с Информационным сообщением.</t>
        </is>
      </c>
      <c r="F236" s="3" t="inlineStr">
        <is>
          <t>13.09.22 14:30</t>
        </is>
      </c>
      <c r="G236" t="inlineStr">
        <is>
          <t>г Волгоград, ул 40 лет ВЛКСМ, д 58</t>
        </is>
      </c>
      <c r="H236" s="4" t="n">
        <v>262000</v>
      </c>
      <c r="I236" s="4" t="n">
        <v>7705.882352941177</v>
      </c>
      <c r="J236" t="inlineStr">
        <is>
          <t>Нежилое помещение</t>
        </is>
      </c>
      <c r="K236" s="5" t="n">
        <v>10.51</v>
      </c>
      <c r="M236" t="n">
        <v>733</v>
      </c>
      <c r="N236" s="6" t="n">
        <v>1030400</v>
      </c>
      <c r="P236" s="16" t="n">
        <v>4.938107471685835</v>
      </c>
      <c r="Q236" t="inlineStr">
        <is>
          <t>EA</t>
        </is>
      </c>
      <c r="R236" t="inlineStr">
        <is>
          <t>М</t>
        </is>
      </c>
      <c r="S236" s="2">
        <f>HYPERLINK("https://yandex.ru/maps/?&amp;text=48.504603, 44.581914", "48.504603, 44.581914")</f>
        <v/>
      </c>
      <c r="U236" t="inlineStr">
        <is>
          <t>34:34:080114:138</t>
        </is>
      </c>
      <c r="V236" s="7" t="inlineStr">
        <is>
          <t>4</t>
        </is>
      </c>
      <c r="W236" s="17" t="n">
        <v>45758.35757593202</v>
      </c>
      <c r="X236" s="18" t="n">
        <v>38052.47522299085</v>
      </c>
      <c r="Y236" t="n">
        <v>0</v>
      </c>
    </row>
    <row r="237">
      <c r="A237" s="8" t="n">
        <v>235</v>
      </c>
      <c r="B237" t="n">
        <v>34</v>
      </c>
      <c r="C237" s="1" t="n">
        <v>58.1</v>
      </c>
      <c r="D237" s="2">
        <f>HYPERLINK("https://torgi.gov.ru/new/public/lots/lot/21000003300000000044_2/(lotInfo:info)", "21000003300000000044_2")</f>
        <v/>
      </c>
      <c r="E237" t="inlineStr">
        <is>
          <t>Нежилое помещение площадью 58,1 кв.м (3 этаж), кадастровый номер 34:34:080114:231. Волгоград, Красноармейский район, ул. 40 лет ВЛКСМ, д. 58. Полная информация приведена в файле с Информационным сообщением.</t>
        </is>
      </c>
      <c r="F237" s="3" t="inlineStr">
        <is>
          <t>06.09.22 14:30</t>
        </is>
      </c>
      <c r="G237" t="inlineStr">
        <is>
          <t>г Волгоград, ул 40 лет ВЛКСМ, д 58</t>
        </is>
      </c>
      <c r="H237" s="4" t="n">
        <v>460000</v>
      </c>
      <c r="I237" s="4" t="n">
        <v>7917.383820998279</v>
      </c>
      <c r="J237" t="inlineStr">
        <is>
          <t>Нежилое помещение</t>
        </is>
      </c>
      <c r="K237" s="5" t="n">
        <v>10.8</v>
      </c>
      <c r="M237" t="n">
        <v>733</v>
      </c>
      <c r="N237" s="6" t="n">
        <v>1030400</v>
      </c>
      <c r="P237" s="16" t="n">
        <v>4.77947951122098</v>
      </c>
      <c r="Q237" t="inlineStr">
        <is>
          <t>EA</t>
        </is>
      </c>
      <c r="R237" t="inlineStr">
        <is>
          <t>М</t>
        </is>
      </c>
      <c r="S237" s="2">
        <f>HYPERLINK("https://yandex.ru/maps/?&amp;text=48.504603, 44.581914", "48.504603, 44.581914")</f>
        <v/>
      </c>
      <c r="U237" t="inlineStr">
        <is>
          <t>34:34:080114:231</t>
        </is>
      </c>
      <c r="V237" s="7" t="inlineStr">
        <is>
          <t>3</t>
        </is>
      </c>
      <c r="W237" s="17" t="n">
        <v>45758.35757593202</v>
      </c>
      <c r="X237" s="18" t="n">
        <v>37840.97375493374</v>
      </c>
      <c r="Y237" t="n">
        <v>0</v>
      </c>
    </row>
    <row r="238">
      <c r="A238" s="8" t="n">
        <v>236</v>
      </c>
      <c r="B238" t="n">
        <v>34</v>
      </c>
      <c r="C238" s="1" t="n">
        <v>96.59999999999999</v>
      </c>
      <c r="D238" s="2">
        <f>HYPERLINK("https://torgi.gov.ru/new/public/lots/lot/21000003300000000051_1/(lotInfo:info)", "21000003300000000051_1")</f>
        <v/>
      </c>
      <c r="E238" t="inlineStr">
        <is>
          <t>Нежилое помещение площадью 96,6 кв.м, цокольный этаж (кадастровый номер 34:34:010064:2666). Цокольный этаж- 96,6 кв.м. Волгоград, Тракторозаводский район, ул. им Луговского, д. 3.Полная информация приведена в файле с Информационным сообщением.</t>
        </is>
      </c>
      <c r="F238" s="3" t="inlineStr">
        <is>
          <t>03.10.22 14:30</t>
        </is>
      </c>
      <c r="G238" t="inlineStr">
        <is>
          <t>г Волгоград, ул им. Луговского, влд 3</t>
        </is>
      </c>
      <c r="H238" s="4" t="n">
        <v>768000</v>
      </c>
      <c r="I238" s="4" t="n">
        <v>7950.310559006211</v>
      </c>
      <c r="J238" t="inlineStr">
        <is>
          <t>Нежилое помещение</t>
        </is>
      </c>
      <c r="K238" s="5" t="n">
        <v>1.09</v>
      </c>
      <c r="L238" s="4" t="n">
        <v>3975</v>
      </c>
      <c r="M238" t="n">
        <v>7290</v>
      </c>
      <c r="N238" s="6" t="n">
        <v>1030400</v>
      </c>
      <c r="O238" t="n">
        <v>2</v>
      </c>
      <c r="P238" s="16" t="n">
        <v>2.376791689863912</v>
      </c>
      <c r="Q238" t="inlineStr">
        <is>
          <t>PP</t>
        </is>
      </c>
      <c r="R238" t="inlineStr">
        <is>
          <t>М</t>
        </is>
      </c>
      <c r="S238" s="2">
        <f>HYPERLINK("https://yandex.ru/maps/?&amp;text=48.795689, 44.580136", "48.795689, 44.580136")</f>
        <v/>
      </c>
      <c r="T238" s="2">
        <f>HYPERLINK("D:\venv_torgi\env\cache\objs_in_district/48.795689_44.580136.json", "48.795689_44.580136.json")</f>
        <v/>
      </c>
      <c r="U238" t="inlineStr">
        <is>
          <t>34:34:010064:2666</t>
        </is>
      </c>
      <c r="V238" s="7" t="inlineStr">
        <is>
          <t>0</t>
        </is>
      </c>
      <c r="W238" s="17" t="n">
        <v>26846.54262748949</v>
      </c>
      <c r="X238" s="18" t="n">
        <v>18896.23206848327</v>
      </c>
      <c r="Y238" t="n">
        <v>0</v>
      </c>
    </row>
    <row r="239">
      <c r="A239" s="8" t="n">
        <v>237</v>
      </c>
      <c r="B239" t="n">
        <v>34</v>
      </c>
      <c r="C239" s="1" t="n">
        <v>60.8</v>
      </c>
      <c r="D239" s="2">
        <f>HYPERLINK("https://torgi.gov.ru/new/public/lots/lot/21000003300000000043_3/(lotInfo:info)", "21000003300000000043_3")</f>
        <v/>
      </c>
      <c r="E239" t="inlineStr">
        <is>
          <t>Нежилое помещение площадью 60,8 кв.м (1 этаж) , кадастровый номер 34:34:010011:4301. Волгоград, Тракторозаводский район, ул. Героев Шипки, д. 49. Полная информация приведена в файле с Информационным сообщением.</t>
        </is>
      </c>
      <c r="F239" s="3" t="inlineStr">
        <is>
          <t>30.08.22 14:30</t>
        </is>
      </c>
      <c r="G239" t="inlineStr">
        <is>
          <t>г Волгоград, ул Героев Шипки, влд 49</t>
        </is>
      </c>
      <c r="H239" s="4" t="n">
        <v>558000</v>
      </c>
      <c r="I239" s="4" t="n">
        <v>9177.631578947368</v>
      </c>
      <c r="J239" t="inlineStr">
        <is>
          <t>Нежилое помещение</t>
        </is>
      </c>
      <c r="K239" s="5" t="n">
        <v>5.23</v>
      </c>
      <c r="L239" s="4" t="n">
        <v>1529.5</v>
      </c>
      <c r="M239" t="n">
        <v>1754</v>
      </c>
      <c r="N239" s="6" t="n">
        <v>1030400</v>
      </c>
      <c r="O239" t="n">
        <v>6</v>
      </c>
      <c r="P239" s="16" t="n">
        <v>1.925214680557994</v>
      </c>
      <c r="Q239" t="inlineStr">
        <is>
          <t>EA</t>
        </is>
      </c>
      <c r="R239" t="inlineStr">
        <is>
          <t>М</t>
        </is>
      </c>
      <c r="S239" s="2">
        <f>HYPERLINK("https://yandex.ru/maps/?&amp;text=48.838266, 44.637089", "48.838266, 44.637089")</f>
        <v/>
      </c>
      <c r="T239" s="2">
        <f>HYPERLINK("D:\venv_torgi\env\cache\objs_in_district/48.838266_44.637089.json", "48.838266_44.637089.json")</f>
        <v/>
      </c>
      <c r="U239" t="inlineStr">
        <is>
          <t>34:34:010011:4301</t>
        </is>
      </c>
      <c r="V239" s="7" t="inlineStr">
        <is>
          <t>1</t>
        </is>
      </c>
      <c r="W239" s="17" t="n">
        <v>26846.54262748949</v>
      </c>
      <c r="X239" s="18" t="n">
        <v>17668.91104854212</v>
      </c>
      <c r="Y239" t="n">
        <v>0</v>
      </c>
    </row>
    <row r="240">
      <c r="A240" s="8" t="n">
        <v>238</v>
      </c>
      <c r="B240" t="n">
        <v>34</v>
      </c>
      <c r="C240" s="1" t="n">
        <v>17.5</v>
      </c>
      <c r="D240" s="2">
        <f>HYPERLINK("https://torgi.gov.ru/new/public/lots/lot/21000003300000000045_5/(lotInfo:info)", "21000003300000000045_5")</f>
        <v/>
      </c>
      <c r="E240" t="inlineStr">
        <is>
          <t>Нежилое помещение площадью 17,5 кв.м (4 этаж), кадастровый номер 34:34:080114:144. Волгоград, Красноармейский район, ул. 40 лет ВЛКСМ, д. 58. Полная информация приведена в файле с Информационным сообщением.</t>
        </is>
      </c>
      <c r="F240" s="3" t="inlineStr">
        <is>
          <t>13.09.22 14:30</t>
        </is>
      </c>
      <c r="G240" t="inlineStr">
        <is>
          <t>г Волгоград, ул 40 лет ВЛКСМ, д 58</t>
        </is>
      </c>
      <c r="H240" s="4" t="n">
        <v>162000</v>
      </c>
      <c r="I240" s="4" t="n">
        <v>9257.142857142857</v>
      </c>
      <c r="J240" t="inlineStr">
        <is>
          <t>Нежилое помещение</t>
        </is>
      </c>
      <c r="K240" s="5" t="n">
        <v>12.63</v>
      </c>
      <c r="M240" t="n">
        <v>733</v>
      </c>
      <c r="N240" s="6" t="n">
        <v>1030400</v>
      </c>
      <c r="P240" s="16" t="n">
        <v>3.943032454190188</v>
      </c>
      <c r="Q240" t="inlineStr">
        <is>
          <t>EA</t>
        </is>
      </c>
      <c r="R240" t="inlineStr">
        <is>
          <t>М</t>
        </is>
      </c>
      <c r="S240" s="2">
        <f>HYPERLINK("https://yandex.ru/maps/?&amp;text=48.504603, 44.581914", "48.504603, 44.581914")</f>
        <v/>
      </c>
      <c r="U240" t="inlineStr">
        <is>
          <t>34:34:080114:144</t>
        </is>
      </c>
      <c r="V240" s="7" t="inlineStr">
        <is>
          <t>4</t>
        </is>
      </c>
      <c r="W240" s="17" t="n">
        <v>45758.35757593202</v>
      </c>
      <c r="X240" s="18" t="n">
        <v>36501.21471878917</v>
      </c>
      <c r="Y240" t="n">
        <v>0</v>
      </c>
    </row>
    <row r="241">
      <c r="A241" s="8" t="n">
        <v>239</v>
      </c>
      <c r="B241" t="n">
        <v>34</v>
      </c>
      <c r="C241" s="1" t="n">
        <v>330.8</v>
      </c>
      <c r="D241" s="2">
        <f>HYPERLINK("https://torgi.gov.ru/new/public/lots/lot/21000007070000000028_1/(lotInfo:info)", "21000007070000000028_1")</f>
        <v/>
      </c>
      <c r="E241" t="inlineStr">
        <is>
          <t>Нежилое помещение с кадастровым номером 34:36:000022:4705, общая площадь 330,8 кв.м, по адресу: обл. Волгоградская, г. Камышин, ул. Волгоградская, д. 29, пом. 53.</t>
        </is>
      </c>
      <c r="F241" s="3" t="inlineStr">
        <is>
          <t>21.09.22 05:30</t>
        </is>
      </c>
      <c r="G241" t="inlineStr">
        <is>
          <t>Волгоградская обл, г Камышин, ул Волгоградская, д 29</t>
        </is>
      </c>
      <c r="H241" s="4" t="n">
        <v>3137638</v>
      </c>
      <c r="I241" s="4" t="n">
        <v>9485</v>
      </c>
      <c r="J241" t="inlineStr">
        <is>
          <t>Нежилое помещение</t>
        </is>
      </c>
      <c r="K241" s="5" t="n">
        <v>1.04</v>
      </c>
      <c r="L241" s="4" t="n">
        <v>3161.67</v>
      </c>
      <c r="M241" t="n">
        <v>9111</v>
      </c>
      <c r="N241" s="6" t="n">
        <v>115070</v>
      </c>
      <c r="O241" t="n">
        <v>3</v>
      </c>
      <c r="Q241" t="inlineStr">
        <is>
          <t>EA</t>
        </is>
      </c>
      <c r="R241" t="inlineStr">
        <is>
          <t>М</t>
        </is>
      </c>
      <c r="S241" s="2">
        <f>HYPERLINK("https://yandex.ru/maps/?&amp;text=50.073616, 45.390244", "50.073616, 45.390244")</f>
        <v/>
      </c>
      <c r="T241" s="2">
        <f>HYPERLINK("D:\venv_torgi\env\cache\objs_in_district/50.073616_45.390244.json", "50.073616_45.390244.json")</f>
        <v/>
      </c>
      <c r="U241" t="inlineStr">
        <is>
          <t xml:space="preserve">34:36:000022:4705, </t>
        </is>
      </c>
      <c r="V241" s="7" t="inlineStr">
        <is>
          <t>1</t>
        </is>
      </c>
      <c r="W241" s="20" t="n">
        <v>6744.799635829221</v>
      </c>
      <c r="X241" s="23" t="n">
        <v>-2740.200364170779</v>
      </c>
      <c r="Y241" t="n">
        <v>0</v>
      </c>
    </row>
    <row r="242">
      <c r="A242" s="8" t="n">
        <v>240</v>
      </c>
      <c r="B242" t="n">
        <v>34</v>
      </c>
      <c r="C242" s="1" t="n">
        <v>475</v>
      </c>
      <c r="D242" s="2">
        <f>HYPERLINK("https://torgi.gov.ru/new/public/lots/lot/21000029410000000006_8/(lotInfo:info)", "21000029410000000006_8")</f>
        <v/>
      </c>
      <c r="E242" t="inlineStr">
        <is>
          <t>нежилое помещение площадью 475,0 кв.м., с кадастровым номером 34:37:010214:5493, расположенное на первом этаже жилого здания по адресу: Волгоградская область,  г. Михайловка, ул. Обороны, 71а</t>
        </is>
      </c>
      <c r="F242" s="3" t="inlineStr">
        <is>
          <t>22.09.22 14:00</t>
        </is>
      </c>
      <c r="G242" t="inlineStr">
        <is>
          <t>Волгоградская обл, г Михайловка, ул Обороны, д 71а</t>
        </is>
      </c>
      <c r="H242" s="4" t="n">
        <v>6416000</v>
      </c>
      <c r="I242" s="4" t="n">
        <v>13507.36842105263</v>
      </c>
      <c r="J242" t="inlineStr">
        <is>
          <t>Нежилое помещение</t>
        </is>
      </c>
      <c r="K242" s="5" t="n">
        <v>2.79</v>
      </c>
      <c r="L242" s="4" t="n">
        <v>314.12</v>
      </c>
      <c r="M242" t="n">
        <v>4839</v>
      </c>
      <c r="N242" s="6" t="n">
        <v>87599</v>
      </c>
      <c r="O242" t="n">
        <v>43</v>
      </c>
      <c r="Q242" t="inlineStr">
        <is>
          <t>EA</t>
        </is>
      </c>
      <c r="R242" t="inlineStr">
        <is>
          <t>М</t>
        </is>
      </c>
      <c r="S242" s="2">
        <f>HYPERLINK("https://yandex.ru/maps/?&amp;text=50.074757, 43.228054", "50.074757, 43.228054")</f>
        <v/>
      </c>
      <c r="T242" s="2">
        <f>HYPERLINK("D:\venv_torgi\env\cache\objs_in_district/50.074757_43.228054.json", "50.074757_43.228054.json")</f>
        <v/>
      </c>
      <c r="U242" t="inlineStr">
        <is>
          <t xml:space="preserve">34:37:010214:5493, </t>
        </is>
      </c>
      <c r="V242" s="7" t="inlineStr">
        <is>
          <t>1</t>
        </is>
      </c>
      <c r="W242" s="20" t="n">
        <v>7580.293239265166</v>
      </c>
      <c r="X242" s="23" t="n">
        <v>-5927.075181787464</v>
      </c>
      <c r="Y242" t="n">
        <v>0</v>
      </c>
    </row>
    <row r="243">
      <c r="A243" s="8" t="n">
        <v>241</v>
      </c>
      <c r="B243" t="n">
        <v>34</v>
      </c>
      <c r="C243" s="1" t="n">
        <v>62.8</v>
      </c>
      <c r="D243" s="2">
        <f>HYPERLINK("https://torgi.gov.ru/new/public/lots/lot/21000003300000000051_3/(lotInfo:info)", "21000003300000000051_3")</f>
        <v/>
      </c>
      <c r="E243" t="inlineStr">
        <is>
          <t>Нежилое помещение площадью  62,8  кв.м, цокольный этаж(кадастровый номер 34:34:070001:1854). Цокольный этаж- 62,8 кв.м. Волгоград, Кировский район, ул. 64-й Армии, д. 137. Полная информация приведена в файле с Информационным сообщением.</t>
        </is>
      </c>
      <c r="F243" s="3" t="inlineStr">
        <is>
          <t>03.10.22 14:30</t>
        </is>
      </c>
      <c r="G243" t="inlineStr">
        <is>
          <t>г Волгоград, ул 64-й Армии, д 137</t>
        </is>
      </c>
      <c r="H243" s="4" t="n">
        <v>1002000</v>
      </c>
      <c r="I243" s="4" t="n">
        <v>15955.41401273885</v>
      </c>
      <c r="J243" t="inlineStr">
        <is>
          <t>Нежилое помещение</t>
        </is>
      </c>
      <c r="K243" s="5" t="n">
        <v>1.91</v>
      </c>
      <c r="L243" s="4" t="n">
        <v>419.87</v>
      </c>
      <c r="M243" t="n">
        <v>8349</v>
      </c>
      <c r="N243" s="6" t="n">
        <v>1030400</v>
      </c>
      <c r="O243" t="n">
        <v>38</v>
      </c>
      <c r="P243" s="16" t="n">
        <v>0.6825976816430539</v>
      </c>
      <c r="Q243" t="inlineStr">
        <is>
          <t>PP</t>
        </is>
      </c>
      <c r="R243" t="inlineStr">
        <is>
          <t>М</t>
        </is>
      </c>
      <c r="S243" s="2">
        <f>HYPERLINK("https://yandex.ru/maps/?&amp;text=48.622523, 44.423029", "48.622523, 44.423029")</f>
        <v/>
      </c>
      <c r="T243" s="2">
        <f>HYPERLINK("D:\venv_torgi\env\cache\objs_in_district/48.622523_44.423029.json", "48.622523_44.423029.json")</f>
        <v/>
      </c>
      <c r="U243" t="inlineStr">
        <is>
          <t>34:34:070001:1854</t>
        </is>
      </c>
      <c r="V243" s="7" t="inlineStr">
        <is>
          <t>0</t>
        </is>
      </c>
      <c r="W243" s="17" t="n">
        <v>26846.54262748949</v>
      </c>
      <c r="X243" s="18" t="n">
        <v>10891.12861475064</v>
      </c>
      <c r="Y243" t="n">
        <v>0</v>
      </c>
    </row>
    <row r="244">
      <c r="A244" s="8" t="n">
        <v>242</v>
      </c>
      <c r="B244" t="n">
        <v>34</v>
      </c>
      <c r="C244" s="1" t="n">
        <v>78.09999999999999</v>
      </c>
      <c r="D244" s="2">
        <f>HYPERLINK("https://torgi.gov.ru/new/public/lots/lot/22000003530000000028_1/(lotInfo:info)", "22000003530000000028_1")</f>
        <v/>
      </c>
      <c r="E244" t="inlineStr">
        <is>
          <t>нежилое помещение, площадью 78,1 кв.м, включающее в себя помещение общего пользования, туалет и два кабинета</t>
        </is>
      </c>
      <c r="F244" s="3" t="inlineStr">
        <is>
          <t>18.09.22 07:00</t>
        </is>
      </c>
      <c r="G244" t="inlineStr">
        <is>
          <t>Волгоградская обл, г Урюпинск, ул Карбышева, д 4</t>
        </is>
      </c>
      <c r="H244" s="4" t="n">
        <v>1316200</v>
      </c>
      <c r="I244" s="4" t="n">
        <v>16852.7528809219</v>
      </c>
      <c r="J244" t="inlineStr">
        <is>
          <t>Нежилое помещение</t>
        </is>
      </c>
      <c r="K244" s="5" t="n">
        <v>4.87</v>
      </c>
      <c r="L244" s="4" t="n">
        <v>443.47</v>
      </c>
      <c r="M244" t="n">
        <v>3462</v>
      </c>
      <c r="N244" s="6" t="n">
        <v>39844</v>
      </c>
      <c r="O244" t="n">
        <v>38</v>
      </c>
      <c r="P244" s="21" t="n">
        <v>0.5941774379343848</v>
      </c>
      <c r="Q244" t="inlineStr">
        <is>
          <t>EA</t>
        </is>
      </c>
      <c r="R244" t="inlineStr">
        <is>
          <t>М</t>
        </is>
      </c>
      <c r="S244" s="2">
        <f>HYPERLINK("https://yandex.ru/maps/?&amp;text=50.79836, 42.008736", "50.79836, 42.008736")</f>
        <v/>
      </c>
      <c r="T244" s="2">
        <f>HYPERLINK("D:\venv_torgi\env\cache\objs_in_district/50.79836_42.008736.json", "50.79836_42.008736.json")</f>
        <v/>
      </c>
      <c r="U244" t="inlineStr">
        <is>
          <t xml:space="preserve">34:38:010002:1303, </t>
        </is>
      </c>
      <c r="W244" s="20" t="n">
        <v>26866.27840984939</v>
      </c>
      <c r="X244" s="22" t="n">
        <v>10013.52552892749</v>
      </c>
      <c r="Y244" t="n">
        <v>0</v>
      </c>
    </row>
    <row r="245">
      <c r="A245" s="8" t="n">
        <v>243</v>
      </c>
      <c r="B245" t="n">
        <v>34</v>
      </c>
      <c r="C245" s="1" t="n">
        <v>76.8</v>
      </c>
      <c r="D245" s="2">
        <f>HYPERLINK("https://torgi.gov.ru/new/public/lots/lot/21000003300000000043_5/(lotInfo:info)", "21000003300000000043_5")</f>
        <v/>
      </c>
      <c r="E245" t="inlineStr">
        <is>
          <t>Нежилое помещение в многоквартирном доме площадью 76,8 кв.м (1 этаж), кадастровый номер  34:34:080071:775. Волгоград, Красноармейский район, ул. им. Доценко, дом 39, пом. I. Полная информация приведена в файле с Информационным сообщением.</t>
        </is>
      </c>
      <c r="F245" s="3" t="inlineStr">
        <is>
          <t>30.08.22 14:30</t>
        </is>
      </c>
      <c r="G245" t="inlineStr">
        <is>
          <t>Волгоград, Красноармейский район, ул. им. Доценко, дом 39, пом. I</t>
        </is>
      </c>
      <c r="H245" s="4" t="n">
        <v>2416000</v>
      </c>
      <c r="I245" s="4" t="n">
        <v>31458.33333333334</v>
      </c>
      <c r="J245" t="inlineStr">
        <is>
          <t>Нежилое помещение</t>
        </is>
      </c>
      <c r="K245" s="5" t="n">
        <v>10.1</v>
      </c>
      <c r="L245" s="4" t="n">
        <v>3932.25</v>
      </c>
      <c r="M245" t="n">
        <v>3114</v>
      </c>
      <c r="O245" t="n">
        <v>8</v>
      </c>
      <c r="Q245" t="inlineStr">
        <is>
          <t>EA</t>
        </is>
      </c>
      <c r="R245" t="inlineStr">
        <is>
          <t>М</t>
        </is>
      </c>
      <c r="S245" s="2">
        <f>HYPERLINK("https://yandex.ru/maps/?&amp;text=48.513335, 44.52789", "48.513335, 44.52789")</f>
        <v/>
      </c>
      <c r="T245" s="2">
        <f>HYPERLINK("D:\venv_torgi\env\cache\objs_in_district/48.513335_44.52789.json", "48.513335_44.52789.json")</f>
        <v/>
      </c>
      <c r="U245" t="inlineStr">
        <is>
          <t>34:34:080071:775</t>
        </is>
      </c>
      <c r="V245" s="7" t="inlineStr">
        <is>
          <t>1</t>
        </is>
      </c>
      <c r="Y245" t="n">
        <v>0</v>
      </c>
    </row>
    <row r="246">
      <c r="A246" s="8" t="n">
        <v>244</v>
      </c>
      <c r="B246" t="n">
        <v>35</v>
      </c>
      <c r="C246" s="1" t="n">
        <v>114.2</v>
      </c>
      <c r="D246" s="2">
        <f>HYPERLINK("https://torgi.gov.ru/new/public/lots/lot/22000056560000000009_1/(lotInfo:info)", "22000056560000000009_1")</f>
        <v/>
      </c>
      <c r="E246" t="inlineStr">
        <is>
          <t>Нежилые помещения кадастровый номер 35:28:0202033:206, общей площадью 114,2 кв.м., этажность -2 назначение- нежилое, литер -А номера на поэтажном плане 29-32 на втором этаже по адресу объекта: Вологодская область, Грязовецкий район, д.Фрол, д.42</t>
        </is>
      </c>
      <c r="F246" s="3" t="inlineStr">
        <is>
          <t>07.09.22 20:00</t>
        </is>
      </c>
      <c r="G246" t="inlineStr">
        <is>
          <t>Вологодская обл, Грязовецкий р-н, деревня Фрол, д 42</t>
        </is>
      </c>
      <c r="H246" s="4" t="n">
        <v>157700</v>
      </c>
      <c r="I246" s="4" t="n">
        <v>1380.910683012259</v>
      </c>
      <c r="J246" t="inlineStr">
        <is>
          <t>Нежилое помещение</t>
        </is>
      </c>
      <c r="K246" s="5" t="n">
        <v>86.25</v>
      </c>
      <c r="L246" s="10" t="n"/>
      <c r="M246" t="n">
        <v>16</v>
      </c>
      <c r="N246" s="6" t="n">
        <v>318</v>
      </c>
      <c r="O246" t="inlineStr">
        <is>
          <t>0</t>
        </is>
      </c>
      <c r="P246" s="21" t="n">
        <v>10.74772893242759</v>
      </c>
      <c r="Q246" t="inlineStr">
        <is>
          <t>PP</t>
        </is>
      </c>
      <c r="R246" t="inlineStr">
        <is>
          <t>М</t>
        </is>
      </c>
      <c r="S246" s="2">
        <f>HYPERLINK("https://yandex.ru/maps/?&amp;text=58.921568, 40.492002", "58.921568, 40.492002")</f>
        <v/>
      </c>
      <c r="T246" s="11">
        <f>HYPERLINK("D:\venv_torgi\env\cache\objs_in_district/58.921568_40.492002.json", "58.921568_40.492002.json")</f>
        <v/>
      </c>
      <c r="U246" t="inlineStr">
        <is>
          <t xml:space="preserve">35:28:0202033:206, </t>
        </is>
      </c>
      <c r="V246" s="7" t="inlineStr">
        <is>
          <t>2</t>
        </is>
      </c>
      <c r="W246" s="20" t="n">
        <v>16222.56438392146</v>
      </c>
      <c r="X246" s="22" t="n">
        <v>14841.6537009092</v>
      </c>
      <c r="Y246" t="n">
        <v>0</v>
      </c>
    </row>
    <row r="247">
      <c r="A247" s="8" t="n">
        <v>245</v>
      </c>
      <c r="B247" t="n">
        <v>35</v>
      </c>
      <c r="C247" s="1" t="n">
        <v>939.8</v>
      </c>
      <c r="D247" s="2">
        <f>HYPERLINK("https://torgi.gov.ru/new/public/lots/lot/22000056560000000008_1/(lotInfo:info)", "22000056560000000008_1")</f>
        <v/>
      </c>
      <c r="E247" t="inlineStr">
        <is>
          <t>Нежилые помещения кадастровый номер 35:28:0201067:161, общей площадью 939,8 кв.м., этажность- 1,2 назначение -нежилое, литер- А номера на поэтажном плане 1-26, 28-50 на первом этаже, 1-14,17, 19-28 на втором этаже по адресу объекта: Вологодская область, Грязовецкий район, д.Фрол, д.42</t>
        </is>
      </c>
      <c r="F247" s="3" t="inlineStr">
        <is>
          <t>07.09.22 20:59</t>
        </is>
      </c>
      <c r="G247" t="inlineStr">
        <is>
          <t>Вологодская обл, Грязовецкий р-н, деревня Фрол, д 42</t>
        </is>
      </c>
      <c r="H247" s="4" t="n">
        <v>1297900</v>
      </c>
      <c r="I247" s="4" t="n">
        <v>1381.038518833795</v>
      </c>
      <c r="J247" t="inlineStr">
        <is>
          <t>Нежилое помещение</t>
        </is>
      </c>
      <c r="K247" s="5" t="n">
        <v>86.31</v>
      </c>
      <c r="L247" s="10" t="n"/>
      <c r="M247" t="n">
        <v>16</v>
      </c>
      <c r="N247" s="6" t="n">
        <v>318</v>
      </c>
      <c r="O247" t="inlineStr">
        <is>
          <t>0</t>
        </is>
      </c>
      <c r="P247" s="21" t="n">
        <v>2.254885307472543</v>
      </c>
      <c r="Q247" t="inlineStr">
        <is>
          <t>PP</t>
        </is>
      </c>
      <c r="R247" t="inlineStr">
        <is>
          <t>М</t>
        </is>
      </c>
      <c r="S247" s="2">
        <f>HYPERLINK("https://yandex.ru/maps/?&amp;text=58.921568, 40.492002", "58.921568, 40.492002")</f>
        <v/>
      </c>
      <c r="T247" s="11">
        <f>HYPERLINK("D:\venv_torgi\env\cache\objs_in_district/58.921568_40.492002.json", "58.921568_40.492002.json")</f>
        <v/>
      </c>
      <c r="U247" t="inlineStr">
        <is>
          <t xml:space="preserve">35:28:0201067:161, </t>
        </is>
      </c>
      <c r="V247" s="7" t="inlineStr">
        <is>
          <t>1</t>
        </is>
      </c>
      <c r="W247" s="20" t="n">
        <v>4495.121984005761</v>
      </c>
      <c r="X247" s="22" t="n">
        <v>3114.083465171966</v>
      </c>
      <c r="Y247" t="n">
        <v>0</v>
      </c>
    </row>
    <row r="248">
      <c r="A248" s="8" t="n">
        <v>246</v>
      </c>
      <c r="B248" t="n">
        <v>35</v>
      </c>
      <c r="C248" s="1" t="n">
        <v>529.6</v>
      </c>
      <c r="D248" s="2">
        <f>HYPERLINK("https://torgi.gov.ru/new/public/lots/lot/22000071450000000001_1/(lotInfo:info)", "22000071450000000001_1")</f>
        <v/>
      </c>
      <c r="E248" t="inlineStr">
        <is>
          <t>Нежилое помещение общей площадью 529,6 кв.м, с кадастровым номером 35:25:0203022:734, расположенное по адресу: Вологодская область, Вологодский район, Федотовское сельское поселение, п.Федотово, д. 32 (4 этаж).</t>
        </is>
      </c>
      <c r="F248" s="3" t="inlineStr">
        <is>
          <t>30.08.22 12:00</t>
        </is>
      </c>
      <c r="G248" t="inlineStr">
        <is>
          <t>Вологодская обл, Вологодский р-н, поселок Федотово, д 32</t>
        </is>
      </c>
      <c r="H248" s="4" t="n">
        <v>1049000</v>
      </c>
      <c r="I248" s="4" t="n">
        <v>1980.740181268882</v>
      </c>
      <c r="J248" t="inlineStr">
        <is>
          <t>Нежилое помещение</t>
        </is>
      </c>
      <c r="K248" s="5" t="n">
        <v>0.64</v>
      </c>
      <c r="L248" s="4" t="n">
        <v>42.13</v>
      </c>
      <c r="M248" t="n">
        <v>3087</v>
      </c>
      <c r="N248" s="6" t="n">
        <v>5205</v>
      </c>
      <c r="O248" t="n">
        <v>47</v>
      </c>
      <c r="P248" s="21" t="n">
        <v>2.827000285524149</v>
      </c>
      <c r="Q248" t="inlineStr">
        <is>
          <t>EA</t>
        </is>
      </c>
      <c r="R248" t="inlineStr">
        <is>
          <t>М</t>
        </is>
      </c>
      <c r="S248" s="2">
        <f>HYPERLINK("https://yandex.ru/maps/?&amp;text=59.203393, 39.17782", "59.203393, 39.17782")</f>
        <v/>
      </c>
      <c r="T248" s="2">
        <f>HYPERLINK("D:\venv_torgi\env\cache\objs_in_district/59.203393_39.17782.json", "59.203393_39.17782.json")</f>
        <v/>
      </c>
      <c r="U248" t="inlineStr">
        <is>
          <t xml:space="preserve">35:25:0203022:734, </t>
        </is>
      </c>
      <c r="V248" s="7" t="inlineStr">
        <is>
          <t>4</t>
        </is>
      </c>
      <c r="W248" s="20" t="n">
        <v>7580.293239265166</v>
      </c>
      <c r="X248" s="22" t="n">
        <v>5599.553057996283</v>
      </c>
      <c r="Y248" t="n">
        <v>0</v>
      </c>
    </row>
    <row r="249">
      <c r="A249" s="8" t="n">
        <v>247</v>
      </c>
      <c r="B249" t="n">
        <v>35</v>
      </c>
      <c r="C249" s="1" t="n">
        <v>98.40000000000001</v>
      </c>
      <c r="D249" s="2">
        <f>HYPERLINK("https://torgi.gov.ru/new/public/lots/lot/21000001250000000147_13/(lotInfo:info)", "21000001250000000147_13")</f>
        <v/>
      </c>
      <c r="E249" t="inlineStr">
        <is>
          <t>Нежилое помещение, площадью 98,4 кв.м., расположенное по адресу: Вологодская обл., Череповецкий р-он, с/с Абакановский, с. Абаканово, ул. Костромцова, д. 25, пом. 1, этаж 01, к/н 35:22:0111041:653</t>
        </is>
      </c>
      <c r="F249" s="3" t="inlineStr">
        <is>
          <t>16.09.22 20:59</t>
        </is>
      </c>
      <c r="G249" t="inlineStr">
        <is>
          <t>Вологодская обл, Череповецкий р-н, село Абаканово, ул Костромцова, д 25, помещ 1</t>
        </is>
      </c>
      <c r="H249" s="4" t="n">
        <v>1270000</v>
      </c>
      <c r="I249" s="4" t="n">
        <v>12906.50406504065</v>
      </c>
      <c r="J249" t="inlineStr">
        <is>
          <t>Нежилое помещение</t>
        </is>
      </c>
      <c r="K249" s="5" t="n">
        <v>19.47</v>
      </c>
      <c r="L249" s="4" t="n">
        <v>2151</v>
      </c>
      <c r="M249" t="n">
        <v>663</v>
      </c>
      <c r="N249" s="6" t="n">
        <v>722</v>
      </c>
      <c r="O249" t="n">
        <v>6</v>
      </c>
      <c r="P249" s="21" t="n">
        <v>0.2569293979353319</v>
      </c>
      <c r="Q249" t="inlineStr">
        <is>
          <t>EA</t>
        </is>
      </c>
      <c r="R249" t="inlineStr">
        <is>
          <t>Д</t>
        </is>
      </c>
      <c r="S249" s="2">
        <f>HYPERLINK("https://yandex.ru/maps/?&amp;text=59.287614, 37.657188", "59.287614, 37.657188")</f>
        <v/>
      </c>
      <c r="T249" s="2">
        <f>HYPERLINK("D:\venv_torgi\env\cache\objs_in_district/59.287614_37.657188.json", "59.287614_37.657188.json")</f>
        <v/>
      </c>
      <c r="U249" t="inlineStr">
        <is>
          <t>35:22:0111041:653</t>
        </is>
      </c>
      <c r="V249" s="7" t="inlineStr">
        <is>
          <t>1</t>
        </is>
      </c>
      <c r="W249" s="20" t="n">
        <v>16222.56438392146</v>
      </c>
      <c r="X249" s="22" t="n">
        <v>3316.060318880807</v>
      </c>
      <c r="Y249" t="n">
        <v>0</v>
      </c>
    </row>
    <row r="250">
      <c r="A250" s="8" t="n">
        <v>248</v>
      </c>
      <c r="B250" t="n">
        <v>35</v>
      </c>
      <c r="C250" s="1" t="n">
        <v>24.5</v>
      </c>
      <c r="D250" s="2">
        <f>HYPERLINK("https://torgi.gov.ru/new/public/lots/lot/21000001250000000147_29/(lotInfo:info)", "21000001250000000147_29")</f>
        <v/>
      </c>
      <c r="E250" t="inlineStr">
        <is>
          <t>Нежилое помещение – гаражный бокс № 182 площадью 24,5 кв.м., расположенный по адресу: Вологодская обл., Вологодский р-он, гск. «Осаново»,  к/н 35:25:0705011:558</t>
        </is>
      </c>
      <c r="F250" s="3" t="inlineStr">
        <is>
          <t>16.09.22 20:59</t>
        </is>
      </c>
      <c r="G250" t="inlineStr">
        <is>
          <t>Вологодская обл, Вологодский р-н, деревня Емельяново, тер. ГСК Осаново</t>
        </is>
      </c>
      <c r="H250" s="4" t="n">
        <v>407000</v>
      </c>
      <c r="I250" s="4" t="n">
        <v>16612.24489795918</v>
      </c>
      <c r="J250" t="inlineStr">
        <is>
          <t>гаражный бокс</t>
        </is>
      </c>
      <c r="K250" s="5" t="n">
        <v>25.92</v>
      </c>
      <c r="L250" s="4" t="n">
        <v>8306</v>
      </c>
      <c r="M250" t="n">
        <v>641</v>
      </c>
      <c r="O250" t="n">
        <v>2</v>
      </c>
      <c r="Q250" t="inlineStr">
        <is>
          <t>EA</t>
        </is>
      </c>
      <c r="R250" t="inlineStr">
        <is>
          <t>Д</t>
        </is>
      </c>
      <c r="S250" s="2">
        <f>HYPERLINK("https://yandex.ru/maps/?&amp;text=59.171126, 39.892044", "59.171126, 39.892044")</f>
        <v/>
      </c>
      <c r="T250" s="2">
        <f>HYPERLINK("D:\venv_torgi\env\cache\objs_in_district/59.171126_39.892044.json", "59.171126_39.892044.json")</f>
        <v/>
      </c>
      <c r="U250" t="inlineStr">
        <is>
          <t>35:25:0705011:558</t>
        </is>
      </c>
      <c r="V250" s="7" t="inlineStr">
        <is>
          <t>1</t>
        </is>
      </c>
      <c r="Y250" t="n">
        <v>0</v>
      </c>
    </row>
    <row r="251">
      <c r="A251" s="8" t="n">
        <v>249</v>
      </c>
      <c r="B251" t="n">
        <v>35</v>
      </c>
      <c r="C251" s="1" t="n">
        <v>228.2</v>
      </c>
      <c r="D251" s="2">
        <f>HYPERLINK("https://torgi.gov.ru/new/public/lots/lot/22000028730000000007_4/(lotInfo:info)", "22000028730000000007_4")</f>
        <v/>
      </c>
      <c r="E251" t="inlineStr">
        <is>
          <t>Нежилое помещение с кадастровым номером 35:21:0401020:3832 площадью 228,2 кв. м, расположенное по адресу: Вологодская область, г. Череповец, пр. Строителей, д. 23А, этаж – 1.</t>
        </is>
      </c>
      <c r="F251" s="3" t="inlineStr">
        <is>
          <t>29.08.22 21:00</t>
        </is>
      </c>
      <c r="G251" t="inlineStr">
        <is>
          <t>Вологодская обл, г Череповец, пр-кт Строителей, д 23А</t>
        </is>
      </c>
      <c r="H251" s="4" t="n">
        <v>6850000</v>
      </c>
      <c r="I251" s="4" t="n">
        <v>30017.52848378615</v>
      </c>
      <c r="J251" t="inlineStr">
        <is>
          <t>Нежилое помещение</t>
        </is>
      </c>
      <c r="K251" s="5" t="n">
        <v>3.58</v>
      </c>
      <c r="L251" s="4" t="n">
        <v>1429.38</v>
      </c>
      <c r="M251" t="n">
        <v>8391</v>
      </c>
      <c r="N251" s="6" t="n">
        <v>318107</v>
      </c>
      <c r="O251" t="n">
        <v>21</v>
      </c>
      <c r="Q251" t="inlineStr">
        <is>
          <t>EA</t>
        </is>
      </c>
      <c r="R251" t="inlineStr">
        <is>
          <t>М</t>
        </is>
      </c>
      <c r="S251" s="2">
        <f>HYPERLINK("https://yandex.ru/maps/?&amp;text=59.121721, 37.8934", "59.121721, 37.8934")</f>
        <v/>
      </c>
      <c r="T251" s="2">
        <f>HYPERLINK("D:\venv_torgi\env\cache\objs_in_district/59.121721_37.8934.json", "59.121721_37.8934.json")</f>
        <v/>
      </c>
      <c r="U251" t="inlineStr">
        <is>
          <t xml:space="preserve">35:21:0401020:3832 </t>
        </is>
      </c>
      <c r="W251" s="20" t="n">
        <v>16978.25983052898</v>
      </c>
      <c r="X251" s="23" t="n">
        <v>-13039.26865325718</v>
      </c>
      <c r="Y251" t="n">
        <v>0</v>
      </c>
    </row>
    <row r="252">
      <c r="A252" s="8" t="n">
        <v>250</v>
      </c>
      <c r="B252" t="n">
        <v>35</v>
      </c>
      <c r="C252" s="1" t="n">
        <v>81.8</v>
      </c>
      <c r="D252" s="2">
        <f>HYPERLINK("https://torgi.gov.ru/new/public/lots/lot/21000002750000000068_1/(lotInfo:info)", "21000002750000000068_1")</f>
        <v/>
      </c>
      <c r="E252" t="inlineStr">
        <is>
          <t>нежилые помещения с кадастровым номером 35:24:0402013:5534 общей площадью 81,8 кв. м, расположенные по адресу: Вологодская область, г. Вологда, ул. Возрождения, д. 74в.</t>
        </is>
      </c>
      <c r="F252" s="3" t="inlineStr">
        <is>
          <t>15.09.22 12:00</t>
        </is>
      </c>
      <c r="G252" t="inlineStr">
        <is>
          <t>г Вологда, ул Возрождения, д 74в</t>
        </is>
      </c>
      <c r="H252" s="4" t="n">
        <v>3675000</v>
      </c>
      <c r="I252" s="4" t="n">
        <v>44926.65036674817</v>
      </c>
      <c r="J252" t="inlineStr">
        <is>
          <t>Нежилое помещение</t>
        </is>
      </c>
      <c r="K252" s="5" t="n">
        <v>7.64</v>
      </c>
      <c r="L252" s="4" t="n">
        <v>2139.33</v>
      </c>
      <c r="M252" t="n">
        <v>5881</v>
      </c>
      <c r="N252" s="6" t="n">
        <v>319408</v>
      </c>
      <c r="O252" t="n">
        <v>21</v>
      </c>
      <c r="Q252" t="inlineStr">
        <is>
          <t>EA</t>
        </is>
      </c>
      <c r="R252" t="inlineStr">
        <is>
          <t>М</t>
        </is>
      </c>
      <c r="S252" s="2">
        <f>HYPERLINK("https://yandex.ru/maps/?&amp;text=59.196339, 39.831425", "59.196339, 39.831425")</f>
        <v/>
      </c>
      <c r="T252" s="2">
        <f>HYPERLINK("D:\venv_torgi\env\cache\objs_in_district/59.196339_39.831425.json", "59.196339_39.831425.json")</f>
        <v/>
      </c>
      <c r="U252" t="inlineStr">
        <is>
          <t xml:space="preserve">35:24:0402013:5534 </t>
        </is>
      </c>
      <c r="W252" s="20" t="n">
        <v>26866.27840984939</v>
      </c>
      <c r="X252" s="23" t="n">
        <v>-18060.37195689877</v>
      </c>
      <c r="Y252" t="n">
        <v>0</v>
      </c>
    </row>
    <row r="253">
      <c r="A253" s="8" t="n">
        <v>251</v>
      </c>
      <c r="B253" t="n">
        <v>35</v>
      </c>
      <c r="C253" s="1" t="n">
        <v>44.6</v>
      </c>
      <c r="D253" s="2">
        <f>HYPERLINK("https://torgi.gov.ru/new/public/lots/lot/22000028730000000007_3/(lotInfo:info)", "22000028730000000007_3")</f>
        <v/>
      </c>
      <c r="E253" t="inlineStr">
        <is>
          <t>Нежилое помещение с кадастровым номером 35:21:0401010:3922 площадью 44,6 кв. м, расположенное по адресу: Вологодская область, г. Череповец, пр. Луначарского, д. 32, этаж – 1.</t>
        </is>
      </c>
      <c r="F253" s="3" t="inlineStr">
        <is>
          <t>29.08.22 21:00</t>
        </is>
      </c>
      <c r="G253" t="inlineStr">
        <is>
          <t>Вологодская обл, г Череповец, пр-кт Луначарского, д 32</t>
        </is>
      </c>
      <c r="H253" s="4" t="n">
        <v>2630000</v>
      </c>
      <c r="I253" s="4" t="n">
        <v>58968.60986547085</v>
      </c>
      <c r="J253" t="inlineStr">
        <is>
          <t>Нежилое помещение</t>
        </is>
      </c>
      <c r="K253" s="5" t="n">
        <v>7.85</v>
      </c>
      <c r="L253" s="4" t="n">
        <v>655.2</v>
      </c>
      <c r="M253" t="n">
        <v>7512</v>
      </c>
      <c r="N253" s="6" t="n">
        <v>318107</v>
      </c>
      <c r="O253" t="n">
        <v>90</v>
      </c>
      <c r="Q253" t="inlineStr">
        <is>
          <t>EA</t>
        </is>
      </c>
      <c r="R253" t="inlineStr">
        <is>
          <t>М</t>
        </is>
      </c>
      <c r="S253" s="2">
        <f>HYPERLINK("https://yandex.ru/maps/?&amp;text=59.12916, 37.92476", "59.12916, 37.92476")</f>
        <v/>
      </c>
      <c r="T253" s="2">
        <f>HYPERLINK("D:\venv_torgi\env\cache\objs_in_district/59.12916_37.92476.json", "59.12916_37.92476.json")</f>
        <v/>
      </c>
      <c r="U253" t="inlineStr">
        <is>
          <t xml:space="preserve">35:21:0401010:3922 </t>
        </is>
      </c>
      <c r="W253" s="20" t="n">
        <v>26866.27840984939</v>
      </c>
      <c r="X253" s="23" t="n">
        <v>-32102.33145562145</v>
      </c>
      <c r="Y253" t="n">
        <v>0</v>
      </c>
    </row>
    <row r="254">
      <c r="A254" s="8" t="n">
        <v>252</v>
      </c>
      <c r="B254" t="n">
        <v>35</v>
      </c>
      <c r="C254" s="1" t="n">
        <v>56.6</v>
      </c>
      <c r="D254" s="2">
        <f>HYPERLINK("https://torgi.gov.ru/new/public/lots/lot/22000028730000000007_2/(lotInfo:info)", "22000028730000000007_2")</f>
        <v/>
      </c>
      <c r="E254" t="inlineStr">
        <is>
          <t>Нежилое помещение с кадастровым номером 35:21:0401010:3921 площадью 56,6 кв. м, расположенное по адресу: Вологодская область, г. Череповец, пр. Луначарского, д. 32, этаж – 1.</t>
        </is>
      </c>
      <c r="F254" s="3" t="inlineStr">
        <is>
          <t>29.08.22 21:00</t>
        </is>
      </c>
      <c r="G254" t="inlineStr">
        <is>
          <t>Вологодская обл, г Череповец, пр-кт Луначарского, д 32</t>
        </is>
      </c>
      <c r="H254" s="4" t="n">
        <v>3340000</v>
      </c>
      <c r="I254" s="4" t="n">
        <v>59010.60070671378</v>
      </c>
      <c r="J254" t="inlineStr">
        <is>
          <t>Нежилое помещение</t>
        </is>
      </c>
      <c r="K254" s="5" t="n">
        <v>7.86</v>
      </c>
      <c r="L254" s="4" t="n">
        <v>655.67</v>
      </c>
      <c r="M254" t="n">
        <v>7512</v>
      </c>
      <c r="N254" s="6" t="n">
        <v>318107</v>
      </c>
      <c r="O254" t="n">
        <v>90</v>
      </c>
      <c r="Q254" t="inlineStr">
        <is>
          <t>EA</t>
        </is>
      </c>
      <c r="R254" t="inlineStr">
        <is>
          <t>М</t>
        </is>
      </c>
      <c r="S254" s="2">
        <f>HYPERLINK("https://yandex.ru/maps/?&amp;text=59.12916, 37.92476", "59.12916, 37.92476")</f>
        <v/>
      </c>
      <c r="T254" s="2">
        <f>HYPERLINK("D:\venv_torgi\env\cache\objs_in_district/59.12916_37.92476.json", "59.12916_37.92476.json")</f>
        <v/>
      </c>
      <c r="U254" t="inlineStr">
        <is>
          <t xml:space="preserve">35:21:0401010:3921 </t>
        </is>
      </c>
      <c r="W254" s="20" t="n">
        <v>26866.27840984939</v>
      </c>
      <c r="X254" s="23" t="n">
        <v>-32144.32229686439</v>
      </c>
      <c r="Y254" t="n">
        <v>0</v>
      </c>
    </row>
    <row r="255">
      <c r="A255" s="8" t="n">
        <v>253</v>
      </c>
      <c r="B255" t="n">
        <v>36</v>
      </c>
      <c r="C255" s="1" t="n">
        <v>455.7</v>
      </c>
      <c r="D255" s="2">
        <f>HYPERLINK("https://torgi.gov.ru/new/public/lots/lot/22000099010000000002_1/(lotInfo:info)", "22000099010000000002_1")</f>
        <v/>
      </c>
      <c r="E255" t="inlineStr">
        <is>
          <t>площадь 455,7 кв.м, кадастровый номер 36:20:3300016:110, расположенное по адресу: Воронежская область, Павловский муниципальный район, сельское поселение Лосевское, Лосево село, улица Земледельческая, дом 10, находящееся в собственности Лосевского сельского поселения Павловского муниципального района Воронежской области, о чем в Едином государственном реестре недвижимости 23.11.2021 сделана запись о регистрации 36:20:3300016:110-36/086/2021-2.- земельный участок с кадастровым номером 36:20:3300016:133, общей площадью 1033 кв.м., расположенный по адресу: Воронежская область, р-н Павловский, с. Лосево, ул. Земледельческая, 10б, категория земель - земли населенных пунктов, вид разрешен-ного использования – земли под административно-производственную базу, находящий-ся в собственности Лосевского сельского поселения Павловского муниципального рай-она Воронежской области о чем в Едином государственном реестре недвижимости 16.04.2013 сделана запись о регистрации 36-36-21/020/2013-052.</t>
        </is>
      </c>
      <c r="F255" s="3" t="inlineStr">
        <is>
          <t>21.09.22 13:00</t>
        </is>
      </c>
      <c r="G255" t="inlineStr">
        <is>
          <t>Воронежская обл, Павловский р-н, село Лосево, ул Земледельческая, д 10</t>
        </is>
      </c>
      <c r="H255" s="4" t="n">
        <v>1147000</v>
      </c>
      <c r="I255" s="4" t="n">
        <v>2517.006802721089</v>
      </c>
      <c r="J255" t="inlineStr">
        <is>
          <t xml:space="preserve">здание, </t>
        </is>
      </c>
      <c r="K255" s="5" t="n">
        <v>5.66</v>
      </c>
      <c r="L255" s="4" t="n">
        <v>279.67</v>
      </c>
      <c r="M255" t="n">
        <v>445</v>
      </c>
      <c r="N255" s="6" t="n">
        <v>4107</v>
      </c>
      <c r="O255" t="n">
        <v>9</v>
      </c>
      <c r="P255" s="21" t="n">
        <v>0.7858998152671534</v>
      </c>
      <c r="Q255" t="inlineStr">
        <is>
          <t>EA</t>
        </is>
      </c>
      <c r="R255" t="inlineStr">
        <is>
          <t>М</t>
        </is>
      </c>
      <c r="S255" s="2">
        <f>HYPERLINK("https://yandex.ru/maps/?&amp;text=50.671846, 40.047785", "50.671846, 40.047785")</f>
        <v/>
      </c>
      <c r="T255" s="2">
        <f>HYPERLINK("D:\venv_torgi\env\cache\objs_in_district/50.671846_40.047785.json", "50.671846_40.047785.json")</f>
        <v/>
      </c>
      <c r="U255" t="inlineStr">
        <is>
          <t xml:space="preserve">36:20:3300016:110, </t>
        </is>
      </c>
      <c r="V255" s="7" t="inlineStr">
        <is>
          <t>1</t>
        </is>
      </c>
      <c r="W255" s="20" t="n">
        <v>4495.121984005761</v>
      </c>
      <c r="X255" s="22" t="n">
        <v>1978.115181284672</v>
      </c>
      <c r="Y255" t="n">
        <v>0</v>
      </c>
    </row>
    <row r="256">
      <c r="A256" s="8" t="n">
        <v>254</v>
      </c>
      <c r="B256" t="n">
        <v>36</v>
      </c>
      <c r="C256" s="1" t="n">
        <v>18.3</v>
      </c>
      <c r="D256" s="2">
        <f>HYPERLINK("https://torgi.gov.ru/new/public/lots/lot/22000048410000000006_1/(lotInfo:info)", "22000048410000000006_1")</f>
        <v/>
      </c>
      <c r="E256" t="inlineStr">
        <is>
          <t>Помещение, назначение объекта: нежилое, площадь объекта: 18,3 кв. м, количество этажей: 1, адрес (местоположение) объекта: Воронежская область, Панинский район, рп. Перелешинский, ул. Заводская, д. 1, пом. 2. Кадастровый номер: 36:21:8700008:58</t>
        </is>
      </c>
      <c r="F256" s="3" t="inlineStr">
        <is>
          <t>22.09.22 13:00</t>
        </is>
      </c>
      <c r="G256" t="inlineStr">
        <is>
          <t>Воронежская обл, Панинский р-н, рп Перелешинский, ул Заводская, д 1</t>
        </is>
      </c>
      <c r="H256" s="4" t="n">
        <v>102281</v>
      </c>
      <c r="I256" s="4" t="n">
        <v>5589.125683060109</v>
      </c>
      <c r="J256" t="inlineStr">
        <is>
          <t>Нежилое помещение</t>
        </is>
      </c>
      <c r="K256" s="5" t="n">
        <v>5</v>
      </c>
      <c r="M256" t="n">
        <v>1118</v>
      </c>
      <c r="N256" s="6" t="n">
        <v>2608</v>
      </c>
      <c r="P256" s="21" t="n">
        <v>5.91109741363581</v>
      </c>
      <c r="Q256" t="inlineStr">
        <is>
          <t>EA</t>
        </is>
      </c>
      <c r="R256" t="inlineStr">
        <is>
          <t>М</t>
        </is>
      </c>
      <c r="S256" s="2">
        <f>HYPERLINK("https://yandex.ru/maps/?&amp;text=51.7171, 40.199411", "51.7171, 40.199411")</f>
        <v/>
      </c>
      <c r="U256" t="inlineStr">
        <is>
          <t>36:21:8700008:58</t>
        </is>
      </c>
      <c r="V256" s="7" t="inlineStr">
        <is>
          <t>1</t>
        </is>
      </c>
      <c r="W256" s="20" t="n">
        <v>38626.9920526822</v>
      </c>
      <c r="X256" s="22" t="n">
        <v>33037.86636962209</v>
      </c>
      <c r="Y256" t="n">
        <v>0</v>
      </c>
    </row>
    <row r="257">
      <c r="A257" s="8" t="n">
        <v>255</v>
      </c>
      <c r="B257" t="n">
        <v>36</v>
      </c>
      <c r="C257" s="1" t="n">
        <v>249</v>
      </c>
      <c r="D257" s="2">
        <f>HYPERLINK("https://torgi.gov.ru/new/public/lots/lot/22000022930000000036_9/(lotInfo:info)", "22000022930000000036_9")</f>
        <v/>
      </c>
      <c r="E257" t="inlineStr">
        <is>
          <t>Нежилое помещение I, назначение: нежилое, площадь 249,0 кв.м, этаж № 1, кадастровый номер: 36:34:0209020:4737, расположенное по адресу: г. Воронеж, ул. Еремеева, д. 35, пом. I. Свободное</t>
        </is>
      </c>
      <c r="F257" s="3" t="inlineStr">
        <is>
          <t>20.09.22 13:00</t>
        </is>
      </c>
      <c r="G257" t="inlineStr">
        <is>
          <t>г Воронеж, ул Еремеева, д 35</t>
        </is>
      </c>
      <c r="H257" s="4" t="n">
        <v>3621667</v>
      </c>
      <c r="I257" s="4" t="n">
        <v>14544.84738955823</v>
      </c>
      <c r="J257" t="inlineStr">
        <is>
          <t>Нежилое помещение</t>
        </is>
      </c>
      <c r="K257" s="5" t="n">
        <v>3.2</v>
      </c>
      <c r="L257" s="4" t="n">
        <v>632.35</v>
      </c>
      <c r="M257" t="n">
        <v>4549</v>
      </c>
      <c r="N257" s="6" t="n">
        <v>1054111</v>
      </c>
      <c r="O257" t="n">
        <v>23</v>
      </c>
      <c r="Q257" t="inlineStr">
        <is>
          <t>EA</t>
        </is>
      </c>
      <c r="R257" t="inlineStr">
        <is>
          <t>М</t>
        </is>
      </c>
      <c r="S257" s="2">
        <f>HYPERLINK("https://yandex.ru/maps/?&amp;text=51.671389, 39.169071", "51.671389, 39.169071")</f>
        <v/>
      </c>
      <c r="T257" s="2">
        <f>HYPERLINK("D:\venv_torgi\env\cache\objs_in_district/51.671389_39.169071.json", "51.671389_39.169071.json")</f>
        <v/>
      </c>
      <c r="U257" t="inlineStr">
        <is>
          <t xml:space="preserve">36:34:0209020:4737, </t>
        </is>
      </c>
      <c r="V257" s="7" t="inlineStr">
        <is>
          <t>1</t>
        </is>
      </c>
      <c r="W257" s="17" t="n">
        <v>11499.95250242045</v>
      </c>
      <c r="X257" s="19" t="n">
        <v>-3044.89488713778</v>
      </c>
      <c r="Y257" t="n">
        <v>0</v>
      </c>
    </row>
    <row r="258">
      <c r="A258" s="8" t="n">
        <v>256</v>
      </c>
      <c r="B258" t="n">
        <v>36</v>
      </c>
      <c r="C258" s="1" t="n">
        <v>125.9</v>
      </c>
      <c r="D258" s="2">
        <f>HYPERLINK("https://torgi.gov.ru/new/public/lots/lot/22000022930000000036_6/(lotInfo:info)", "22000022930000000036_6")</f>
        <v/>
      </c>
      <c r="E258" t="inlineStr">
        <is>
          <t>Помещение XI, назначение: нежилое, площадь 125,9 кв.м, цокольный этаж, кадастровый номер: 36:34:0105038:2717, расположенное по адресу: г. Воронеж, ул. Минская, д. 63а, пом. XI. Свободное</t>
        </is>
      </c>
      <c r="F258" s="3" t="inlineStr">
        <is>
          <t>20.09.22 13:00</t>
        </is>
      </c>
      <c r="G258" t="inlineStr">
        <is>
          <t>г Воронеж, ул Минская, д 63а</t>
        </is>
      </c>
      <c r="H258" s="4" t="n">
        <v>2460000</v>
      </c>
      <c r="I258" s="4" t="n">
        <v>19539.31691818904</v>
      </c>
      <c r="J258" t="inlineStr">
        <is>
          <t>Нежилое помещение</t>
        </is>
      </c>
      <c r="K258" s="5" t="n">
        <v>1.96</v>
      </c>
      <c r="L258" s="4" t="n">
        <v>217.1</v>
      </c>
      <c r="M258" t="n">
        <v>9978</v>
      </c>
      <c r="N258" s="6" t="n">
        <v>1054111</v>
      </c>
      <c r="O258" t="n">
        <v>90</v>
      </c>
      <c r="P258" s="16" t="n">
        <v>0.3739754946345228</v>
      </c>
      <c r="Q258" t="inlineStr">
        <is>
          <t>EA</t>
        </is>
      </c>
      <c r="R258" t="inlineStr">
        <is>
          <t>М</t>
        </is>
      </c>
      <c r="S258" s="2">
        <f>HYPERLINK("https://yandex.ru/maps/?&amp;text=51.69027, 39.279984", "51.69027, 39.279984")</f>
        <v/>
      </c>
      <c r="T258" s="2">
        <f>HYPERLINK("D:\venv_torgi\env\cache\objs_in_district/51.69027_39.279984.json", "51.69027_39.279984.json")</f>
        <v/>
      </c>
      <c r="U258" t="inlineStr">
        <is>
          <t xml:space="preserve">36:34:0105038:2717, </t>
        </is>
      </c>
      <c r="V258" s="7" t="inlineStr">
        <is>
          <t>0</t>
        </is>
      </c>
      <c r="W258" s="17" t="n">
        <v>26846.54262748949</v>
      </c>
      <c r="X258" s="18" t="n">
        <v>7307.225709300445</v>
      </c>
      <c r="Y258" t="n">
        <v>0</v>
      </c>
    </row>
    <row r="259">
      <c r="A259" s="8" t="n">
        <v>257</v>
      </c>
      <c r="B259" t="n">
        <v>36</v>
      </c>
      <c r="C259" s="1" t="n">
        <v>96.3</v>
      </c>
      <c r="D259" s="2">
        <f>HYPERLINK("https://torgi.gov.ru/new/public/lots/lot/22000022930000000036_5/(lotInfo:info)", "22000022930000000036_5")</f>
        <v/>
      </c>
      <c r="E259" t="inlineStr">
        <is>
          <t>Помещение X, назначение: нежилое, площадь 96,3 кв.м, цокольный этаж, кадастровый номер: 36:34:0105038:2716, расположенное по адресу: г. Воронеж, ул. Минская, д. 63а, пом. X. Свободное</t>
        </is>
      </c>
      <c r="F259" s="3" t="inlineStr">
        <is>
          <t>20.09.22 13:00</t>
        </is>
      </c>
      <c r="G259" t="inlineStr">
        <is>
          <t>г Воронеж, ул Минская, д 63а</t>
        </is>
      </c>
      <c r="H259" s="4" t="n">
        <v>1881667</v>
      </c>
      <c r="I259" s="4" t="n">
        <v>19539.63655244029</v>
      </c>
      <c r="J259" t="inlineStr">
        <is>
          <t>Нежилое помещение</t>
        </is>
      </c>
      <c r="K259" s="5" t="n">
        <v>1.96</v>
      </c>
      <c r="L259" s="4" t="n">
        <v>217.1</v>
      </c>
      <c r="M259" t="n">
        <v>9978</v>
      </c>
      <c r="N259" s="6" t="n">
        <v>1054111</v>
      </c>
      <c r="O259" t="n">
        <v>90</v>
      </c>
      <c r="P259" s="16" t="n">
        <v>0.3739530188004772</v>
      </c>
      <c r="Q259" t="inlineStr">
        <is>
          <t>EA</t>
        </is>
      </c>
      <c r="R259" t="inlineStr">
        <is>
          <t>М</t>
        </is>
      </c>
      <c r="S259" s="2">
        <f>HYPERLINK("https://yandex.ru/maps/?&amp;text=51.69027, 39.279984", "51.69027, 39.279984")</f>
        <v/>
      </c>
      <c r="T259" s="2">
        <f>HYPERLINK("D:\venv_torgi\env\cache\objs_in_district/51.69027_39.279984.json", "51.69027_39.279984.json")</f>
        <v/>
      </c>
      <c r="U259" t="inlineStr">
        <is>
          <t xml:space="preserve">36:34:0105038:2716, </t>
        </is>
      </c>
      <c r="V259" s="7" t="inlineStr">
        <is>
          <t>0</t>
        </is>
      </c>
      <c r="W259" s="17" t="n">
        <v>26846.54262748949</v>
      </c>
      <c r="X259" s="18" t="n">
        <v>7306.906075049195</v>
      </c>
      <c r="Y259" t="n">
        <v>0</v>
      </c>
    </row>
    <row r="260">
      <c r="A260" s="8" t="n">
        <v>258</v>
      </c>
      <c r="B260" t="n">
        <v>36</v>
      </c>
      <c r="C260" s="1" t="n">
        <v>16.4</v>
      </c>
      <c r="D260" s="2">
        <f>HYPERLINK("https://torgi.gov.ru/new/public/lots/lot/22000022930000000036_8/(lotInfo:info)", "22000022930000000036_8")</f>
        <v/>
      </c>
      <c r="E260" t="inlineStr">
        <is>
          <t>Лифтерная, назначение: нежилое, площадь 16,4 кв.м, этаж № 1, кадастровый номер: 36:34:0105004:7935, расположенное по адресу: г. Воронеж, ул. Артамонова, д. 40. Свободное</t>
        </is>
      </c>
      <c r="F260" s="3" t="inlineStr">
        <is>
          <t>20.09.22 13:00</t>
        </is>
      </c>
      <c r="G260" t="inlineStr">
        <is>
          <t>г Воронеж, ул Артамонова, д 40</t>
        </is>
      </c>
      <c r="H260" s="4" t="n">
        <v>380833</v>
      </c>
      <c r="I260" s="4" t="n">
        <v>23221.5243902439</v>
      </c>
      <c r="J260" t="inlineStr">
        <is>
          <t>Нежилое помещение</t>
        </is>
      </c>
      <c r="K260" s="5" t="n">
        <v>5.54</v>
      </c>
      <c r="M260" t="n">
        <v>4191</v>
      </c>
      <c r="N260" s="6" t="n">
        <v>1054111</v>
      </c>
      <c r="P260" s="16" t="n">
        <v>0.9705148037204895</v>
      </c>
      <c r="Q260" t="inlineStr">
        <is>
          <t>EA</t>
        </is>
      </c>
      <c r="R260" t="inlineStr">
        <is>
          <t>М</t>
        </is>
      </c>
      <c r="S260" s="2">
        <f>HYPERLINK("https://yandex.ru/maps/?&amp;text=51.715996, 39.271046", "51.715996, 39.271046")</f>
        <v/>
      </c>
      <c r="U260" t="inlineStr">
        <is>
          <t xml:space="preserve">36:34:0105004:7935, </t>
        </is>
      </c>
      <c r="V260" s="7" t="inlineStr">
        <is>
          <t>1</t>
        </is>
      </c>
      <c r="W260" s="17" t="n">
        <v>45758.35757593202</v>
      </c>
      <c r="X260" s="18" t="n">
        <v>22536.83318568812</v>
      </c>
      <c r="Y260" t="n">
        <v>0</v>
      </c>
    </row>
    <row r="261">
      <c r="A261" s="8" t="n">
        <v>259</v>
      </c>
      <c r="B261" t="n">
        <v>36</v>
      </c>
      <c r="C261" s="1" t="n">
        <v>85.7</v>
      </c>
      <c r="D261" s="2">
        <f>HYPERLINK("https://torgi.gov.ru/new/public/lots/lot/22000022930000000038_4/(lotInfo:info)", "22000022930000000038_4")</f>
        <v/>
      </c>
      <c r="E261" t="inlineStr">
        <is>
          <t>Нежилое встроенное помещение II в лит. А, назначение: нежилое, площадь 85,7 кв.м, этаж № 1, кадастровый номер: 36:34:0606014:216, расположенное по адресу: г. Воронеж, ул. Комиссаржевской, д. 21, пом. II. Свободное</t>
        </is>
      </c>
      <c r="F261" s="3" t="inlineStr">
        <is>
          <t>28.09.22 13:00</t>
        </is>
      </c>
      <c r="G261" t="inlineStr">
        <is>
          <t>г Воронеж, ул Комиссаржевской, д 21</t>
        </is>
      </c>
      <c r="H261" s="4" t="n">
        <v>4077917</v>
      </c>
      <c r="I261" s="4" t="n">
        <v>47583.62893815635</v>
      </c>
      <c r="J261" t="inlineStr">
        <is>
          <t>Нежилое помещение</t>
        </is>
      </c>
      <c r="K261" s="5" t="n">
        <v>4.72</v>
      </c>
      <c r="L261" s="4" t="n">
        <v>436.54</v>
      </c>
      <c r="M261" t="n">
        <v>10071</v>
      </c>
      <c r="N261" s="6" t="n">
        <v>1054111</v>
      </c>
      <c r="O261" t="n">
        <v>109</v>
      </c>
      <c r="Q261" t="inlineStr">
        <is>
          <t>EA</t>
        </is>
      </c>
      <c r="R261" t="inlineStr">
        <is>
          <t>М</t>
        </is>
      </c>
      <c r="S261" s="2">
        <f>HYPERLINK("https://yandex.ru/maps/?&amp;text=51.67227, 39.198444", "51.67227, 39.198444")</f>
        <v/>
      </c>
      <c r="T261" s="2">
        <f>HYPERLINK("D:\venv_torgi\env\cache\objs_in_district/51.67227_39.198444.json", "51.67227_39.198444.json")</f>
        <v/>
      </c>
      <c r="U261" t="inlineStr">
        <is>
          <t xml:space="preserve">36:34:0606014:216, </t>
        </is>
      </c>
      <c r="V261" s="7" t="inlineStr">
        <is>
          <t>1</t>
        </is>
      </c>
      <c r="W261" s="17" t="n">
        <v>26846.54262748949</v>
      </c>
      <c r="X261" s="19" t="n">
        <v>-20737.08631066686</v>
      </c>
      <c r="Y261" t="n">
        <v>0</v>
      </c>
    </row>
    <row r="262">
      <c r="A262" s="8" t="n">
        <v>260</v>
      </c>
      <c r="B262" t="n">
        <v>37</v>
      </c>
      <c r="C262" s="1" t="n">
        <v>277.8</v>
      </c>
      <c r="D262" s="2">
        <f>HYPERLINK("https://torgi.gov.ru/new/public/lots/lot/21000009780000000006_1/(lotInfo:info)", "21000009780000000006_1")</f>
        <v/>
      </c>
      <c r="E262" t="inlineStr">
        <is>
          <t>помещение, назначение: нежилое помещение, наименование: нежилое помещение, общая площадь 277,8 кв. м, этаж - 2, помещения 7,8,9,10,11,12,13, кадастровый номер 37:25:011114:530, адрес объекта: Ивановская область, г. Кинешма, ул. Маршала Василевского, д. 2, пом. 1002.</t>
        </is>
      </c>
      <c r="F262" s="3" t="inlineStr">
        <is>
          <t>31.08.22 13:00</t>
        </is>
      </c>
      <c r="G262" t="inlineStr">
        <is>
          <t>Ивановская обл, г Кинешма, ул Маршала Василевского, д 2</t>
        </is>
      </c>
      <c r="H262" s="4" t="n">
        <v>4219000</v>
      </c>
      <c r="I262" s="4" t="n">
        <v>15187.18502519798</v>
      </c>
      <c r="J262" t="inlineStr">
        <is>
          <t>Нежилое помещение</t>
        </is>
      </c>
      <c r="K262" s="5" t="n">
        <v>18.19</v>
      </c>
      <c r="L262" s="4" t="n">
        <v>15187</v>
      </c>
      <c r="M262" t="n">
        <v>835</v>
      </c>
      <c r="N262" s="6" t="n">
        <v>83871</v>
      </c>
      <c r="O262" t="n">
        <v>1</v>
      </c>
      <c r="Q262" t="inlineStr">
        <is>
          <t>EA</t>
        </is>
      </c>
      <c r="R262" t="inlineStr">
        <is>
          <t>М</t>
        </is>
      </c>
      <c r="S262" s="2">
        <f>HYPERLINK("https://yandex.ru/maps/?&amp;text=57.450792, 42.141093", "57.450792, 42.141093")</f>
        <v/>
      </c>
      <c r="T262" s="2">
        <f>HYPERLINK("D:\venv_torgi\env\cache\objs_in_district/57.450792_42.141093.json", "57.450792_42.141093.json")</f>
        <v/>
      </c>
      <c r="U262" t="inlineStr">
        <is>
          <t xml:space="preserve">37:25:011114:530, </t>
        </is>
      </c>
      <c r="V262" s="7" t="inlineStr">
        <is>
          <t>2</t>
        </is>
      </c>
      <c r="W262" s="20" t="n">
        <v>10184.55663459608</v>
      </c>
      <c r="X262" s="23" t="n">
        <v>-5002.628390601903</v>
      </c>
      <c r="Y262" t="n">
        <v>0</v>
      </c>
    </row>
    <row r="263">
      <c r="A263" s="8" t="n">
        <v>261</v>
      </c>
      <c r="B263" t="n">
        <v>37</v>
      </c>
      <c r="C263" s="1" t="n">
        <v>16.5</v>
      </c>
      <c r="D263" s="2">
        <f>HYPERLINK("https://torgi.gov.ru/new/public/lots/lot/21000010870000000009_2/(lotInfo:info)", "21000010870000000009_2")</f>
        <v/>
      </c>
      <c r="E263" t="inlineStr">
        <is>
          <t>Нежилое помещение (радиоузел) с кадастровым номером 37:24:030619:1147 площадью 16,5 кв. м, расположенное по адресу: г. Иваново, ул. Каравайковой, д. 141, пом. 1012</t>
        </is>
      </c>
      <c r="F263" s="3" t="inlineStr">
        <is>
          <t>07.10.22 20:59</t>
        </is>
      </c>
      <c r="G263" t="inlineStr">
        <is>
          <t>г Иваново, ул Каравайковой, д 141</t>
        </is>
      </c>
      <c r="H263" s="4" t="n">
        <v>333029</v>
      </c>
      <c r="I263" s="4" t="n">
        <v>20183.57575757576</v>
      </c>
      <c r="J263" t="inlineStr">
        <is>
          <t>Нежилое помещение</t>
        </is>
      </c>
      <c r="K263" s="5" t="n">
        <v>5.74</v>
      </c>
      <c r="M263" t="n">
        <v>3518</v>
      </c>
      <c r="N263" s="6" t="n">
        <v>405053</v>
      </c>
      <c r="P263" s="21" t="n">
        <v>0.9137833908436087</v>
      </c>
      <c r="Q263" t="inlineStr">
        <is>
          <t>EA</t>
        </is>
      </c>
      <c r="R263" t="inlineStr">
        <is>
          <t>М</t>
        </is>
      </c>
      <c r="S263" s="2">
        <f>HYPERLINK("https://yandex.ru/maps/?&amp;text=56.987914, 41.028529", "56.987914, 41.028529")</f>
        <v/>
      </c>
      <c r="U263" t="inlineStr">
        <is>
          <t xml:space="preserve">37:24:030619:1147 </t>
        </is>
      </c>
      <c r="W263" s="20" t="n">
        <v>38626.9920526822</v>
      </c>
      <c r="X263" s="22" t="n">
        <v>18443.41629510644</v>
      </c>
      <c r="Y263" t="n">
        <v>0</v>
      </c>
    </row>
    <row r="264">
      <c r="A264" s="8" t="n">
        <v>262</v>
      </c>
      <c r="B264" t="n">
        <v>37</v>
      </c>
      <c r="C264" s="1" t="n">
        <v>282.5</v>
      </c>
      <c r="D264" s="2">
        <f>HYPERLINK("https://torgi.gov.ru/new/public/lots/lot/21000010870000000008_1/(lotInfo:info)", "21000010870000000008_1")</f>
        <v/>
      </c>
      <c r="E264" t="inlineStr">
        <is>
          <t>Нежилое помещение с кадастровым номером 37:24:010134:369 площадью                   282,5  кв.м, расположенного по адресу: г. Иваново, ул. Марии Рябининой, дом 26/26, помещения 1 этажа 29-46, помещения 2 этажа 74-86.</t>
        </is>
      </c>
      <c r="F264" s="3" t="inlineStr">
        <is>
          <t>21.09.22 20:59</t>
        </is>
      </c>
      <c r="G264" t="inlineStr">
        <is>
          <t>г Иваново, ул Марии Рябининой, д 26/26</t>
        </is>
      </c>
      <c r="H264" s="4" t="n">
        <v>5760000</v>
      </c>
      <c r="I264" s="4" t="n">
        <v>20389.38053097345</v>
      </c>
      <c r="J264" t="inlineStr">
        <is>
          <t>Нежилое помещение</t>
        </is>
      </c>
      <c r="K264" s="5" t="n">
        <v>2.3</v>
      </c>
      <c r="L264" s="4" t="n">
        <v>1568.38</v>
      </c>
      <c r="M264" t="n">
        <v>8871</v>
      </c>
      <c r="N264" s="6" t="n">
        <v>405053</v>
      </c>
      <c r="O264" t="n">
        <v>13</v>
      </c>
      <c r="Q264" t="inlineStr">
        <is>
          <t>EA</t>
        </is>
      </c>
      <c r="R264" t="inlineStr">
        <is>
          <t>М</t>
        </is>
      </c>
      <c r="S264" s="2">
        <f>HYPERLINK("https://yandex.ru/maps/?&amp;text=56.998353, 40.992803", "56.998353, 40.992803")</f>
        <v/>
      </c>
      <c r="T264" s="2">
        <f>HYPERLINK("D:\venv_torgi\env\cache\objs_in_district/56.998353_40.992803.json", "56.998353_40.992803.json")</f>
        <v/>
      </c>
      <c r="U264" t="inlineStr">
        <is>
          <t xml:space="preserve">37:24:010134:369 </t>
        </is>
      </c>
      <c r="V264" s="7" t="inlineStr">
        <is>
          <t>1</t>
        </is>
      </c>
      <c r="W264" s="20" t="n">
        <v>16978.25983052898</v>
      </c>
      <c r="X264" s="23" t="n">
        <v>-3411.120700444473</v>
      </c>
      <c r="Y264" t="n">
        <v>0</v>
      </c>
    </row>
    <row r="265">
      <c r="A265" s="8" t="n">
        <v>263</v>
      </c>
      <c r="B265" t="n">
        <v>37</v>
      </c>
      <c r="C265" s="1" t="n">
        <v>158.7</v>
      </c>
      <c r="D265" s="2">
        <f>HYPERLINK("https://torgi.gov.ru/new/public/lots/lot/21000010870000000008_2/(lotInfo:info)", "21000010870000000008_2")</f>
        <v/>
      </c>
      <c r="E265" t="inlineStr">
        <is>
          <t>Нежилое помещение с кадастровым номером 37:24:010132:767 площадью                  158,7 кв.м, расположенное по адресу: г. Иваново, ул. Третьего Интернационала, д. 42, пом. 1002.</t>
        </is>
      </c>
      <c r="F265" s="3" t="inlineStr">
        <is>
          <t>21.09.22 20:59</t>
        </is>
      </c>
      <c r="G265" t="inlineStr">
        <is>
          <t>г Иваново, ул Третьего Интернационала, д 42</t>
        </is>
      </c>
      <c r="H265" s="4" t="n">
        <v>5388000</v>
      </c>
      <c r="I265" s="4" t="n">
        <v>33950.85066162571</v>
      </c>
      <c r="J265" t="inlineStr">
        <is>
          <t>Нежилое помещение</t>
        </is>
      </c>
      <c r="K265" s="5" t="n">
        <v>2.76</v>
      </c>
      <c r="L265" s="4" t="n">
        <v>4243.75</v>
      </c>
      <c r="M265" t="n">
        <v>12294</v>
      </c>
      <c r="N265" s="6" t="n">
        <v>405053</v>
      </c>
      <c r="O265" t="n">
        <v>8</v>
      </c>
      <c r="Q265" t="inlineStr">
        <is>
          <t>EA</t>
        </is>
      </c>
      <c r="R265" t="inlineStr">
        <is>
          <t>М</t>
        </is>
      </c>
      <c r="S265" s="2">
        <f>HYPERLINK("https://yandex.ru/maps/?&amp;text=56.996671, 40.996001", "56.996671, 40.996001")</f>
        <v/>
      </c>
      <c r="T265" s="2">
        <f>HYPERLINK("D:\venv_torgi\env\cache\objs_in_district/56.996671_40.996001.json", "56.996671_40.996001.json")</f>
        <v/>
      </c>
      <c r="U265" t="inlineStr">
        <is>
          <t xml:space="preserve">37:24:010132:767 </t>
        </is>
      </c>
      <c r="W265" s="20" t="n">
        <v>26866.27840984939</v>
      </c>
      <c r="X265" s="23" t="n">
        <v>-7084.572251776313</v>
      </c>
      <c r="Y265" t="n">
        <v>0</v>
      </c>
    </row>
    <row r="266">
      <c r="A266" s="8" t="n">
        <v>264</v>
      </c>
      <c r="B266" t="n">
        <v>38</v>
      </c>
      <c r="C266" s="1" t="n">
        <v>97</v>
      </c>
      <c r="D266" s="2">
        <f>HYPERLINK("https://torgi.gov.ru/new/public/lots/lot/21000007110000000019_2/(lotInfo:info)", "21000007110000000019_2")</f>
        <v/>
      </c>
      <c r="E266" t="inlineStr">
        <is>
          <t>Помещение ЖЭК,  назначение: нежилое, кадастровый номер: 38:26:041002:443, расположенное по адресу: Иркутская область, г. Ангарск, мкр-н Майск, ул. Тельмана, д.15, помещение 15, общей площадью 97 кв.м.</t>
        </is>
      </c>
      <c r="F266" s="3" t="inlineStr">
        <is>
          <t>29.08.22 06:00</t>
        </is>
      </c>
      <c r="G266" t="inlineStr">
        <is>
          <t>Иркутская область, г. Ангарск, мкр-н Майск, ул. Тельмана, д.15, помещение 15</t>
        </is>
      </c>
      <c r="H266" s="4" t="n">
        <v>472000</v>
      </c>
      <c r="I266" s="4" t="n">
        <v>4865.979381443299</v>
      </c>
      <c r="J266" t="inlineStr">
        <is>
          <t>Нежилое помещение</t>
        </is>
      </c>
      <c r="Q266" t="inlineStr">
        <is>
          <t>EA</t>
        </is>
      </c>
      <c r="R266" t="inlineStr">
        <is>
          <t>М</t>
        </is>
      </c>
      <c r="U266" t="inlineStr">
        <is>
          <t xml:space="preserve">38:26:041002:443, </t>
        </is>
      </c>
      <c r="Y266" t="n">
        <v>0</v>
      </c>
    </row>
    <row r="267">
      <c r="A267" s="8" t="n">
        <v>265</v>
      </c>
      <c r="B267" t="n">
        <v>38</v>
      </c>
      <c r="C267" s="1" t="n">
        <v>63.1</v>
      </c>
      <c r="D267" s="2">
        <f>HYPERLINK("https://torgi.gov.ru/new/public/lots/lot/21000013280000000008_1/(lotInfo:info)", "21000013280000000008_1")</f>
        <v/>
      </c>
      <c r="E267" t="inlineStr">
        <is>
          <t>Нежилое помещение площадью 63,1 кв.м., с кадастровым номером 38:16:000048:224, расположенное по адресу: Иркутская область, Усольский район, д.Арансахой, ул.Новая, 5-2.</t>
        </is>
      </c>
      <c r="F267" s="3" t="inlineStr">
        <is>
          <t>21.09.22 10:00</t>
        </is>
      </c>
      <c r="G267" t="inlineStr">
        <is>
          <t>Иркутская обл, Усольский р-н, деревня Арансахой, ул Новая</t>
        </is>
      </c>
      <c r="H267" s="4" t="n">
        <v>399960</v>
      </c>
      <c r="I267" s="4" t="n">
        <v>6338.51030110935</v>
      </c>
      <c r="J267" t="inlineStr">
        <is>
          <t>Нежилое помещение</t>
        </is>
      </c>
      <c r="K267" s="9" t="n"/>
      <c r="M267" t="n">
        <v>0</v>
      </c>
      <c r="Q267" t="inlineStr">
        <is>
          <t>EA</t>
        </is>
      </c>
      <c r="R267" t="inlineStr">
        <is>
          <t>М</t>
        </is>
      </c>
      <c r="S267" s="2">
        <f>HYPERLINK("https://yandex.ru/maps/?&amp;text=52.635428, 103.222121", "52.635428, 103.222121")</f>
        <v/>
      </c>
      <c r="U267" t="inlineStr">
        <is>
          <t xml:space="preserve">38:16:000048:224, </t>
        </is>
      </c>
      <c r="Y267" t="n">
        <v>0</v>
      </c>
    </row>
    <row r="268">
      <c r="A268" s="8" t="n">
        <v>266</v>
      </c>
      <c r="B268" t="n">
        <v>38</v>
      </c>
      <c r="C268" s="1" t="n">
        <v>191.6</v>
      </c>
      <c r="D268" s="2">
        <f>HYPERLINK("https://torgi.gov.ru/new/public/lots/lot/21000007110000000022_1/(lotInfo:info)", "21000007110000000022_1")</f>
        <v/>
      </c>
      <c r="E268" t="inlineStr">
        <is>
          <t>Нежилое помещение, назначение: нежилое, кадастровый номер: 38:26:040105:1606, расположенное по адресу: Иркутская область, город Ангарск, квартал 73, дом 6, помещение 58, общей площадью 191,6 кв.м.</t>
        </is>
      </c>
      <c r="F268" s="3" t="inlineStr">
        <is>
          <t>05.09.22 06:00</t>
        </is>
      </c>
      <c r="G268" t="inlineStr">
        <is>
          <t>Иркутская обл, г Ангарск, кв-л 73, д 6</t>
        </is>
      </c>
      <c r="H268" s="4" t="n">
        <v>1500000</v>
      </c>
      <c r="I268" s="4" t="n">
        <v>7828.810020876827</v>
      </c>
      <c r="J268" t="inlineStr">
        <is>
          <t>Нежилое помещение</t>
        </is>
      </c>
      <c r="K268" s="5" t="n">
        <v>0.92</v>
      </c>
      <c r="L268" s="4" t="n">
        <v>177.91</v>
      </c>
      <c r="M268" t="n">
        <v>8549</v>
      </c>
      <c r="N268" s="6" t="n">
        <v>225489</v>
      </c>
      <c r="O268" t="n">
        <v>44</v>
      </c>
      <c r="P268" s="21" t="n">
        <v>1.168689722352901</v>
      </c>
      <c r="Q268" t="inlineStr">
        <is>
          <t>EA</t>
        </is>
      </c>
      <c r="R268" t="inlineStr">
        <is>
          <t>М</t>
        </is>
      </c>
      <c r="S268" s="2">
        <f>HYPERLINK("https://yandex.ru/maps/?&amp;text=52.54143, 103.88623", "52.54143, 103.88623")</f>
        <v/>
      </c>
      <c r="T268" s="2">
        <f>HYPERLINK("D:\venv_torgi\env\cache\objs_in_district/52.54143_103.88623.json", "52.54143_103.88623.json")</f>
        <v/>
      </c>
      <c r="U268" t="inlineStr">
        <is>
          <t xml:space="preserve">38:26:040105:1606, </t>
        </is>
      </c>
      <c r="W268" s="20" t="n">
        <v>16978.25983052898</v>
      </c>
      <c r="X268" s="22" t="n">
        <v>9149.449809652149</v>
      </c>
      <c r="Y268" t="n">
        <v>0</v>
      </c>
    </row>
    <row r="269">
      <c r="A269" s="8" t="n">
        <v>267</v>
      </c>
      <c r="B269" t="n">
        <v>38</v>
      </c>
      <c r="C269" s="1" t="n">
        <v>686.1</v>
      </c>
      <c r="D269" s="2">
        <f>HYPERLINK("https://torgi.gov.ru/new/public/lots/lot/21000007110000000020_1/(lotInfo:info)", "21000007110000000020_1")</f>
        <v/>
      </c>
      <c r="E269" t="inlineStr">
        <is>
          <t>Нежилое помещение, назначение: нежилое помещение, кадастровый номер: 38:26:040502:7515, расположенное по адресу: Российская Федерация, Иркутская область, Ангарский городской округ, город Ангарск, квартал 206, дом 3, помещение 203а, общей площадью 686,1 кв.м.</t>
        </is>
      </c>
      <c r="F269" s="3" t="inlineStr">
        <is>
          <t>29.08.22 06:00</t>
        </is>
      </c>
      <c r="G269" t="inlineStr">
        <is>
          <t>Иркутская обл, г Ангарск, кв-л 206, д 3</t>
        </is>
      </c>
      <c r="H269" s="4" t="n">
        <v>5629000</v>
      </c>
      <c r="I269" s="4" t="n">
        <v>8204.343390176358</v>
      </c>
      <c r="J269" t="inlineStr">
        <is>
          <t>Нежилое помещение</t>
        </is>
      </c>
      <c r="K269" s="5" t="n">
        <v>1.38</v>
      </c>
      <c r="L269" s="4" t="n">
        <v>149.16</v>
      </c>
      <c r="M269" t="n">
        <v>5954</v>
      </c>
      <c r="N269" s="6" t="n">
        <v>225489</v>
      </c>
      <c r="O269" t="n">
        <v>55</v>
      </c>
      <c r="Q269" t="inlineStr">
        <is>
          <t>PP</t>
        </is>
      </c>
      <c r="R269" t="inlineStr">
        <is>
          <t>М</t>
        </is>
      </c>
      <c r="S269" s="2">
        <f>HYPERLINK("https://yandex.ru/maps/?&amp;text=52.502014, 103.83231", "52.502014, 103.83231")</f>
        <v/>
      </c>
      <c r="T269" s="2">
        <f>HYPERLINK("D:\venv_torgi\env\cache\objs_in_district/52.502014_103.83231.json", "52.502014_103.83231.json")</f>
        <v/>
      </c>
      <c r="U269" t="inlineStr">
        <is>
          <t xml:space="preserve">38:26:040502:7515, </t>
        </is>
      </c>
      <c r="W269" s="20" t="n">
        <v>7580.293239265166</v>
      </c>
      <c r="X269" s="23" t="n">
        <v>-624.0501509111928</v>
      </c>
      <c r="Y269" t="n">
        <v>0</v>
      </c>
    </row>
    <row r="270">
      <c r="A270" s="8" t="n">
        <v>268</v>
      </c>
      <c r="B270" t="n">
        <v>38</v>
      </c>
      <c r="C270" s="1" t="n">
        <v>237.5</v>
      </c>
      <c r="D270" s="2">
        <f>HYPERLINK("https://torgi.gov.ru/new/public/lots/lot/21000007110000000019_4/(lotInfo:info)", "21000007110000000019_4")</f>
        <v/>
      </c>
      <c r="E270" t="inlineStr">
        <is>
          <t>Нежилое помещение, назначение: нежилое помещение, кадастровый номер: 38:26:040404:8245, расположенное по адресу: Российская Федерация, Иркутская область, Ангарский городской округ, город Ангарск, микрорайон 8, дом 8, помещение 14а, общей площадью 237,5 кв.м.</t>
        </is>
      </c>
      <c r="F270" s="3" t="inlineStr">
        <is>
          <t>29.08.22 06:00</t>
        </is>
      </c>
      <c r="G270" t="inlineStr">
        <is>
          <t>Иркутская обл, г Ангарск, мкр 8, д 8</t>
        </is>
      </c>
      <c r="H270" s="4" t="n">
        <v>1955000</v>
      </c>
      <c r="I270" s="4" t="n">
        <v>8231.578947368422</v>
      </c>
      <c r="J270" t="inlineStr">
        <is>
          <t>Нежилое помещение</t>
        </is>
      </c>
      <c r="K270" s="5" t="n">
        <v>1.12</v>
      </c>
      <c r="L270" s="4" t="n">
        <v>164.62</v>
      </c>
      <c r="M270" t="n">
        <v>7374</v>
      </c>
      <c r="N270" s="6" t="n">
        <v>225489</v>
      </c>
      <c r="O270" t="n">
        <v>50</v>
      </c>
      <c r="P270" s="21" t="n">
        <v>1.062576322123085</v>
      </c>
      <c r="Q270" t="inlineStr">
        <is>
          <t>EA</t>
        </is>
      </c>
      <c r="R270" t="inlineStr">
        <is>
          <t>М</t>
        </is>
      </c>
      <c r="S270" s="2">
        <f>HYPERLINK("https://yandex.ru/maps/?&amp;text=52.514308, 103.87296", "52.514308, 103.87296")</f>
        <v/>
      </c>
      <c r="T270" s="2">
        <f>HYPERLINK("D:\venv_torgi\env\cache\objs_in_district/52.514308_103.87296.json", "52.514308_103.87296.json")</f>
        <v/>
      </c>
      <c r="U270" t="inlineStr">
        <is>
          <t xml:space="preserve">38:26:040404:8245, </t>
        </is>
      </c>
      <c r="W270" s="20" t="n">
        <v>16978.25983052898</v>
      </c>
      <c r="X270" s="22" t="n">
        <v>8746.680883160554</v>
      </c>
      <c r="Y270" t="n">
        <v>0</v>
      </c>
    </row>
    <row r="271">
      <c r="A271" s="8" t="n">
        <v>269</v>
      </c>
      <c r="B271" t="n">
        <v>38</v>
      </c>
      <c r="C271" s="1" t="n">
        <v>21.2</v>
      </c>
      <c r="D271" s="2">
        <f>HYPERLINK("https://torgi.gov.ru/new/public/lots/lot/21000010510000000065_18/(lotInfo:info)", "21000010510000000065_18")</f>
        <v/>
      </c>
      <c r="E271" t="inlineStr">
        <is>
          <t>Лот № 18 – нежилое помещение общей площадью 21,2 кв.м. (кад.№38:31:000037:977) с земельным участком общей площадью 25 кв.м. (кад.№38:31:000037:961), назначение объекта: для строительства административно-хозяйственного блока, по адресу: Иркутская область, г.Усолье-Сибирское, ул. Куйбышева, 3и/1, блок №15. Правообладатель: Батукаев С.С. Обременение: арест. Начальная цена 197 400 руб.</t>
        </is>
      </c>
      <c r="F271" s="3" t="inlineStr">
        <is>
          <t>30.08.22 10:00</t>
        </is>
      </c>
      <c r="G271" t="inlineStr">
        <is>
          <t>Иркутская обл, г Усолье-Сибирское, ул Куйбышева, зд 3и/1</t>
        </is>
      </c>
      <c r="H271" s="4" t="n">
        <v>197400</v>
      </c>
      <c r="I271" s="4" t="n">
        <v>9311.320754716982</v>
      </c>
      <c r="J271" t="inlineStr">
        <is>
          <t>Нежилое помещение</t>
        </is>
      </c>
      <c r="K271" s="5" t="n">
        <v>4.61</v>
      </c>
      <c r="M271" t="n">
        <v>2019</v>
      </c>
      <c r="N271" s="6" t="n">
        <v>76846</v>
      </c>
      <c r="P271" s="21" t="n">
        <v>3.148390230581877</v>
      </c>
      <c r="Q271" t="inlineStr">
        <is>
          <t>EA</t>
        </is>
      </c>
      <c r="R271" t="inlineStr">
        <is>
          <t>Д</t>
        </is>
      </c>
      <c r="S271" s="2">
        <f>HYPERLINK("https://yandex.ru/maps/?&amp;text=52.750047, 103.644824", "52.750047, 103.644824")</f>
        <v/>
      </c>
      <c r="U271" t="inlineStr">
        <is>
          <t>38:31:000037:977</t>
        </is>
      </c>
      <c r="V271" s="7" t="inlineStr">
        <is>
          <t>1</t>
        </is>
      </c>
      <c r="W271" s="20" t="n">
        <v>38626.9920526822</v>
      </c>
      <c r="X271" s="22" t="n">
        <v>29315.67129796521</v>
      </c>
      <c r="Y271" t="n">
        <v>0</v>
      </c>
    </row>
    <row r="272">
      <c r="A272" s="8" t="n">
        <v>270</v>
      </c>
      <c r="B272" t="n">
        <v>38</v>
      </c>
      <c r="C272" s="1" t="n">
        <v>21.2</v>
      </c>
      <c r="D272" s="2">
        <f>HYPERLINK("https://torgi.gov.ru/new/public/lots/lot/21000010510000000065_13/(lotInfo:info)", "21000010510000000065_13")</f>
        <v/>
      </c>
      <c r="E272" t="inlineStr">
        <is>
          <t>Лот № 13 – нежилое помещение общей площадью 21,2 кв.м. (кад.№38:31:000037:985) с земельным участком общей площадью 25 кв.м. (кад.№38:31:000037:955), назначение объекта: для строительства административно-хозяйственного блока, по адресу: Иркутская область, г.Усолье-Сибирское, ул. Куйбышева, 3и/1, блок №9. Правообладатель: Батукаев С.С. Обременение: арест. Начальная цена 197 400 руб.</t>
        </is>
      </c>
      <c r="F272" s="3" t="inlineStr">
        <is>
          <t>30.08.22 10:00</t>
        </is>
      </c>
      <c r="G272" t="inlineStr">
        <is>
          <t>Иркутская обл, г Усолье-Сибирское, ул Куйбышева, д 3и/1</t>
        </is>
      </c>
      <c r="H272" s="4" t="n">
        <v>197400</v>
      </c>
      <c r="I272" s="4" t="n">
        <v>9311.320754716982</v>
      </c>
      <c r="J272" t="inlineStr">
        <is>
          <t>Нежилое помещение</t>
        </is>
      </c>
      <c r="K272" s="5" t="n">
        <v>4.49</v>
      </c>
      <c r="M272" t="n">
        <v>2075</v>
      </c>
      <c r="N272" s="6" t="n">
        <v>76846</v>
      </c>
      <c r="P272" s="21" t="n">
        <v>3.148390230581877</v>
      </c>
      <c r="Q272" t="inlineStr">
        <is>
          <t>EA</t>
        </is>
      </c>
      <c r="R272" t="inlineStr">
        <is>
          <t>Д</t>
        </is>
      </c>
      <c r="S272" s="2">
        <f>HYPERLINK("https://yandex.ru/maps/?&amp;text=52.751154, 103.642973", "52.751154, 103.642973")</f>
        <v/>
      </c>
      <c r="U272" t="inlineStr">
        <is>
          <t>38:31:000037:985</t>
        </is>
      </c>
      <c r="V272" s="7" t="inlineStr">
        <is>
          <t>1</t>
        </is>
      </c>
      <c r="W272" s="20" t="n">
        <v>38626.9920526822</v>
      </c>
      <c r="X272" s="22" t="n">
        <v>29315.67129796521</v>
      </c>
      <c r="Y272" t="n">
        <v>0</v>
      </c>
    </row>
    <row r="273">
      <c r="A273" s="8" t="n">
        <v>271</v>
      </c>
      <c r="B273" t="n">
        <v>38</v>
      </c>
      <c r="C273" s="1" t="n">
        <v>21.2</v>
      </c>
      <c r="D273" s="2">
        <f>HYPERLINK("https://torgi.gov.ru/new/public/lots/lot/21000010510000000065_15/(lotInfo:info)", "21000010510000000065_15")</f>
        <v/>
      </c>
      <c r="E273" t="inlineStr">
        <is>
          <t>Лот № 15 – нежилое помещение общей площадью 21,2 кв.м. (кад.№38:31:000037:974) с земельным участком общей площадью 25 кв.м. (кад.№38:31:000037:962), назначение объекта: для строительства административно-хозяйственного блока, по адресу: Иркутская область, г.Усолье-Сибирское, ул. Куйбышева, 3и/1, блок №16. Правообладатель: Батукаев С.С. Обременение: арест. Начальная цена 197 400 руб.</t>
        </is>
      </c>
      <c r="F273" s="3" t="inlineStr">
        <is>
          <t>30.08.22 10:00</t>
        </is>
      </c>
      <c r="G273" t="inlineStr">
        <is>
          <t>Иркутская обл, г Усолье-Сибирское, ул Куйбышева, д 3и/1</t>
        </is>
      </c>
      <c r="H273" s="4" t="n">
        <v>197400</v>
      </c>
      <c r="I273" s="4" t="n">
        <v>9311.320754716982</v>
      </c>
      <c r="J273" t="inlineStr">
        <is>
          <t>Нежилое помещение</t>
        </is>
      </c>
      <c r="K273" s="5" t="n">
        <v>4.49</v>
      </c>
      <c r="M273" t="n">
        <v>2075</v>
      </c>
      <c r="N273" s="6" t="n">
        <v>76846</v>
      </c>
      <c r="P273" s="21" t="n">
        <v>3.148390230581877</v>
      </c>
      <c r="Q273" t="inlineStr">
        <is>
          <t>EA</t>
        </is>
      </c>
      <c r="R273" t="inlineStr">
        <is>
          <t>Д</t>
        </is>
      </c>
      <c r="S273" s="2">
        <f>HYPERLINK("https://yandex.ru/maps/?&amp;text=52.751154, 103.642973", "52.751154, 103.642973")</f>
        <v/>
      </c>
      <c r="U273" t="inlineStr">
        <is>
          <t>38:31:000037:974</t>
        </is>
      </c>
      <c r="V273" s="7" t="inlineStr">
        <is>
          <t>1</t>
        </is>
      </c>
      <c r="W273" s="20" t="n">
        <v>38626.9920526822</v>
      </c>
      <c r="X273" s="22" t="n">
        <v>29315.67129796521</v>
      </c>
      <c r="Y273" t="n">
        <v>0</v>
      </c>
    </row>
    <row r="274">
      <c r="A274" s="8" t="n">
        <v>272</v>
      </c>
      <c r="B274" t="n">
        <v>38</v>
      </c>
      <c r="C274" s="1" t="n">
        <v>21.2</v>
      </c>
      <c r="D274" s="2">
        <f>HYPERLINK("https://torgi.gov.ru/new/public/lots/lot/21000010510000000065_16/(lotInfo:info)", "21000010510000000065_16")</f>
        <v/>
      </c>
      <c r="E274" t="inlineStr">
        <is>
          <t>Лот № 16 – нежилое помещение общей площадью 21,2 кв.м. (кад.№38:31:000037:972) с земельным участком общей площадью 26 кв.м. (кад.№38:31:000037:957), назначение объекта: для строительства административно-хозяйственного блока, по адресу: Иркутская область, г.Усолье-Сибирское, ул. Куйбышева, 3и/1, блок №11. Правообладатель: Батукаев С.С. Обременение: арест. Начальная цена 197 500 руб.</t>
        </is>
      </c>
      <c r="F274" s="3" t="inlineStr">
        <is>
          <t>30.08.22 10:00</t>
        </is>
      </c>
      <c r="G274" t="inlineStr">
        <is>
          <t>Иркутская обл, г Усолье-Сибирское, ул Куйбышева, зд 3и/1</t>
        </is>
      </c>
      <c r="H274" s="4" t="n">
        <v>197500</v>
      </c>
      <c r="I274" s="4" t="n">
        <v>9316.037735849057</v>
      </c>
      <c r="J274" t="inlineStr">
        <is>
          <t>Нежилое помещение</t>
        </is>
      </c>
      <c r="K274" s="5" t="n">
        <v>4.61</v>
      </c>
      <c r="M274" t="n">
        <v>2019</v>
      </c>
      <c r="N274" s="6" t="n">
        <v>76846</v>
      </c>
      <c r="P274" s="21" t="n">
        <v>3.146289779832215</v>
      </c>
      <c r="Q274" t="inlineStr">
        <is>
          <t>EA</t>
        </is>
      </c>
      <c r="R274" t="inlineStr">
        <is>
          <t>Д</t>
        </is>
      </c>
      <c r="S274" s="2">
        <f>HYPERLINK("https://yandex.ru/maps/?&amp;text=52.750047, 103.644824", "52.750047, 103.644824")</f>
        <v/>
      </c>
      <c r="U274" t="inlineStr">
        <is>
          <t>38:31:000037:972</t>
        </is>
      </c>
      <c r="V274" s="7" t="inlineStr">
        <is>
          <t>1</t>
        </is>
      </c>
      <c r="W274" s="20" t="n">
        <v>38626.9920526822</v>
      </c>
      <c r="X274" s="22" t="n">
        <v>29310.95431683314</v>
      </c>
      <c r="Y274" t="n">
        <v>0</v>
      </c>
    </row>
    <row r="275">
      <c r="A275" s="8" t="n">
        <v>273</v>
      </c>
      <c r="B275" t="n">
        <v>38</v>
      </c>
      <c r="C275" s="1" t="n">
        <v>21.2</v>
      </c>
      <c r="D275" s="2">
        <f>HYPERLINK("https://torgi.gov.ru/new/public/lots/lot/21000010510000000065_11/(lotInfo:info)", "21000010510000000065_11")</f>
        <v/>
      </c>
      <c r="E275" t="inlineStr">
        <is>
          <t>Лот № 11 – нежилое помещение общей площадью 21,2 кв.м. (кад.№38:21:000037:981) с земельным участком общей площадью 26 кв.м. (кад.№38:31:000037:966), назначение объекта: для строительства административно-хозяйственного блока, по адресу: Иркутская область, г.Усолье-Сибирское, ул. Куйбышева, 3и/2, блок №3. Правообладатель: Батукаев С.С. Обременение: арест.Начальная цена 197 500 руб.</t>
        </is>
      </c>
      <c r="F275" s="3" t="inlineStr">
        <is>
          <t>30.08.22 10:00</t>
        </is>
      </c>
      <c r="G275" t="inlineStr">
        <is>
          <t>Иркутская обл, г Усолье-Сибирское, ул Куйбышева, зд 3и/2</t>
        </is>
      </c>
      <c r="H275" s="4" t="n">
        <v>197500</v>
      </c>
      <c r="I275" s="4" t="n">
        <v>9316.037735849057</v>
      </c>
      <c r="J275" t="inlineStr">
        <is>
          <t>Нежилое помещение</t>
        </is>
      </c>
      <c r="K275" s="5" t="n">
        <v>4.61</v>
      </c>
      <c r="M275" t="n">
        <v>2019</v>
      </c>
      <c r="N275" s="6" t="n">
        <v>76846</v>
      </c>
      <c r="P275" s="21" t="n">
        <v>3.146289779832215</v>
      </c>
      <c r="Q275" t="inlineStr">
        <is>
          <t>EA</t>
        </is>
      </c>
      <c r="R275" t="inlineStr">
        <is>
          <t>Д</t>
        </is>
      </c>
      <c r="S275" s="2">
        <f>HYPERLINK("https://yandex.ru/maps/?&amp;text=52.74996, 103.644698", "52.74996, 103.644698")</f>
        <v/>
      </c>
      <c r="U275" t="inlineStr">
        <is>
          <t>38:21:000037:981</t>
        </is>
      </c>
      <c r="V275" s="7" t="inlineStr">
        <is>
          <t>1</t>
        </is>
      </c>
      <c r="W275" s="20" t="n">
        <v>38626.9920526822</v>
      </c>
      <c r="X275" s="22" t="n">
        <v>29310.95431683314</v>
      </c>
      <c r="Y275" t="n">
        <v>0</v>
      </c>
    </row>
    <row r="276">
      <c r="A276" s="8" t="n">
        <v>274</v>
      </c>
      <c r="B276" t="n">
        <v>38</v>
      </c>
      <c r="C276" s="1" t="n">
        <v>21.2</v>
      </c>
      <c r="D276" s="2">
        <f>HYPERLINK("https://torgi.gov.ru/new/public/lots/lot/21000010510000000065_14/(lotInfo:info)", "21000010510000000065_14")</f>
        <v/>
      </c>
      <c r="E276" t="inlineStr">
        <is>
          <t>Лот № 14 – нежилое помещение общей площадью 21,2 кв.м. (кад.№38:31:000037:970) с земельным участком общей площадью 27 кв.м. (кад.№38:31:000037:947), назначение объекта: для строительства административно-хозяйственного блока, по адресу: Иркутская область, г.Усолье-Сибирское, ул. Куйбышева, 3и/1, блок №1. Правообладатель: Батукаев С.С. Обременение: арест. Начальная цена 197 500 руб.</t>
        </is>
      </c>
      <c r="F276" s="3" t="inlineStr">
        <is>
          <t>30.08.22 10:00</t>
        </is>
      </c>
      <c r="G276" t="inlineStr">
        <is>
          <t>Иркутская обл, г Усолье-Сибирское, ул Куйбышева, зд 3и/1</t>
        </is>
      </c>
      <c r="H276" s="4" t="n">
        <v>197500</v>
      </c>
      <c r="I276" s="4" t="n">
        <v>9316.037735849057</v>
      </c>
      <c r="J276" t="inlineStr">
        <is>
          <t>Нежилое помещение</t>
        </is>
      </c>
      <c r="K276" s="5" t="n">
        <v>4.61</v>
      </c>
      <c r="M276" t="n">
        <v>2019</v>
      </c>
      <c r="N276" s="6" t="n">
        <v>76846</v>
      </c>
      <c r="P276" s="21" t="n">
        <v>3.146289779832215</v>
      </c>
      <c r="Q276" t="inlineStr">
        <is>
          <t>EA</t>
        </is>
      </c>
      <c r="R276" t="inlineStr">
        <is>
          <t>Д</t>
        </is>
      </c>
      <c r="S276" s="2">
        <f>HYPERLINK("https://yandex.ru/maps/?&amp;text=52.750047, 103.644824", "52.750047, 103.644824")</f>
        <v/>
      </c>
      <c r="U276" t="inlineStr">
        <is>
          <t>38:31:000037:970</t>
        </is>
      </c>
      <c r="V276" s="7" t="inlineStr">
        <is>
          <t>1</t>
        </is>
      </c>
      <c r="W276" s="20" t="n">
        <v>38626.9920526822</v>
      </c>
      <c r="X276" s="22" t="n">
        <v>29310.95431683314</v>
      </c>
      <c r="Y276" t="n">
        <v>0</v>
      </c>
    </row>
    <row r="277">
      <c r="A277" s="8" t="n">
        <v>275</v>
      </c>
      <c r="B277" t="n">
        <v>38</v>
      </c>
      <c r="C277" s="1" t="n">
        <v>21.2</v>
      </c>
      <c r="D277" s="2">
        <f>HYPERLINK("https://torgi.gov.ru/new/public/lots/lot/21000010510000000065_19/(lotInfo:info)", "21000010510000000065_19")</f>
        <v/>
      </c>
      <c r="E277" t="inlineStr">
        <is>
          <t>Лот № 19 – нежилое помещение общей площадью 21,2 кв.м. (кад.№38:31:000037:979) с земельным участком общей площадью 26 кв.м. (кад.№38:31:000037:965) по адресу: Иркутская область, г.Усолье-Сибирское, ул. Куйбышева, 3и/2, блок №2. Правообладатель: Батукаев С.С. Обременение: арест. Начальная цена 197 500 руб.</t>
        </is>
      </c>
      <c r="F277" s="3" t="inlineStr">
        <is>
          <t>30.08.22 10:00</t>
        </is>
      </c>
      <c r="G277" t="inlineStr">
        <is>
          <t>Иркутская обл, г Усолье-Сибирское, ул Куйбышева, д 3и/2</t>
        </is>
      </c>
      <c r="H277" s="4" t="n">
        <v>197500</v>
      </c>
      <c r="I277" s="4" t="n">
        <v>9316.037735849057</v>
      </c>
      <c r="J277" t="inlineStr">
        <is>
          <t>Нежилое помещение</t>
        </is>
      </c>
      <c r="K277" s="5" t="n">
        <v>4.49</v>
      </c>
      <c r="M277" t="n">
        <v>2075</v>
      </c>
      <c r="N277" s="6" t="n">
        <v>76846</v>
      </c>
      <c r="P277" s="21" t="n">
        <v>3.146289779832215</v>
      </c>
      <c r="Q277" t="inlineStr">
        <is>
          <t>EA</t>
        </is>
      </c>
      <c r="R277" t="inlineStr">
        <is>
          <t>Д</t>
        </is>
      </c>
      <c r="S277" s="2">
        <f>HYPERLINK("https://yandex.ru/maps/?&amp;text=52.751154, 103.642973", "52.751154, 103.642973")</f>
        <v/>
      </c>
      <c r="U277" t="inlineStr">
        <is>
          <t>38:31:000037:979</t>
        </is>
      </c>
      <c r="V277" s="7" t="inlineStr">
        <is>
          <t>1</t>
        </is>
      </c>
      <c r="W277" s="20" t="n">
        <v>38626.9920526822</v>
      </c>
      <c r="X277" s="22" t="n">
        <v>29310.95431683314</v>
      </c>
      <c r="Y277" t="n">
        <v>0</v>
      </c>
    </row>
    <row r="278">
      <c r="A278" s="8" t="n">
        <v>276</v>
      </c>
      <c r="B278" t="n">
        <v>38</v>
      </c>
      <c r="C278" s="1" t="n">
        <v>21.2</v>
      </c>
      <c r="D278" s="2">
        <f>HYPERLINK("https://torgi.gov.ru/new/public/lots/lot/21000010510000000065_12/(lotInfo:info)", "21000010510000000065_12")</f>
        <v/>
      </c>
      <c r="E278" t="inlineStr">
        <is>
          <t>Лот № 12 – нежилое помещение общей площадью 21,2 кв.м. (кад.№38:31:000037:982) с земельным участком общей площадью 26 кв.м. (кад.№38:31:000037:946), назначение объекта: для строительства административно-хозяйственного блока, по адресу: Иркутская область, г.Усолье-Сибирское, ул. Куйбышева, 3и/2, блок №5. Правообладатель: Батукаев С.С. Обременение: арест. Начальная цена 197 500 руб.</t>
        </is>
      </c>
      <c r="F278" s="3" t="inlineStr">
        <is>
          <t>30.08.22 10:00</t>
        </is>
      </c>
      <c r="G278" t="inlineStr">
        <is>
          <t>Иркутская обл, г Усолье-Сибирское, ул Куйбышева, зд 3и/2</t>
        </is>
      </c>
      <c r="H278" s="4" t="n">
        <v>197500</v>
      </c>
      <c r="I278" s="4" t="n">
        <v>9316.037735849057</v>
      </c>
      <c r="J278" t="inlineStr">
        <is>
          <t>Нежилое помещение</t>
        </is>
      </c>
      <c r="K278" s="5" t="n">
        <v>4.61</v>
      </c>
      <c r="M278" t="n">
        <v>2019</v>
      </c>
      <c r="N278" s="6" t="n">
        <v>76846</v>
      </c>
      <c r="P278" s="21" t="n">
        <v>3.146289779832215</v>
      </c>
      <c r="Q278" t="inlineStr">
        <is>
          <t>EA</t>
        </is>
      </c>
      <c r="R278" t="inlineStr">
        <is>
          <t>Д</t>
        </is>
      </c>
      <c r="S278" s="2">
        <f>HYPERLINK("https://yandex.ru/maps/?&amp;text=52.74996, 103.644698", "52.74996, 103.644698")</f>
        <v/>
      </c>
      <c r="U278" t="inlineStr">
        <is>
          <t>38:31:000037:982</t>
        </is>
      </c>
      <c r="V278" s="7" t="inlineStr">
        <is>
          <t>1</t>
        </is>
      </c>
      <c r="W278" s="20" t="n">
        <v>38626.9920526822</v>
      </c>
      <c r="X278" s="22" t="n">
        <v>29310.95431683314</v>
      </c>
      <c r="Y278" t="n">
        <v>0</v>
      </c>
    </row>
    <row r="279">
      <c r="A279" s="8" t="n">
        <v>277</v>
      </c>
      <c r="B279" t="n">
        <v>38</v>
      </c>
      <c r="C279" s="1" t="n">
        <v>21.2</v>
      </c>
      <c r="D279" s="2">
        <f>HYPERLINK("https://torgi.gov.ru/new/public/lots/lot/21000010510000000065_17/(lotInfo:info)", "21000010510000000065_17")</f>
        <v/>
      </c>
      <c r="E279" t="inlineStr">
        <is>
          <t>Лот № 17 – нежилое помещение общей площадью 21,2 кв.м. (кад.№38:31:000037:978) с земельным участком общей площадью 26 кв.м. (кад.№38:31:000037:967), назначение объекта: для строительства административно-хозяйственного блока, по адресу: Иркутская область, г.Усолье-Сибирское, ул. Куйбышева, 3и/2, блок №4. Правообладатель: Батукаев С.С. Обременение: арест. Начальная цена 197 500 руб.</t>
        </is>
      </c>
      <c r="F279" s="3" t="inlineStr">
        <is>
          <t>30.08.22 10:00</t>
        </is>
      </c>
      <c r="G279" t="inlineStr">
        <is>
          <t>Иркутская обл, г Усолье-Сибирское, ул Куйбышева, зд 3и/2</t>
        </is>
      </c>
      <c r="H279" s="4" t="n">
        <v>197500</v>
      </c>
      <c r="I279" s="4" t="n">
        <v>9316.037735849057</v>
      </c>
      <c r="J279" t="inlineStr">
        <is>
          <t>Нежилое помещение</t>
        </is>
      </c>
      <c r="K279" s="5" t="n">
        <v>4.61</v>
      </c>
      <c r="M279" t="n">
        <v>2019</v>
      </c>
      <c r="N279" s="6" t="n">
        <v>76846</v>
      </c>
      <c r="P279" s="21" t="n">
        <v>3.146289779832215</v>
      </c>
      <c r="Q279" t="inlineStr">
        <is>
          <t>EA</t>
        </is>
      </c>
      <c r="R279" t="inlineStr">
        <is>
          <t>Д</t>
        </is>
      </c>
      <c r="S279" s="2">
        <f>HYPERLINK("https://yandex.ru/maps/?&amp;text=52.74996, 103.644698", "52.74996, 103.644698")</f>
        <v/>
      </c>
      <c r="U279" t="inlineStr">
        <is>
          <t>38:31:000037:978</t>
        </is>
      </c>
      <c r="V279" s="7" t="inlineStr">
        <is>
          <t>1</t>
        </is>
      </c>
      <c r="W279" s="20" t="n">
        <v>38626.9920526822</v>
      </c>
      <c r="X279" s="22" t="n">
        <v>29310.95431683314</v>
      </c>
      <c r="Y279" t="n">
        <v>0</v>
      </c>
    </row>
    <row r="280">
      <c r="A280" s="8" t="n">
        <v>278</v>
      </c>
      <c r="B280" t="n">
        <v>38</v>
      </c>
      <c r="C280" s="1" t="n">
        <v>111.6</v>
      </c>
      <c r="D280" s="2">
        <f>HYPERLINK("https://torgi.gov.ru/new/public/lots/lot/21000010510000000074_5/(lotInfo:info)", "21000010510000000074_5")</f>
        <v/>
      </c>
      <c r="E280" t="inlineStr">
        <is>
          <t>Вторичные торги Лот № 5 – нежилое помещение общей площадью 111,6 кв.м. (кад.№38:26:040902:1959) по адресу: Иркутская обл., г. Ангарск, кв-л 14, д. 5, пом. 2б. Правообладатель: Клейн Ю.Л. Обременение: арест. Начальная цена 1 060 800 руб.</t>
        </is>
      </c>
      <c r="F280" s="3" t="inlineStr">
        <is>
          <t>13.09.22 10:00</t>
        </is>
      </c>
      <c r="G280" t="inlineStr">
        <is>
          <t xml:space="preserve">Иркутская обл., г. Ангарск, кв-л 14, д. 5, пом. 2б. </t>
        </is>
      </c>
      <c r="H280" s="4" t="n">
        <v>1060800</v>
      </c>
      <c r="I280" s="4" t="n">
        <v>9505.376344086022</v>
      </c>
      <c r="J280" t="inlineStr">
        <is>
          <t>Нежилое помещение</t>
        </is>
      </c>
      <c r="K280" s="5" t="n">
        <v>0.78</v>
      </c>
      <c r="L280" s="4" t="n">
        <v>559.12</v>
      </c>
      <c r="M280" t="n">
        <v>12164</v>
      </c>
      <c r="N280" s="6" t="n">
        <v>225489</v>
      </c>
      <c r="O280" t="n">
        <v>17</v>
      </c>
      <c r="P280" s="21" t="n">
        <v>1.826429742212663</v>
      </c>
      <c r="Q280" t="inlineStr">
        <is>
          <t>EA</t>
        </is>
      </c>
      <c r="R280" t="inlineStr">
        <is>
          <t>Д</t>
        </is>
      </c>
      <c r="S280" s="2">
        <f>HYPERLINK("https://yandex.ru/maps/?&amp;text=52.559553, 103.879904", "52.559553, 103.879904")</f>
        <v/>
      </c>
      <c r="T280" s="2">
        <f>HYPERLINK("D:\venv_torgi\env\cache\objs_in_district/52.559553_103.879904.json", "52.559553_103.879904.json")</f>
        <v/>
      </c>
      <c r="U280" t="inlineStr">
        <is>
          <t>38:26:040902:1959</t>
        </is>
      </c>
      <c r="W280" s="20" t="n">
        <v>26866.27840984939</v>
      </c>
      <c r="X280" s="22" t="n">
        <v>17360.90206576337</v>
      </c>
      <c r="Y280" t="n">
        <v>0</v>
      </c>
    </row>
    <row r="281">
      <c r="A281" s="8" t="n">
        <v>279</v>
      </c>
      <c r="B281" t="n">
        <v>38</v>
      </c>
      <c r="C281" s="1" t="n">
        <v>19.1</v>
      </c>
      <c r="D281" s="2">
        <f>HYPERLINK("https://torgi.gov.ru/new/public/lots/lot/21000010510000000074_6/(lotInfo:info)", "21000010510000000074_6")</f>
        <v/>
      </c>
      <c r="E281" t="inlineStr">
        <is>
          <t>Вторичные торги Лот № 6 – нежилое помещение общей площадью 19,1 кв.м. (кад.№38:36:000023:23306) с земельным участком общей площадью 20 кв.м. (кад.№38:36:000023:18704), назначение объекта: для эксплуатации гаражного бокса, по адресу: г. Иркутск, ул. Байкальская, гаражный кооператив № 15, гаражный бокс № 847. Правообладатель: Никулин В.Л. Обременение: арест. Начальная цена 205 530 руб.</t>
        </is>
      </c>
      <c r="F281" s="3" t="inlineStr">
        <is>
          <t>13.09.22 10:00</t>
        </is>
      </c>
      <c r="G281" t="inlineStr">
        <is>
          <t>г Иркутск, ул Байкальская</t>
        </is>
      </c>
      <c r="H281" s="4" t="n">
        <v>205530</v>
      </c>
      <c r="I281" s="4" t="n">
        <v>10760.73298429319</v>
      </c>
      <c r="J281" t="inlineStr">
        <is>
          <t>гаражного бокса</t>
        </is>
      </c>
      <c r="K281" s="5" t="n">
        <v>2.88</v>
      </c>
      <c r="M281" t="n">
        <v>3739</v>
      </c>
      <c r="N281" s="6" t="n">
        <v>623479</v>
      </c>
      <c r="P281" s="21" t="n">
        <v>2.589624620280397</v>
      </c>
      <c r="Q281" t="inlineStr">
        <is>
          <t>EA</t>
        </is>
      </c>
      <c r="R281" t="inlineStr">
        <is>
          <t>Д</t>
        </is>
      </c>
      <c r="S281" s="2">
        <f>HYPERLINK("https://yandex.ru/maps/?&amp;text=52.258404, 104.326735", "52.258404, 104.326735")</f>
        <v/>
      </c>
      <c r="U281" t="inlineStr">
        <is>
          <t>38:36:000023:23306</t>
        </is>
      </c>
      <c r="V281" s="7" t="inlineStr">
        <is>
          <t>1</t>
        </is>
      </c>
      <c r="W281" s="20" t="n">
        <v>38626.9920526822</v>
      </c>
      <c r="X281" s="22" t="n">
        <v>27866.259068389</v>
      </c>
      <c r="Y281" t="n">
        <v>0</v>
      </c>
    </row>
    <row r="282">
      <c r="A282" s="8" t="n">
        <v>280</v>
      </c>
      <c r="B282" t="n">
        <v>38</v>
      </c>
      <c r="C282" s="1" t="n">
        <v>69.3</v>
      </c>
      <c r="D282" s="2">
        <f>HYPERLINK("https://torgi.gov.ru/new/public/lots/lot/21000007110000000019_1/(lotInfo:info)", "21000007110000000019_1")</f>
        <v/>
      </c>
      <c r="E282" t="inlineStr">
        <is>
          <t>Нежилое помещение, назначение: нежилое, кадастровый номер: 38:26:040502:6491, расположенное по адресу: Иркутская область, г. Ангарск, квартал 182, д.14, помещение 50, общей площадью 69,3 кв.м.</t>
        </is>
      </c>
      <c r="F282" s="3" t="inlineStr">
        <is>
          <t>29.08.22 06:00</t>
        </is>
      </c>
      <c r="G282" t="inlineStr">
        <is>
          <t>Иркутская обл, г Ангарск, кв-л 182, д 14</t>
        </is>
      </c>
      <c r="H282" s="4" t="n">
        <v>796000</v>
      </c>
      <c r="I282" s="4" t="n">
        <v>11486.29148629149</v>
      </c>
      <c r="J282" t="inlineStr">
        <is>
          <t>Нежилое помещение</t>
        </is>
      </c>
      <c r="K282" s="5" t="n">
        <v>1.55</v>
      </c>
      <c r="L282" s="4" t="n">
        <v>229.72</v>
      </c>
      <c r="M282" t="n">
        <v>7396</v>
      </c>
      <c r="N282" s="6" t="n">
        <v>225489</v>
      </c>
      <c r="O282" t="n">
        <v>50</v>
      </c>
      <c r="P282" s="21" t="n">
        <v>1.338986298746938</v>
      </c>
      <c r="Q282" t="inlineStr">
        <is>
          <t>EA</t>
        </is>
      </c>
      <c r="R282" t="inlineStr">
        <is>
          <t>М</t>
        </is>
      </c>
      <c r="S282" s="2">
        <f>HYPERLINK("https://yandex.ru/maps/?&amp;text=52.5088, 103.83684", "52.5088, 103.83684")</f>
        <v/>
      </c>
      <c r="T282" s="2">
        <f>HYPERLINK("D:\venv_torgi\env\cache\objs_in_district/52.5088_103.83684.json", "52.5088_103.83684.json")</f>
        <v/>
      </c>
      <c r="U282" t="inlineStr">
        <is>
          <t xml:space="preserve">38:26:040502:6491, </t>
        </is>
      </c>
      <c r="W282" s="20" t="n">
        <v>26866.27840984939</v>
      </c>
      <c r="X282" s="22" t="n">
        <v>15379.9869235579</v>
      </c>
      <c r="Y282" t="n">
        <v>0</v>
      </c>
    </row>
    <row r="283">
      <c r="A283" s="8" t="n">
        <v>281</v>
      </c>
      <c r="B283" t="n">
        <v>38</v>
      </c>
      <c r="C283" s="1" t="n">
        <v>49.2</v>
      </c>
      <c r="D283" s="2">
        <f>HYPERLINK("https://torgi.gov.ru/new/public/lots/lot/21000007110000000022_2/(lotInfo:info)", "21000007110000000022_2")</f>
        <v/>
      </c>
      <c r="E283" t="inlineStr">
        <is>
          <t>Нежилое помещение, назначение: нежилое помещение, кадастровый номер: 38:26:040107:286, расположенное по адресу: Иркутская область, г. Ангарск, кв-л. 93-й, д. 5, пом. 101, общей площадью 49,2 кв.м</t>
        </is>
      </c>
      <c r="F283" s="3" t="inlineStr">
        <is>
          <t>05.09.22 06:00</t>
        </is>
      </c>
      <c r="G283" t="inlineStr">
        <is>
          <t>Иркутская обл, г Ангарск, кв-л 93, д 5</t>
        </is>
      </c>
      <c r="H283" s="4" t="n">
        <v>633000</v>
      </c>
      <c r="I283" s="4" t="n">
        <v>12865.85365853659</v>
      </c>
      <c r="J283" t="inlineStr">
        <is>
          <t>Нежилое помещение</t>
        </is>
      </c>
      <c r="K283" s="5" t="n">
        <v>2</v>
      </c>
      <c r="L283" s="4" t="n">
        <v>135.42</v>
      </c>
      <c r="M283" t="n">
        <v>6442</v>
      </c>
      <c r="N283" s="6" t="n">
        <v>225489</v>
      </c>
      <c r="O283" t="n">
        <v>95</v>
      </c>
      <c r="P283" s="21" t="n">
        <v>1.088184672613886</v>
      </c>
      <c r="Q283" t="inlineStr">
        <is>
          <t>EA</t>
        </is>
      </c>
      <c r="R283" t="inlineStr">
        <is>
          <t>М</t>
        </is>
      </c>
      <c r="S283" s="2">
        <f>HYPERLINK("https://yandex.ru/maps/?&amp;text=52.532576, 103.895472", "52.532576, 103.895472")</f>
        <v/>
      </c>
      <c r="T283" s="2">
        <f>HYPERLINK("D:\venv_torgi\env\cache\objs_in_district/52.532576_103.895472.json", "52.532576_103.895472.json")</f>
        <v/>
      </c>
      <c r="U283" t="inlineStr">
        <is>
          <t xml:space="preserve">38:26:040107:286, </t>
        </is>
      </c>
      <c r="W283" s="20" t="n">
        <v>26866.27840984939</v>
      </c>
      <c r="X283" s="22" t="n">
        <v>14000.4247513128</v>
      </c>
      <c r="Y283" t="n">
        <v>0</v>
      </c>
    </row>
    <row r="284">
      <c r="A284" s="8" t="n">
        <v>282</v>
      </c>
      <c r="B284" t="n">
        <v>38</v>
      </c>
      <c r="C284" s="1" t="n">
        <v>45.2</v>
      </c>
      <c r="D284" s="2">
        <f>HYPERLINK("https://torgi.gov.ru/new/public/lots/lot/21000007110000000019_3/(lotInfo:info)", "21000007110000000019_3")</f>
        <v/>
      </c>
      <c r="E284" t="inlineStr">
        <is>
          <t>Нежилое помещение, назначение: нежилое помещение, кадастровый номер: 38:26:040401:6304, расположенное по адресу: Иркутская область, г. Ангарск,мкр. 11-й, д. 7а, пом. 111, общей площадью 45,2 кв.м.</t>
        </is>
      </c>
      <c r="F284" s="3" t="inlineStr">
        <is>
          <t>29.08.22 06:00</t>
        </is>
      </c>
      <c r="G284" t="inlineStr">
        <is>
          <t>Иркутская обл, г Ангарск, мкр 11, д 7а</t>
        </is>
      </c>
      <c r="H284" s="4" t="n">
        <v>729000</v>
      </c>
      <c r="I284" s="4" t="n">
        <v>16128.3185840708</v>
      </c>
      <c r="J284" t="inlineStr">
        <is>
          <t>Нежилое помещение</t>
        </is>
      </c>
      <c r="K284" s="5" t="n">
        <v>3.77</v>
      </c>
      <c r="L284" s="4" t="n">
        <v>336</v>
      </c>
      <c r="M284" t="n">
        <v>4273</v>
      </c>
      <c r="N284" s="6" t="n">
        <v>225489</v>
      </c>
      <c r="O284" t="n">
        <v>48</v>
      </c>
      <c r="P284" s="21" t="n">
        <v>0.6657829686216632</v>
      </c>
      <c r="Q284" t="inlineStr">
        <is>
          <t>EA</t>
        </is>
      </c>
      <c r="R284" t="inlineStr">
        <is>
          <t>М</t>
        </is>
      </c>
      <c r="S284" s="2">
        <f>HYPERLINK("https://yandex.ru/maps/?&amp;text=52.5129295, 103.8524811", "52.5129295, 103.8524811")</f>
        <v/>
      </c>
      <c r="T284" s="2">
        <f>HYPERLINK("D:\venv_torgi\env\cache\objs_in_district/52.5129295_103.8524811.json", "52.5129295_103.8524811.json")</f>
        <v/>
      </c>
      <c r="U284" t="inlineStr">
        <is>
          <t xml:space="preserve">38:26:040401:6304, </t>
        </is>
      </c>
      <c r="W284" s="20" t="n">
        <v>26866.27840984939</v>
      </c>
      <c r="X284" s="22" t="n">
        <v>10737.95982577859</v>
      </c>
      <c r="Y284" t="n">
        <v>0</v>
      </c>
    </row>
    <row r="285">
      <c r="A285" s="8" t="n">
        <v>283</v>
      </c>
      <c r="B285" t="n">
        <v>38</v>
      </c>
      <c r="C285" s="1" t="n">
        <v>200.9</v>
      </c>
      <c r="D285" s="2">
        <f>HYPERLINK("https://torgi.gov.ru/new/public/lots/lot/22000102360000000012_1/(lotInfo:info)", "22000102360000000012_1")</f>
        <v/>
      </c>
      <c r="E285" t="inlineStr">
        <is>
          <t>Расположено в 2-хэтажном кирпичном здании, включает в себя несколько помещений</t>
        </is>
      </c>
      <c r="F285" s="3" t="inlineStr">
        <is>
          <t>04.09.22 15:00</t>
        </is>
      </c>
      <c r="G285" t="inlineStr">
        <is>
          <t>Иркутская обл, г Нижнеудинск, ул Ленина, зд 28, помещ 2</t>
        </is>
      </c>
      <c r="H285" s="4" t="n">
        <v>5110000</v>
      </c>
      <c r="I285" s="4" t="n">
        <v>25435.54006968641</v>
      </c>
      <c r="J285" t="inlineStr">
        <is>
          <t>Нежилое помещение</t>
        </is>
      </c>
      <c r="K285" s="5" t="n">
        <v>24.55</v>
      </c>
      <c r="L285" s="4" t="n">
        <v>1816.79</v>
      </c>
      <c r="M285" t="n">
        <v>1036</v>
      </c>
      <c r="N285" s="6" t="n">
        <v>33971</v>
      </c>
      <c r="O285" t="n">
        <v>14</v>
      </c>
      <c r="Q285" t="inlineStr">
        <is>
          <t>PP</t>
        </is>
      </c>
      <c r="R285" t="inlineStr">
        <is>
          <t>М</t>
        </is>
      </c>
      <c r="S285" s="2">
        <f>HYPERLINK("https://yandex.ru/maps/?&amp;text=54.904416, 99.031409", "54.904416, 99.031409")</f>
        <v/>
      </c>
      <c r="T285" s="2">
        <f>HYPERLINK("D:\venv_torgi\env\cache\objs_in_district/54.904416_99.031409.json", "54.904416_99.031409.json")</f>
        <v/>
      </c>
      <c r="U285" t="inlineStr">
        <is>
          <t>38:37:020205:3555</t>
        </is>
      </c>
      <c r="W285" s="20" t="n">
        <v>16978.25983052898</v>
      </c>
      <c r="X285" s="23" t="n">
        <v>-8457.280239157433</v>
      </c>
      <c r="Y285" t="n">
        <v>0</v>
      </c>
    </row>
    <row r="286">
      <c r="A286" s="8" t="n">
        <v>284</v>
      </c>
      <c r="B286" t="n">
        <v>38</v>
      </c>
      <c r="C286" s="1" t="n">
        <v>42.2</v>
      </c>
      <c r="D286" s="2">
        <f>HYPERLINK("https://torgi.gov.ru/new/public/lots/lot/22000102360000000014_1/(lotInfo:info)", "22000102360000000014_1")</f>
        <v/>
      </c>
      <c r="E286" t="inlineStr">
        <is>
          <t>нежилое, площадь 42,2м2, этаж 1, адрес (местонахождение) объекта: Иркутская область, г.Нижнеудинск, ул. Комсомольская, д.1, пом.70/2, кадастровый номер:38:37:020204:2735</t>
        </is>
      </c>
      <c r="F286" s="3" t="inlineStr">
        <is>
          <t>06.09.22 15:00</t>
        </is>
      </c>
      <c r="G286" t="inlineStr">
        <is>
          <t>Иркутская обл, г Нижнеудинск, ул Комсомольская, д 1</t>
        </is>
      </c>
      <c r="H286" s="4" t="n">
        <v>1120000</v>
      </c>
      <c r="I286" s="4" t="n">
        <v>26540.28436018957</v>
      </c>
      <c r="J286" t="inlineStr">
        <is>
          <t>Нежилое помещение</t>
        </is>
      </c>
      <c r="K286" s="5" t="n">
        <v>28.45</v>
      </c>
      <c r="L286" s="4" t="n">
        <v>8846.67</v>
      </c>
      <c r="M286" t="n">
        <v>933</v>
      </c>
      <c r="N286" s="6" t="n">
        <v>33971</v>
      </c>
      <c r="O286" t="n">
        <v>3</v>
      </c>
      <c r="Q286" t="inlineStr">
        <is>
          <t>PP</t>
        </is>
      </c>
      <c r="R286" t="inlineStr">
        <is>
          <t>М</t>
        </is>
      </c>
      <c r="S286" s="2">
        <f>HYPERLINK("https://yandex.ru/maps/?&amp;text=54.90505, 99.04107", "54.90505, 99.04107")</f>
        <v/>
      </c>
      <c r="T286" s="2">
        <f>HYPERLINK("D:\venv_torgi\env\cache\objs_in_district/54.90505_99.04107.json", "54.90505_99.04107.json")</f>
        <v/>
      </c>
      <c r="U286" t="inlineStr">
        <is>
          <t>38:37:020204:2735</t>
        </is>
      </c>
      <c r="V286" s="7" t="inlineStr">
        <is>
          <t>1</t>
        </is>
      </c>
      <c r="W286" s="20" t="n">
        <v>25999.90717260928</v>
      </c>
      <c r="X286" s="23" t="n">
        <v>-540.3771875802886</v>
      </c>
      <c r="Y286" t="n">
        <v>0</v>
      </c>
    </row>
    <row r="287">
      <c r="A287" s="8" t="n">
        <v>285</v>
      </c>
      <c r="B287" t="n">
        <v>38</v>
      </c>
      <c r="C287" s="1" t="n">
        <v>46.6</v>
      </c>
      <c r="D287" s="2">
        <f>HYPERLINK("https://torgi.gov.ru/new/public/lots/lot/22000020910000000031_1/(lotInfo:info)", "22000020910000000031_1")</f>
        <v/>
      </c>
      <c r="E287" t="inlineStr">
        <is>
          <t>Помещение, назначение: нежилое, этаж № 1, общей площадью 46,6 кв.м, кадастровый номер 38:36:000021:23523, расположенное по адресу: г. Иркутск, ул. Депутатская, д. 48</t>
        </is>
      </c>
      <c r="F287" s="3" t="inlineStr">
        <is>
          <t>29.08.22 09:00</t>
        </is>
      </c>
      <c r="G287" t="inlineStr">
        <is>
          <t>г Иркутск, ул Депутатская, д 48</t>
        </is>
      </c>
      <c r="H287" s="4" t="n">
        <v>3780000</v>
      </c>
      <c r="I287" s="4" t="n">
        <v>81115.87982832617</v>
      </c>
      <c r="J287" t="inlineStr">
        <is>
          <t>Нежилое помещение</t>
        </is>
      </c>
      <c r="K287" s="5" t="n">
        <v>11.67</v>
      </c>
      <c r="L287" s="4" t="n">
        <v>7374.09</v>
      </c>
      <c r="M287" t="n">
        <v>6948</v>
      </c>
      <c r="N287" s="6" t="n">
        <v>623479</v>
      </c>
      <c r="O287" t="n">
        <v>11</v>
      </c>
      <c r="Q287" t="inlineStr">
        <is>
          <t>EA</t>
        </is>
      </c>
      <c r="R287" t="inlineStr">
        <is>
          <t>М</t>
        </is>
      </c>
      <c r="S287" s="2">
        <f>HYPERLINK("https://yandex.ru/maps/?&amp;text=52.270992, 104.32205", "52.270992, 104.32205")</f>
        <v/>
      </c>
      <c r="T287" s="2">
        <f>HYPERLINK("D:\venv_torgi\env\cache\objs_in_district/52.270992_104.32205.json", "52.270992_104.32205.json")</f>
        <v/>
      </c>
      <c r="U287" t="inlineStr">
        <is>
          <t xml:space="preserve">38:36:000021:23523, </t>
        </is>
      </c>
      <c r="V287" s="7" t="inlineStr">
        <is>
          <t>1</t>
        </is>
      </c>
      <c r="W287" s="20" t="n">
        <v>26866.27840984939</v>
      </c>
      <c r="X287" s="23" t="n">
        <v>-54249.60141847678</v>
      </c>
      <c r="Y287" t="n">
        <v>0</v>
      </c>
    </row>
    <row r="288">
      <c r="A288" s="8" t="n">
        <v>286</v>
      </c>
      <c r="B288" t="n">
        <v>39</v>
      </c>
      <c r="C288" s="1" t="n">
        <v>108.9</v>
      </c>
      <c r="D288" s="2">
        <f>HYPERLINK("https://torgi.gov.ru/new/public/lots/lot/22000054080000000014_5/(lotInfo:info)", "22000054080000000014_5")</f>
        <v/>
      </c>
      <c r="E288" t="inlineStr">
        <is>
          <t>Нежилое здание (баня), кадастровый номер 39:11:080003:280, общей площадью 108,9 кв. м;земельный участок из земель населенных пунктов с кадастровым номером 39:11:080003:279, общей площадью 668,0 кв. м, с разрешенным использованием - бытовое обслуживание, расположенные по адресу: Калининградская область, Правдинский район, поселок Чайковское, улица Поселковая.Зарегистрированные обременения по использованию земельного участка: часть участка находится в охранной зоне объектов электросетевого хозяйства и ограничена в использовании.</t>
        </is>
      </c>
      <c r="F288" s="3" t="inlineStr">
        <is>
          <t>02.09.22 15:00</t>
        </is>
      </c>
      <c r="G288" t="inlineStr">
        <is>
          <t>Калининградская обл, Правдинский р-н, поселок Чайковское, ул Поселковая</t>
        </is>
      </c>
      <c r="H288" s="4" t="n">
        <v>124900</v>
      </c>
      <c r="I288" s="4" t="n">
        <v>1146.92378328742</v>
      </c>
      <c r="J288" t="inlineStr">
        <is>
          <t xml:space="preserve">здание (баня), </t>
        </is>
      </c>
      <c r="K288" s="5" t="n">
        <v>24.38</v>
      </c>
      <c r="M288" t="n">
        <v>47</v>
      </c>
      <c r="N288" s="6" t="n">
        <v>197</v>
      </c>
      <c r="P288" s="21" t="n">
        <v>13.14441362217011</v>
      </c>
      <c r="Q288" t="inlineStr">
        <is>
          <t>EA</t>
        </is>
      </c>
      <c r="R288" t="inlineStr">
        <is>
          <t>М</t>
        </is>
      </c>
      <c r="S288" s="2">
        <f>HYPERLINK("https://yandex.ru/maps/?&amp;text=54.46636, 21.580255", "54.46636, 21.580255")</f>
        <v/>
      </c>
      <c r="U288" t="inlineStr">
        <is>
          <t xml:space="preserve">39:11:080003:280, </t>
        </is>
      </c>
      <c r="V288" s="7" t="inlineStr">
        <is>
          <t>1</t>
        </is>
      </c>
      <c r="W288" s="20" t="n">
        <v>16222.56438392146</v>
      </c>
      <c r="X288" s="22" t="n">
        <v>15075.64060063404</v>
      </c>
      <c r="Y288" t="n">
        <v>0</v>
      </c>
    </row>
    <row r="289">
      <c r="A289" s="8" t="n">
        <v>287</v>
      </c>
      <c r="B289" t="n">
        <v>39</v>
      </c>
      <c r="C289" s="1" t="n">
        <v>78.40000000000001</v>
      </c>
      <c r="D289" s="2">
        <f>HYPERLINK("https://torgi.gov.ru/new/public/lots/lot/22000054080000000014_3/(lotInfo:info)", "22000054080000000014_3")</f>
        <v/>
      </c>
      <c r="E289" t="inlineStr">
        <is>
          <t>Нежилое помещение общей площадью 78,4 кв. м, кадастровый номер 39:11:080101:40, расположенное по адресу: Калининградская область, Правдинский район, поселок Фрунзенское, улица Зеленая, дом 3.</t>
        </is>
      </c>
      <c r="F289" s="3" t="inlineStr">
        <is>
          <t>02.09.22 15:00</t>
        </is>
      </c>
      <c r="G289" t="inlineStr">
        <is>
          <t>Калининградская обл, Правдинский р-н, поселок Фрунзенское, ул Зеленая, д 3</t>
        </is>
      </c>
      <c r="H289" s="4" t="n">
        <v>132600</v>
      </c>
      <c r="I289" s="4" t="n">
        <v>1691.326530612245</v>
      </c>
      <c r="J289" t="inlineStr">
        <is>
          <t>Нежилое помещение</t>
        </is>
      </c>
      <c r="K289" s="5" t="n">
        <v>34.51</v>
      </c>
      <c r="M289" t="n">
        <v>49</v>
      </c>
      <c r="N289" s="6" t="n">
        <v>167</v>
      </c>
      <c r="P289" s="21" t="n">
        <v>8.591621777522191</v>
      </c>
      <c r="Q289" t="inlineStr">
        <is>
          <t>EA</t>
        </is>
      </c>
      <c r="R289" t="inlineStr">
        <is>
          <t>М</t>
        </is>
      </c>
      <c r="S289" s="2">
        <f>HYPERLINK("https://yandex.ru/maps/?&amp;text=54.48716, 21.558399", "54.48716, 21.558399")</f>
        <v/>
      </c>
      <c r="U289" t="inlineStr">
        <is>
          <t xml:space="preserve">39:11:080101:40, </t>
        </is>
      </c>
      <c r="W289" s="20" t="n">
        <v>16222.56438392146</v>
      </c>
      <c r="X289" s="22" t="n">
        <v>14531.23785330921</v>
      </c>
      <c r="Y289" t="n">
        <v>0</v>
      </c>
    </row>
    <row r="290">
      <c r="A290" s="8" t="n">
        <v>288</v>
      </c>
      <c r="B290" t="n">
        <v>39</v>
      </c>
      <c r="C290" s="1" t="n">
        <v>86.5</v>
      </c>
      <c r="D290" s="2">
        <f>HYPERLINK("https://torgi.gov.ru/new/public/lots/lot/22000054080000000014_2/(lotInfo:info)", "22000054080000000014_2")</f>
        <v/>
      </c>
      <c r="E290" t="inlineStr">
        <is>
          <t>Нежилое помещение общей площадью 86,5 кв. м, кадастровый номер 39:11:080204:178, расположенное по адресу: Калининградская область, Правдинский район, поселок Мозырь, улица Колхозная, дом 8.</t>
        </is>
      </c>
      <c r="F290" s="3" t="inlineStr">
        <is>
          <t>02.09.22 15:00</t>
        </is>
      </c>
      <c r="G290" t="inlineStr">
        <is>
          <t>Калининградская обл, Правдинский р-н, поселок Мозырь, ул Колхозная, д 8</t>
        </is>
      </c>
      <c r="H290" s="4" t="n">
        <v>182300</v>
      </c>
      <c r="I290" s="4" t="n">
        <v>2107.514450867052</v>
      </c>
      <c r="J290" t="inlineStr">
        <is>
          <t>Нежилое помещение</t>
        </is>
      </c>
      <c r="K290" s="5" t="n">
        <v>35.12</v>
      </c>
      <c r="M290" t="n">
        <v>60</v>
      </c>
      <c r="N290" s="6" t="n">
        <v>411</v>
      </c>
      <c r="P290" s="21" t="n">
        <v>6.69748666598577</v>
      </c>
      <c r="Q290" t="inlineStr">
        <is>
          <t>EA</t>
        </is>
      </c>
      <c r="R290" t="inlineStr">
        <is>
          <t>М</t>
        </is>
      </c>
      <c r="S290" s="2">
        <f>HYPERLINK("https://yandex.ru/maps/?&amp;text=54.441167, 21.478727", "54.441167, 21.478727")</f>
        <v/>
      </c>
      <c r="U290" t="inlineStr">
        <is>
          <t xml:space="preserve">39:11:080204:178, </t>
        </is>
      </c>
      <c r="W290" s="20" t="n">
        <v>16222.56438392146</v>
      </c>
      <c r="X290" s="22" t="n">
        <v>14115.0499330544</v>
      </c>
      <c r="Y290" t="n">
        <v>0</v>
      </c>
    </row>
    <row r="291">
      <c r="A291" s="8" t="n">
        <v>289</v>
      </c>
      <c r="B291" t="n">
        <v>39</v>
      </c>
      <c r="C291" s="1" t="n">
        <v>54.9</v>
      </c>
      <c r="D291" s="2">
        <f>HYPERLINK("https://torgi.gov.ru/new/public/lots/lot/21000033490000000037_1/(lotInfo:info)", "21000033490000000037_1")</f>
        <v/>
      </c>
      <c r="E291" t="inlineStr">
        <is>
          <t>нежилое помещение</t>
        </is>
      </c>
      <c r="F291" s="3" t="inlineStr">
        <is>
          <t>18.09.22 21:00</t>
        </is>
      </c>
      <c r="G291" t="inlineStr">
        <is>
          <t>Калининградская обл, Гусевский р-н, поселок Приозерное, ул Центральная, д 34</t>
        </is>
      </c>
      <c r="H291" s="4" t="n">
        <v>125000</v>
      </c>
      <c r="I291" s="4" t="n">
        <v>2276.867030965392</v>
      </c>
      <c r="J291" t="inlineStr">
        <is>
          <t>Нежилое помещение</t>
        </is>
      </c>
      <c r="K291" s="5" t="n">
        <v>16.99</v>
      </c>
      <c r="M291" t="n">
        <v>134</v>
      </c>
      <c r="N291" s="6" t="n">
        <v>283</v>
      </c>
      <c r="P291" s="21" t="n">
        <v>10.41915923021</v>
      </c>
      <c r="Q291" t="inlineStr">
        <is>
          <t>EA</t>
        </is>
      </c>
      <c r="R291" t="inlineStr">
        <is>
          <t>М</t>
        </is>
      </c>
      <c r="S291" s="2">
        <f>HYPERLINK("https://yandex.ru/maps/?&amp;text=54.640545, 22.100712", "54.640545, 22.100712")</f>
        <v/>
      </c>
      <c r="U291" t="inlineStr">
        <is>
          <t xml:space="preserve">39:04:280001:45, </t>
        </is>
      </c>
      <c r="V291" s="7" t="inlineStr">
        <is>
          <t>1</t>
        </is>
      </c>
      <c r="W291" s="20" t="n">
        <v>25999.90717260928</v>
      </c>
      <c r="X291" s="22" t="n">
        <v>23723.04014164389</v>
      </c>
      <c r="Y291" t="n">
        <v>0</v>
      </c>
    </row>
    <row r="292">
      <c r="A292" s="8" t="n">
        <v>290</v>
      </c>
      <c r="B292" t="n">
        <v>39</v>
      </c>
      <c r="C292" s="1" t="n">
        <v>170.9</v>
      </c>
      <c r="D292" s="2">
        <f>HYPERLINK("https://torgi.gov.ru/new/public/lots/lot/22000030870000000009_1/(lotInfo:info)", "22000030870000000009_1")</f>
        <v/>
      </c>
      <c r="E292" t="inlineStr">
        <is>
          <t>Нежилое здание- котельная, общей площадью 170,9 кв.м. , месторасположения : Калининградская обл., Нестеровский р-н, г. Нестеров, ул. Калинина, д. 20Б. КН 39:08:010001:245.</t>
        </is>
      </c>
      <c r="F292" s="3" t="inlineStr">
        <is>
          <t>16.09.22 08:00</t>
        </is>
      </c>
      <c r="G292" t="inlineStr">
        <is>
          <t>Калининградская обл, г Нестеров, ул Калинина, зд 20 к Б</t>
        </is>
      </c>
      <c r="H292" s="4" t="n">
        <v>502600</v>
      </c>
      <c r="I292" s="4" t="n">
        <v>2940.901111761264</v>
      </c>
      <c r="J292" t="inlineStr">
        <is>
          <t xml:space="preserve">здание- </t>
        </is>
      </c>
      <c r="K292" s="5" t="n">
        <v>4.56</v>
      </c>
      <c r="L292" s="10" t="n"/>
      <c r="M292" t="n">
        <v>645</v>
      </c>
      <c r="N292" s="6" t="n">
        <v>3987</v>
      </c>
      <c r="O292" t="inlineStr">
        <is>
          <t>0</t>
        </is>
      </c>
      <c r="P292" s="21" t="n">
        <v>2.463073475631654</v>
      </c>
      <c r="Q292" t="inlineStr">
        <is>
          <t>EA</t>
        </is>
      </c>
      <c r="R292" t="inlineStr">
        <is>
          <t>М</t>
        </is>
      </c>
      <c r="S292" s="2">
        <f>HYPERLINK("https://yandex.ru/maps/?&amp;text=54.633797, 22.560425", "54.633797, 22.560425")</f>
        <v/>
      </c>
      <c r="T292" s="11">
        <f>HYPERLINK("D:\venv_torgi\env\cache\objs_in_district/54.633797_22.560425.json", "54.633797_22.560425.json")</f>
        <v/>
      </c>
      <c r="U292" t="inlineStr">
        <is>
          <t>39:08::010001:245</t>
        </is>
      </c>
      <c r="W292" s="20" t="n">
        <v>10184.55663459608</v>
      </c>
      <c r="X292" s="22" t="n">
        <v>7243.655522834812</v>
      </c>
      <c r="Y292" t="n">
        <v>0</v>
      </c>
    </row>
    <row r="293">
      <c r="A293" s="8" t="n">
        <v>291</v>
      </c>
      <c r="B293" t="n">
        <v>39</v>
      </c>
      <c r="C293" s="1" t="n">
        <v>58.2</v>
      </c>
      <c r="D293" s="2">
        <f>HYPERLINK("https://torgi.gov.ru/new/public/lots/lot/22000054080000000014_7/(lotInfo:info)", "22000054080000000014_7")</f>
        <v/>
      </c>
      <c r="E293" t="inlineStr">
        <is>
          <t>нежилое здание (ФАП) с кадастровым номером 39:11:040901:110, общей площадью 58,2 кв. м; земельный участок с кадастровым номером 39:11:040901:310, общей площадью 847 кв. м, с разрешенным использованием - амбулаторно-поликлиническое обслуживание, расположенные по адресу: Калининградская область, Правдинский район, поселок Гусево, улица Зеленая, дом 6.</t>
        </is>
      </c>
      <c r="F293" s="3" t="inlineStr">
        <is>
          <t>02.09.22 15:00</t>
        </is>
      </c>
      <c r="G293" t="inlineStr">
        <is>
          <t>Калининградская обл, Правдинский р-н, поселок Гусево, ул Зеленая, д 6</t>
        </is>
      </c>
      <c r="H293" s="4" t="n">
        <v>189100</v>
      </c>
      <c r="I293" s="4" t="n">
        <v>3249.14089347079</v>
      </c>
      <c r="J293" t="inlineStr">
        <is>
          <t>здание (</t>
        </is>
      </c>
      <c r="K293" s="5" t="n">
        <v>29.81</v>
      </c>
      <c r="M293" t="n">
        <v>109</v>
      </c>
      <c r="N293" s="6" t="n">
        <v>240</v>
      </c>
      <c r="P293" s="21" t="n">
        <v>3.992878091719877</v>
      </c>
      <c r="Q293" t="inlineStr">
        <is>
          <t>EA</t>
        </is>
      </c>
      <c r="R293" t="inlineStr">
        <is>
          <t>М</t>
        </is>
      </c>
      <c r="S293" s="2">
        <f>HYPERLINK("https://yandex.ru/maps/?&amp;text=54.457505, 21.451212", "54.457505, 21.451212")</f>
        <v/>
      </c>
      <c r="U293" t="inlineStr">
        <is>
          <t xml:space="preserve">39:11:040901:110, </t>
        </is>
      </c>
      <c r="V293" s="7" t="inlineStr">
        <is>
          <t>1</t>
        </is>
      </c>
      <c r="W293" s="20" t="n">
        <v>16222.56438392146</v>
      </c>
      <c r="X293" s="22" t="n">
        <v>12973.42349045067</v>
      </c>
      <c r="Y293" t="n">
        <v>0</v>
      </c>
    </row>
    <row r="294">
      <c r="A294" s="8" t="n">
        <v>292</v>
      </c>
      <c r="B294" t="n">
        <v>39</v>
      </c>
      <c r="C294" s="1" t="n">
        <v>574.8</v>
      </c>
      <c r="D294" s="2">
        <f>HYPERLINK("https://torgi.gov.ru/new/public/lots/lot/22000054080000000013_1/(lotInfo:info)", "22000054080000000013_1")</f>
        <v/>
      </c>
      <c r="E294" t="inlineStr">
        <is>
          <t>Нежилое здание (детский сад) с кадастровым номером 39:11:020033:122, общей площадью 574,8 кв.м; земельный участок из земель населенных пунктов с кадастровым номером 39:11:020039:180, общей площадью 1239,0 кв.м, с разрешенным использованием – дошкольное, начальное и среднее общее образование, расположенные по адресу: Калининградская область, Правдинский район, п .Железнодорожный, ул. Коммунистическая, д. 74.</t>
        </is>
      </c>
      <c r="F294" s="3" t="inlineStr">
        <is>
          <t>02.09.22 15:00</t>
        </is>
      </c>
      <c r="G294" t="inlineStr">
        <is>
          <t>Калининградская обл, Правдинский р-н, поселок Железнодорожный, ул Коммунистическая, д 74</t>
        </is>
      </c>
      <c r="H294" s="4" t="n">
        <v>2480700</v>
      </c>
      <c r="I294" s="4" t="n">
        <v>4315.762004175365</v>
      </c>
      <c r="J294" t="inlineStr">
        <is>
          <t>здание (</t>
        </is>
      </c>
      <c r="K294" s="5" t="n">
        <v>12.73</v>
      </c>
      <c r="L294" s="4" t="n">
        <v>2157.5</v>
      </c>
      <c r="M294" t="n">
        <v>339</v>
      </c>
      <c r="N294" s="6" t="n">
        <v>2529</v>
      </c>
      <c r="O294" t="n">
        <v>2</v>
      </c>
      <c r="P294" s="21" t="n">
        <v>0.04155928423691357</v>
      </c>
      <c r="Q294" t="inlineStr">
        <is>
          <t>EA</t>
        </is>
      </c>
      <c r="R294" t="inlineStr">
        <is>
          <t>М</t>
        </is>
      </c>
      <c r="S294" s="2">
        <f>HYPERLINK("https://yandex.ru/maps/?&amp;text=54.351424, 21.309332", "54.351424, 21.309332")</f>
        <v/>
      </c>
      <c r="T294" s="2">
        <f>HYPERLINK("D:\venv_torgi\env\cache\objs_in_district/54.351424_21.309332.json", "54.351424_21.309332.json")</f>
        <v/>
      </c>
      <c r="U294" t="inlineStr">
        <is>
          <t xml:space="preserve">39:11:020033:122, </t>
        </is>
      </c>
      <c r="V294" s="7" t="inlineStr">
        <is>
          <t>1</t>
        </is>
      </c>
      <c r="W294" s="20" t="n">
        <v>4495.121984005761</v>
      </c>
      <c r="X294" s="22" t="n">
        <v>179.3599798303958</v>
      </c>
      <c r="Y294" t="n">
        <v>0</v>
      </c>
    </row>
    <row r="295">
      <c r="A295" s="8" t="n">
        <v>293</v>
      </c>
      <c r="B295" t="n">
        <v>39</v>
      </c>
      <c r="C295" s="1" t="n">
        <v>273.6</v>
      </c>
      <c r="D295" s="2">
        <f>HYPERLINK("https://torgi.gov.ru/new/public/lots/lot/22000054080000000011_1/(lotInfo:info)", "22000054080000000011_1")</f>
        <v/>
      </c>
      <c r="E295" t="inlineStr">
        <is>
          <t>Нежилое здание (детский сад № 7) с кадастровым номером 39:11:080103:24, общей площадью 273,6 кв.м., расположенное по адресу: Калининградская область, Правдинский район, п. Фрунзенское, ул. Центральная, д. 7; земельный участок из земель населенных пунктов с кадастровым номером 39:11:080103:42, общей площадью 1900кв.м, с разрешенным использованием – для обслуживания детского сада № 7, местоположение: Калининградская область, Правдинский район, п. Фрунзенское, ул. Центральная, 7.</t>
        </is>
      </c>
      <c r="F295" s="3" t="inlineStr">
        <is>
          <t>02.09.22 15:00</t>
        </is>
      </c>
      <c r="G295" t="inlineStr">
        <is>
          <t>Калининградская обл, Правдинский р-н, поселок Фрунзенское, ул Центральная, д 7</t>
        </is>
      </c>
      <c r="H295" s="4" t="n">
        <v>1203500</v>
      </c>
      <c r="I295" s="4" t="n">
        <v>4398.75730994152</v>
      </c>
      <c r="J295" t="inlineStr">
        <is>
          <t>здание (</t>
        </is>
      </c>
      <c r="K295" s="5" t="n">
        <v>89.76000000000001</v>
      </c>
      <c r="M295" t="n">
        <v>49</v>
      </c>
      <c r="N295" s="6" t="n">
        <v>167</v>
      </c>
      <c r="P295" s="21" t="n">
        <v>1.315325878874521</v>
      </c>
      <c r="Q295" t="inlineStr">
        <is>
          <t>EA</t>
        </is>
      </c>
      <c r="R295" t="inlineStr">
        <is>
          <t>М</t>
        </is>
      </c>
      <c r="S295" s="2">
        <f>HYPERLINK("https://yandex.ru/maps/?&amp;text=54.48716, 21.558399", "54.48716, 21.558399")</f>
        <v/>
      </c>
      <c r="U295" t="inlineStr">
        <is>
          <t xml:space="preserve">39:11:080103:24, </t>
        </is>
      </c>
      <c r="V295" s="7" t="inlineStr">
        <is>
          <t>1</t>
        </is>
      </c>
      <c r="W295" s="20" t="n">
        <v>10184.55663459608</v>
      </c>
      <c r="X295" s="22" t="n">
        <v>5785.799324654556</v>
      </c>
      <c r="Y295" t="n">
        <v>0</v>
      </c>
    </row>
    <row r="296">
      <c r="A296" s="8" t="n">
        <v>294</v>
      </c>
      <c r="B296" t="n">
        <v>39</v>
      </c>
      <c r="C296" s="1" t="n">
        <v>25</v>
      </c>
      <c r="D296" s="2">
        <f>HYPERLINK("https://torgi.gov.ru/new/public/lots/lot/22000009520000000022_1/(lotInfo:info)", "22000009520000000022_1")</f>
        <v/>
      </c>
      <c r="E296" t="inlineStr">
        <is>
          <t>нежилое помещение расположенное на мансарде дома</t>
        </is>
      </c>
      <c r="F296" s="3" t="inlineStr">
        <is>
          <t>12.09.22 13:00</t>
        </is>
      </c>
      <c r="G296" t="inlineStr">
        <is>
          <t>Калининградская обл, Краснознаменский р-н, поселок Долгое, ул Центральная, д 19</t>
        </is>
      </c>
      <c r="H296" s="4" t="n">
        <v>110000</v>
      </c>
      <c r="I296" s="4" t="n">
        <v>4400</v>
      </c>
      <c r="J296" t="inlineStr">
        <is>
          <t>Нежилое помещение</t>
        </is>
      </c>
      <c r="K296" s="5" t="n">
        <v>338.46</v>
      </c>
      <c r="M296" t="n">
        <v>13</v>
      </c>
      <c r="Q296" t="inlineStr">
        <is>
          <t>EA</t>
        </is>
      </c>
      <c r="R296" t="inlineStr">
        <is>
          <t>М</t>
        </is>
      </c>
      <c r="S296" s="2">
        <f>HYPERLINK("https://yandex.ru/maps/?&amp;text=54.971957, 22.44818", "54.971957, 22.44818")</f>
        <v/>
      </c>
      <c r="U296" t="inlineStr">
        <is>
          <t>39:06:030501:100</t>
        </is>
      </c>
      <c r="Y296" t="n">
        <v>0</v>
      </c>
    </row>
    <row r="297">
      <c r="A297" s="8" t="n">
        <v>295</v>
      </c>
      <c r="B297" t="n">
        <v>39</v>
      </c>
      <c r="C297" s="1" t="n">
        <v>369.2</v>
      </c>
      <c r="D297" s="2">
        <f>HYPERLINK("https://torgi.gov.ru/new/public/lots/lot/22000054080000000012_1/(lotInfo:info)", "22000054080000000012_1")</f>
        <v/>
      </c>
      <c r="E297" t="inlineStr">
        <is>
          <t>Нежилое здание (учебный корпус) с КН 39:11:020024:21, общей площадью 369,2 кв.м. расположенное по адресу: Калининградская область, Правдинский район, п. Железнодорожный, ул. Коммунистическая, д. 17; нежилое здание (хранилище) с КН 39:11:020034:11, общей площадью 39,5 кв.м, расположенное по адресу: Калининградская область, Правдинский район, п. Железнодорожный, ул. Коммунистическая, д. 17А; земельный участок из земель населенных пунктов с КН 39:11:020025:4, общей площадью 1212 кв.м, с разрешенным использованием – под общеобразовательной школой, местоположение: Калининградская область, Правдинский район, п. Железнодорожный, ул. Коммунистическая, д. 17</t>
        </is>
      </c>
      <c r="F297" s="3" t="inlineStr">
        <is>
          <t>02.09.22 15:00</t>
        </is>
      </c>
      <c r="G297" t="inlineStr">
        <is>
          <t>Калининградская обл, Правдинский р-н, поселок Железнодорожный, ул Коммунистическая, д 17</t>
        </is>
      </c>
      <c r="H297" s="4" t="n">
        <v>2074800</v>
      </c>
      <c r="I297" s="4" t="n">
        <v>5619.718309859155</v>
      </c>
      <c r="J297" t="inlineStr">
        <is>
          <t>здание (</t>
        </is>
      </c>
      <c r="K297" s="5" t="n">
        <v>16.58</v>
      </c>
      <c r="L297" s="4" t="n">
        <v>2809.5</v>
      </c>
      <c r="M297" t="n">
        <v>339</v>
      </c>
      <c r="N297" s="6" t="n">
        <v>2529</v>
      </c>
      <c r="O297" t="n">
        <v>2</v>
      </c>
      <c r="Q297" t="inlineStr">
        <is>
          <t>EA</t>
        </is>
      </c>
      <c r="R297" t="inlineStr">
        <is>
          <t>М</t>
        </is>
      </c>
      <c r="S297" s="2">
        <f>HYPERLINK("https://yandex.ru/maps/?&amp;text=54.351424, 21.309332", "54.351424, 21.309332")</f>
        <v/>
      </c>
      <c r="T297" s="2">
        <f>HYPERLINK("D:\venv_torgi\env\cache\objs_in_district/54.351424_21.309332.json", "54.351424_21.309332.json")</f>
        <v/>
      </c>
      <c r="U297" t="inlineStr">
        <is>
          <t>39:11:020024:21</t>
        </is>
      </c>
      <c r="V297" s="7" t="inlineStr">
        <is>
          <t>1</t>
        </is>
      </c>
      <c r="W297" s="20" t="n">
        <v>4495.121984005761</v>
      </c>
      <c r="X297" s="23" t="n">
        <v>-1124.596325853394</v>
      </c>
      <c r="Y297" t="n">
        <v>0</v>
      </c>
    </row>
    <row r="298">
      <c r="A298" s="8" t="n">
        <v>296</v>
      </c>
      <c r="B298" t="n">
        <v>39</v>
      </c>
      <c r="C298" s="1" t="n">
        <v>14.4</v>
      </c>
      <c r="D298" s="2">
        <f>HYPERLINK("https://torgi.gov.ru/new/public/lots/lot/21000029430000000028_11/(lotInfo:info)", "21000029430000000028_11")</f>
        <v/>
      </c>
      <c r="E298" t="inlineStr">
        <is>
          <t>Нежилое помещение, цокольный этаж № 1, площадью 14.40 кв.м, кадастровый номер: 39:15:110855:494</t>
        </is>
      </c>
      <c r="F298" s="3" t="inlineStr">
        <is>
          <t>02.09.22 07:00</t>
        </is>
      </c>
      <c r="G298" t="inlineStr">
        <is>
          <t xml:space="preserve">г. Калининград, ул. Брусничная, д. 3, пом. II. </t>
        </is>
      </c>
      <c r="H298" s="4" t="n">
        <v>338100</v>
      </c>
      <c r="I298" s="4" t="n">
        <v>23479.16666666667</v>
      </c>
      <c r="J298" t="inlineStr">
        <is>
          <t>Нежилое помещение</t>
        </is>
      </c>
      <c r="Q298" t="inlineStr">
        <is>
          <t>EA</t>
        </is>
      </c>
      <c r="R298" t="inlineStr">
        <is>
          <t>Д</t>
        </is>
      </c>
      <c r="U298" t="inlineStr">
        <is>
          <t>39:15:110855:494</t>
        </is>
      </c>
      <c r="V298" s="7" t="inlineStr">
        <is>
          <t>0</t>
        </is>
      </c>
      <c r="Y298" t="n">
        <v>0</v>
      </c>
    </row>
    <row r="299">
      <c r="A299" s="8" t="n">
        <v>297</v>
      </c>
      <c r="B299" t="n">
        <v>39</v>
      </c>
      <c r="C299" s="1" t="n">
        <v>50.6</v>
      </c>
      <c r="D299" s="2">
        <f>HYPERLINK("https://torgi.gov.ru/new/public/lots/lot/21000029430000000033_4/(lotInfo:info)", "21000029430000000033_4")</f>
        <v/>
      </c>
      <c r="E299" t="inlineStr">
        <is>
          <t>Нежилое помещение, площадью 50.6 кв.м, цокольный этаж №1, кадастровый номер: 39:15:000000:9391, находящееся по адресу: г. Калининград, ул. Шахматная, д.4 В, помещение VI.</t>
        </is>
      </c>
      <c r="F299" s="3" t="inlineStr">
        <is>
          <t>08.09.22 07:00</t>
        </is>
      </c>
      <c r="G299" t="inlineStr">
        <is>
          <t>г Калининград, ул Шахматная, д 4В</t>
        </is>
      </c>
      <c r="H299" s="4" t="n">
        <v>1363700</v>
      </c>
      <c r="I299" s="4" t="n">
        <v>26950.59288537549</v>
      </c>
      <c r="J299" t="inlineStr">
        <is>
          <t>Нежилое помещение</t>
        </is>
      </c>
      <c r="K299" s="5" t="n">
        <v>2.58</v>
      </c>
      <c r="L299" s="4" t="n">
        <v>3850</v>
      </c>
      <c r="M299" t="n">
        <v>10455</v>
      </c>
      <c r="N299" s="6" t="n">
        <v>467289</v>
      </c>
      <c r="O299" t="n">
        <v>7</v>
      </c>
      <c r="Q299" t="inlineStr">
        <is>
          <t>EA</t>
        </is>
      </c>
      <c r="R299" t="inlineStr">
        <is>
          <t>Д</t>
        </is>
      </c>
      <c r="S299" s="2">
        <f>HYPERLINK("https://yandex.ru/maps/?&amp;text=54.734596, 20.554666", "54.734596, 20.554666")</f>
        <v/>
      </c>
      <c r="T299" s="2">
        <f>HYPERLINK("D:\venv_torgi\env\cache\objs_in_district/54.734596_20.554666.json", "54.734596_20.554666.json")</f>
        <v/>
      </c>
      <c r="U299" t="inlineStr">
        <is>
          <t xml:space="preserve">39:15:000000:9391, </t>
        </is>
      </c>
      <c r="V299" s="7" t="inlineStr">
        <is>
          <t>0</t>
        </is>
      </c>
      <c r="W299" s="20" t="n">
        <v>26866.27840984939</v>
      </c>
      <c r="X299" s="23" t="n">
        <v>-84.31447552609461</v>
      </c>
      <c r="Y299" t="n">
        <v>0</v>
      </c>
    </row>
    <row r="300">
      <c r="A300" s="8" t="n">
        <v>298</v>
      </c>
      <c r="B300" t="n">
        <v>39</v>
      </c>
      <c r="C300" s="1" t="n">
        <v>152.9</v>
      </c>
      <c r="D300" s="2">
        <f>HYPERLINK("https://torgi.gov.ru/new/public/lots/lot/22000054080000000015_1/(lotInfo:info)", "22000054080000000015_1")</f>
        <v/>
      </c>
      <c r="E300" t="inlineStr">
        <is>
          <t>Нежилое помещение с кадастровым номером 39:11:010008:282, общей площадью 152,9 кв. м, расположенное по адресу: Калининградская область, город Правдинск, улица Школьная, дом 8д, помещение № 1.</t>
        </is>
      </c>
      <c r="F300" s="3" t="inlineStr">
        <is>
          <t>02.09.22 15:00</t>
        </is>
      </c>
      <c r="G300" t="inlineStr">
        <is>
          <t>Калининградская обл, г Правдинск, ул Школьная, зд 8д</t>
        </is>
      </c>
      <c r="H300" s="4" t="n">
        <v>4716300</v>
      </c>
      <c r="I300" s="4" t="n">
        <v>30845.65075212557</v>
      </c>
      <c r="J300" t="inlineStr">
        <is>
          <t>Школьная</t>
        </is>
      </c>
      <c r="K300" s="5" t="n">
        <v>28.45</v>
      </c>
      <c r="L300" s="4" t="n">
        <v>3084.5</v>
      </c>
      <c r="M300" t="n">
        <v>1084</v>
      </c>
      <c r="N300" s="6" t="n">
        <v>6748</v>
      </c>
      <c r="O300" t="n">
        <v>10</v>
      </c>
      <c r="Q300" t="inlineStr">
        <is>
          <t>EA</t>
        </is>
      </c>
      <c r="R300" t="inlineStr">
        <is>
          <t>М</t>
        </is>
      </c>
      <c r="S300" s="2">
        <f>HYPERLINK("https://yandex.ru/maps/?&amp;text=54.446607, 21.015421", "54.446607, 21.015421")</f>
        <v/>
      </c>
      <c r="T300" s="2">
        <f>HYPERLINK("D:\venv_torgi\env\cache\objs_in_district/54.446607_21.015421.json", "54.446607_21.015421.json")</f>
        <v/>
      </c>
      <c r="U300" t="inlineStr">
        <is>
          <t xml:space="preserve">39:11:010008:282, </t>
        </is>
      </c>
      <c r="W300" s="20" t="n">
        <v>16222.56438392146</v>
      </c>
      <c r="X300" s="23" t="n">
        <v>-14623.08636820411</v>
      </c>
      <c r="Y300" t="n">
        <v>0</v>
      </c>
    </row>
    <row r="301">
      <c r="A301" s="8" t="n">
        <v>299</v>
      </c>
      <c r="B301" t="n">
        <v>39</v>
      </c>
      <c r="C301" s="1" t="n">
        <v>74.59999999999999</v>
      </c>
      <c r="D301" s="2">
        <f>HYPERLINK("https://torgi.gov.ru/new/public/lots/lot/22000054080000000015_2/(lotInfo:info)", "22000054080000000015_2")</f>
        <v/>
      </c>
      <c r="E301" t="inlineStr">
        <is>
          <t>Нежилое помещение с кадастровым номером 39:11:010008:285, общей площадью 74,6 кв. м, расположенное по адресу: Калининградская область, город Правдинск, улица Школьная, дом 8д, помещение № 2.</t>
        </is>
      </c>
      <c r="F301" s="3" t="inlineStr">
        <is>
          <t>02.09.22 15:00</t>
        </is>
      </c>
      <c r="G301" t="inlineStr">
        <is>
          <t>Калининградская обл, г Правдинск, ул Школьная, зд 8д</t>
        </is>
      </c>
      <c r="H301" s="4" t="n">
        <v>2380400</v>
      </c>
      <c r="I301" s="4" t="n">
        <v>31908.8471849866</v>
      </c>
      <c r="J301" t="inlineStr">
        <is>
          <t>Школьная</t>
        </is>
      </c>
      <c r="K301" s="5" t="n">
        <v>29.44</v>
      </c>
      <c r="L301" s="4" t="n">
        <v>3190.8</v>
      </c>
      <c r="M301" t="n">
        <v>1084</v>
      </c>
      <c r="N301" s="6" t="n">
        <v>6748</v>
      </c>
      <c r="O301" t="n">
        <v>10</v>
      </c>
      <c r="Q301" t="inlineStr">
        <is>
          <t>EA</t>
        </is>
      </c>
      <c r="R301" t="inlineStr">
        <is>
          <t>М</t>
        </is>
      </c>
      <c r="S301" s="2">
        <f>HYPERLINK("https://yandex.ru/maps/?&amp;text=54.446607, 21.015421", "54.446607, 21.015421")</f>
        <v/>
      </c>
      <c r="T301" s="2">
        <f>HYPERLINK("D:\venv_torgi\env\cache\objs_in_district/54.446607_21.015421.json", "54.446607_21.015421.json")</f>
        <v/>
      </c>
      <c r="U301" t="inlineStr">
        <is>
          <t xml:space="preserve">39:11:010008:285, </t>
        </is>
      </c>
      <c r="W301" s="20" t="n">
        <v>16222.56438392146</v>
      </c>
      <c r="X301" s="23" t="n">
        <v>-15686.28280106514</v>
      </c>
      <c r="Y301" t="n">
        <v>0</v>
      </c>
    </row>
    <row r="302">
      <c r="A302" s="8" t="n">
        <v>300</v>
      </c>
      <c r="B302" t="n">
        <v>39</v>
      </c>
      <c r="C302" s="1" t="n">
        <v>57.2</v>
      </c>
      <c r="D302" s="2">
        <f>HYPERLINK("https://torgi.gov.ru/new/public/lots/lot/22000054080000000015_7/(lotInfo:info)", "22000054080000000015_7")</f>
        <v/>
      </c>
      <c r="E302" t="inlineStr">
        <is>
          <t>Нежилое помещение с кадастровым номером 39:11:010008:290, общей площадью 57,2 кв. м, расположенное по адресу: Калининградская область, город Правдинск, улица Школьная, дом 8д, помещение № 7.</t>
        </is>
      </c>
      <c r="F302" s="3" t="inlineStr">
        <is>
          <t>02.09.22 15:00</t>
        </is>
      </c>
      <c r="G302" t="inlineStr">
        <is>
          <t>Калининградская обл, г Правдинск, ул Школьная, зд 8д</t>
        </is>
      </c>
      <c r="H302" s="4" t="n">
        <v>1825200</v>
      </c>
      <c r="I302" s="4" t="n">
        <v>31909.09090909091</v>
      </c>
      <c r="J302" t="inlineStr">
        <is>
          <t>Школьная</t>
        </is>
      </c>
      <c r="K302" s="5" t="n">
        <v>29.44</v>
      </c>
      <c r="L302" s="4" t="n">
        <v>3190.9</v>
      </c>
      <c r="M302" t="n">
        <v>1084</v>
      </c>
      <c r="N302" s="6" t="n">
        <v>6748</v>
      </c>
      <c r="O302" t="n">
        <v>10</v>
      </c>
      <c r="Q302" t="inlineStr">
        <is>
          <t>EA</t>
        </is>
      </c>
      <c r="R302" t="inlineStr">
        <is>
          <t>М</t>
        </is>
      </c>
      <c r="S302" s="2">
        <f>HYPERLINK("https://yandex.ru/maps/?&amp;text=54.446607, 21.015421", "54.446607, 21.015421")</f>
        <v/>
      </c>
      <c r="T302" s="2">
        <f>HYPERLINK("D:\venv_torgi\env\cache\objs_in_district/54.446607_21.015421.json", "54.446607_21.015421.json")</f>
        <v/>
      </c>
      <c r="U302" t="inlineStr">
        <is>
          <t xml:space="preserve">39:11:010008:290, </t>
        </is>
      </c>
      <c r="W302" s="20" t="n">
        <v>25999.90717260928</v>
      </c>
      <c r="X302" s="23" t="n">
        <v>-5909.183736481631</v>
      </c>
      <c r="Y302" t="n">
        <v>0</v>
      </c>
    </row>
    <row r="303">
      <c r="A303" s="8" t="n">
        <v>301</v>
      </c>
      <c r="B303" t="n">
        <v>39</v>
      </c>
      <c r="C303" s="1" t="n">
        <v>60.6</v>
      </c>
      <c r="D303" s="2">
        <f>HYPERLINK("https://torgi.gov.ru/new/public/lots/lot/22000054080000000015_6/(lotInfo:info)", "22000054080000000015_6")</f>
        <v/>
      </c>
      <c r="E303" t="inlineStr">
        <is>
          <t>Нежилое помещение с кадастровым номером 39:11:010008:289, общей площадью 60,6 кв. м, расположенное по адресу: Калининградская область, город Правдинск, улица Школьная, дом 8д, помещение № 6.</t>
        </is>
      </c>
      <c r="F303" s="3" t="inlineStr">
        <is>
          <t>02.09.22 15:00</t>
        </is>
      </c>
      <c r="G303" t="inlineStr">
        <is>
          <t>Калининградская обл, г Правдинск, ул Школьная, зд 8д</t>
        </is>
      </c>
      <c r="H303" s="4" t="n">
        <v>1933700</v>
      </c>
      <c r="I303" s="4" t="n">
        <v>31909.24092409241</v>
      </c>
      <c r="J303" t="inlineStr">
        <is>
          <t>Школьная</t>
        </is>
      </c>
      <c r="K303" s="5" t="n">
        <v>29.44</v>
      </c>
      <c r="L303" s="4" t="n">
        <v>3190.9</v>
      </c>
      <c r="M303" t="n">
        <v>1084</v>
      </c>
      <c r="N303" s="6" t="n">
        <v>6748</v>
      </c>
      <c r="O303" t="n">
        <v>10</v>
      </c>
      <c r="Q303" t="inlineStr">
        <is>
          <t>EA</t>
        </is>
      </c>
      <c r="R303" t="inlineStr">
        <is>
          <t>М</t>
        </is>
      </c>
      <c r="S303" s="2">
        <f>HYPERLINK("https://yandex.ru/maps/?&amp;text=54.446607, 21.015421", "54.446607, 21.015421")</f>
        <v/>
      </c>
      <c r="T303" s="2">
        <f>HYPERLINK("D:\venv_torgi\env\cache\objs_in_district/54.446607_21.015421.json", "54.446607_21.015421.json")</f>
        <v/>
      </c>
      <c r="U303" t="inlineStr">
        <is>
          <t xml:space="preserve">39:11:010008:289, </t>
        </is>
      </c>
      <c r="W303" s="20" t="n">
        <v>16222.56438392146</v>
      </c>
      <c r="X303" s="23" t="n">
        <v>-15686.67654017095</v>
      </c>
      <c r="Y303" t="n">
        <v>0</v>
      </c>
    </row>
    <row r="304">
      <c r="A304" s="8" t="n">
        <v>302</v>
      </c>
      <c r="B304" t="n">
        <v>39</v>
      </c>
      <c r="C304" s="1" t="n">
        <v>76.59999999999999</v>
      </c>
      <c r="D304" s="2">
        <f>HYPERLINK("https://torgi.gov.ru/new/public/lots/lot/22000054080000000015_3/(lotInfo:info)", "22000054080000000015_3")</f>
        <v/>
      </c>
      <c r="E304" t="inlineStr">
        <is>
          <t>Нежилое помещение с кадастровым номером 39:11:010008:286, общей  площадью 76,6 кв. м, расположенное по адресу: Калининградская область, город Правдинск, улица Школьная, дом 8д, помещение № 3.</t>
        </is>
      </c>
      <c r="F304" s="3" t="inlineStr">
        <is>
          <t>02.09.22 15:00</t>
        </is>
      </c>
      <c r="G304" t="inlineStr">
        <is>
          <t>Калининградская обл, г Правдинск, ул Школьная, зд 8д</t>
        </is>
      </c>
      <c r="H304" s="4" t="n">
        <v>2444300</v>
      </c>
      <c r="I304" s="4" t="n">
        <v>31909.92167101828</v>
      </c>
      <c r="J304" t="inlineStr">
        <is>
          <t>Школьная</t>
        </is>
      </c>
      <c r="K304" s="5" t="n">
        <v>29.44</v>
      </c>
      <c r="L304" s="4" t="n">
        <v>3190.9</v>
      </c>
      <c r="M304" t="n">
        <v>1084</v>
      </c>
      <c r="N304" s="6" t="n">
        <v>6748</v>
      </c>
      <c r="O304" t="n">
        <v>10</v>
      </c>
      <c r="Q304" t="inlineStr">
        <is>
          <t>EA</t>
        </is>
      </c>
      <c r="R304" t="inlineStr">
        <is>
          <t>М</t>
        </is>
      </c>
      <c r="S304" s="2">
        <f>HYPERLINK("https://yandex.ru/maps/?&amp;text=54.446607, 21.015421", "54.446607, 21.015421")</f>
        <v/>
      </c>
      <c r="T304" s="2">
        <f>HYPERLINK("D:\venv_torgi\env\cache\objs_in_district/54.446607_21.015421.json", "54.446607_21.015421.json")</f>
        <v/>
      </c>
      <c r="U304" t="inlineStr">
        <is>
          <t xml:space="preserve">39:11:010008:286, </t>
        </is>
      </c>
      <c r="W304" s="20" t="n">
        <v>16222.56438392146</v>
      </c>
      <c r="X304" s="23" t="n">
        <v>-15687.35728709682</v>
      </c>
      <c r="Y304" t="n">
        <v>0</v>
      </c>
    </row>
    <row r="305">
      <c r="A305" s="8" t="n">
        <v>303</v>
      </c>
      <c r="B305" t="n">
        <v>39</v>
      </c>
      <c r="C305" s="1" t="n">
        <v>51.2</v>
      </c>
      <c r="D305" s="2">
        <f>HYPERLINK("https://torgi.gov.ru/new/public/lots/lot/22000054080000000015_8/(lotInfo:info)", "22000054080000000015_8")</f>
        <v/>
      </c>
      <c r="E305" t="inlineStr">
        <is>
          <t>Нежилое помещение с кадастровым номером 39:11:010008:292, общей площадью 51,2 кв. м, расположенное по адресу: Калининградская область, город Правдинск, улица Школьная, дом 8д, помещение № 9.</t>
        </is>
      </c>
      <c r="F305" s="3" t="inlineStr">
        <is>
          <t>02.09.22 15:00</t>
        </is>
      </c>
      <c r="G305" t="inlineStr">
        <is>
          <t>Калининградская обл, г Правдинск, ул Школьная, зд 8д</t>
        </is>
      </c>
      <c r="H305" s="4" t="n">
        <v>1633800</v>
      </c>
      <c r="I305" s="4" t="n">
        <v>31910.15625</v>
      </c>
      <c r="J305" t="inlineStr">
        <is>
          <t>Школьная</t>
        </is>
      </c>
      <c r="K305" s="5" t="n">
        <v>29.44</v>
      </c>
      <c r="L305" s="4" t="n">
        <v>3191</v>
      </c>
      <c r="M305" t="n">
        <v>1084</v>
      </c>
      <c r="N305" s="6" t="n">
        <v>6748</v>
      </c>
      <c r="O305" t="n">
        <v>10</v>
      </c>
      <c r="Q305" t="inlineStr">
        <is>
          <t>EA</t>
        </is>
      </c>
      <c r="R305" t="inlineStr">
        <is>
          <t>М</t>
        </is>
      </c>
      <c r="S305" s="2">
        <f>HYPERLINK("https://yandex.ru/maps/?&amp;text=54.446607, 21.015421", "54.446607, 21.015421")</f>
        <v/>
      </c>
      <c r="T305" s="2">
        <f>HYPERLINK("D:\venv_torgi\env\cache\objs_in_district/54.446607_21.015421.json", "54.446607_21.015421.json")</f>
        <v/>
      </c>
      <c r="U305" t="inlineStr">
        <is>
          <t xml:space="preserve">39:11:010008:292, </t>
        </is>
      </c>
      <c r="W305" s="20" t="n">
        <v>25999.90717260928</v>
      </c>
      <c r="X305" s="23" t="n">
        <v>-5910.249077390719</v>
      </c>
      <c r="Y305" t="n">
        <v>0</v>
      </c>
    </row>
    <row r="306">
      <c r="A306" s="8" t="n">
        <v>304</v>
      </c>
      <c r="B306" t="n">
        <v>39</v>
      </c>
      <c r="C306" s="1" t="n">
        <v>55.8</v>
      </c>
      <c r="D306" s="2">
        <f>HYPERLINK("https://torgi.gov.ru/new/public/lots/lot/22000054080000000015_4/(lotInfo:info)", "22000054080000000015_4")</f>
        <v/>
      </c>
      <c r="E306" t="inlineStr">
        <is>
          <t>Нежилое помещение с кадастровым номером 39:11:010008:287, общей площадью 55,8 кв. м, расположенное по адресу: Калининградская область, город Правдинск, улица Школьная, дом 8д, помещение № 4.</t>
        </is>
      </c>
      <c r="F306" s="3" t="inlineStr">
        <is>
          <t>02.09.22 15:00</t>
        </is>
      </c>
      <c r="G306" t="inlineStr">
        <is>
          <t>Калининградская обл, г Правдинск, ул Школьная, зд 8д</t>
        </is>
      </c>
      <c r="H306" s="4" t="n">
        <v>1800800</v>
      </c>
      <c r="I306" s="4" t="n">
        <v>32272.40143369176</v>
      </c>
      <c r="J306" t="inlineStr">
        <is>
          <t>Школьная</t>
        </is>
      </c>
      <c r="K306" s="5" t="n">
        <v>29.77</v>
      </c>
      <c r="L306" s="4" t="n">
        <v>3227.2</v>
      </c>
      <c r="M306" t="n">
        <v>1084</v>
      </c>
      <c r="N306" s="6" t="n">
        <v>6748</v>
      </c>
      <c r="O306" t="n">
        <v>10</v>
      </c>
      <c r="Q306" t="inlineStr">
        <is>
          <t>EA</t>
        </is>
      </c>
      <c r="R306" t="inlineStr">
        <is>
          <t>М</t>
        </is>
      </c>
      <c r="S306" s="2">
        <f>HYPERLINK("https://yandex.ru/maps/?&amp;text=54.446607, 21.015421", "54.446607, 21.015421")</f>
        <v/>
      </c>
      <c r="T306" s="2">
        <f>HYPERLINK("D:\venv_torgi\env\cache\objs_in_district/54.446607_21.015421.json", "54.446607_21.015421.json")</f>
        <v/>
      </c>
      <c r="U306" t="inlineStr">
        <is>
          <t xml:space="preserve">39:11:010008:287, </t>
        </is>
      </c>
      <c r="W306" s="20" t="n">
        <v>25999.90717260928</v>
      </c>
      <c r="X306" s="23" t="n">
        <v>-6272.49426108248</v>
      </c>
      <c r="Y306" t="n">
        <v>0</v>
      </c>
    </row>
    <row r="307">
      <c r="A307" s="8" t="n">
        <v>305</v>
      </c>
      <c r="B307" t="n">
        <v>39</v>
      </c>
      <c r="C307" s="1" t="n">
        <v>39.7</v>
      </c>
      <c r="D307" s="2">
        <f>HYPERLINK("https://torgi.gov.ru/new/public/lots/lot/22000054080000000015_9/(lotInfo:info)", "22000054080000000015_9")</f>
        <v/>
      </c>
      <c r="E307" t="inlineStr">
        <is>
          <t>Нежилое помещение с кадастровым номером 39:11:010008:283, общей  площадью 39,7 кв. м, расположенное по адресу: Калининградская область, город Правдинск, улица Школьная, дом 8д, помещение № 10.</t>
        </is>
      </c>
      <c r="F307" s="3" t="inlineStr">
        <is>
          <t>02.09.22 15:00</t>
        </is>
      </c>
      <c r="G307" t="inlineStr">
        <is>
          <t>Калининградская обл, г Правдинск, ул Школьная, зд 8д</t>
        </is>
      </c>
      <c r="H307" s="4" t="n">
        <v>1342800</v>
      </c>
      <c r="I307" s="4" t="n">
        <v>33823.67758186398</v>
      </c>
      <c r="J307" t="inlineStr">
        <is>
          <t>Школьная</t>
        </is>
      </c>
      <c r="K307" s="5" t="n">
        <v>31.2</v>
      </c>
      <c r="L307" s="4" t="n">
        <v>3382.3</v>
      </c>
      <c r="M307" t="n">
        <v>1084</v>
      </c>
      <c r="N307" s="6" t="n">
        <v>6748</v>
      </c>
      <c r="O307" t="n">
        <v>10</v>
      </c>
      <c r="Q307" t="inlineStr">
        <is>
          <t>EA</t>
        </is>
      </c>
      <c r="R307" t="inlineStr">
        <is>
          <t>М</t>
        </is>
      </c>
      <c r="S307" s="2">
        <f>HYPERLINK("https://yandex.ru/maps/?&amp;text=54.446607, 21.015421", "54.446607, 21.015421")</f>
        <v/>
      </c>
      <c r="T307" s="2">
        <f>HYPERLINK("D:\venv_torgi\env\cache\objs_in_district/54.446607_21.015421.json", "54.446607_21.015421.json")</f>
        <v/>
      </c>
      <c r="U307" t="inlineStr">
        <is>
          <t xml:space="preserve">39:11:010008:283, </t>
        </is>
      </c>
      <c r="W307" s="20" t="n">
        <v>25999.90717260928</v>
      </c>
      <c r="X307" s="23" t="n">
        <v>-7823.770409254699</v>
      </c>
      <c r="Y307" t="n">
        <v>0</v>
      </c>
    </row>
    <row r="308">
      <c r="A308" s="8" t="n">
        <v>306</v>
      </c>
      <c r="B308" t="n">
        <v>39</v>
      </c>
      <c r="C308" s="1" t="n">
        <v>40.6</v>
      </c>
      <c r="D308" s="2">
        <f>HYPERLINK("https://torgi.gov.ru/new/public/lots/lot/22000054080000000015_5/(lotInfo:info)", "22000054080000000015_5")</f>
        <v/>
      </c>
      <c r="E308" t="inlineStr">
        <is>
          <t>Нежилое помещение с кадастровым номером 39:11:010008:288, общей площадью 40,6 кв. м, расположенное по адресу: Калининградская область, город Правдинск, улица Школьная, дом 8д, помещение № 5.</t>
        </is>
      </c>
      <c r="F308" s="3" t="inlineStr">
        <is>
          <t>02.09.22 15:00</t>
        </is>
      </c>
      <c r="G308" t="inlineStr">
        <is>
          <t>Калининградская обл, г Правдинск, ул Школьная, зд 8д</t>
        </is>
      </c>
      <c r="H308" s="4" t="n">
        <v>1388900</v>
      </c>
      <c r="I308" s="4" t="n">
        <v>34209.35960591133</v>
      </c>
      <c r="J308" t="inlineStr">
        <is>
          <t>Школьная</t>
        </is>
      </c>
      <c r="K308" s="5" t="n">
        <v>31.56</v>
      </c>
      <c r="L308" s="4" t="n">
        <v>3420.9</v>
      </c>
      <c r="M308" t="n">
        <v>1084</v>
      </c>
      <c r="N308" s="6" t="n">
        <v>6748</v>
      </c>
      <c r="O308" t="n">
        <v>10</v>
      </c>
      <c r="Q308" t="inlineStr">
        <is>
          <t>EA</t>
        </is>
      </c>
      <c r="R308" t="inlineStr">
        <is>
          <t>М</t>
        </is>
      </c>
      <c r="S308" s="2">
        <f>HYPERLINK("https://yandex.ru/maps/?&amp;text=54.446607, 21.015421", "54.446607, 21.015421")</f>
        <v/>
      </c>
      <c r="T308" s="2">
        <f>HYPERLINK("D:\venv_torgi\env\cache\objs_in_district/54.446607_21.015421.json", "54.446607_21.015421.json")</f>
        <v/>
      </c>
      <c r="U308" t="inlineStr">
        <is>
          <t xml:space="preserve">39:11:010008:288, </t>
        </is>
      </c>
      <c r="W308" s="20" t="n">
        <v>25999.90717260928</v>
      </c>
      <c r="X308" s="23" t="n">
        <v>-8209.452433302053</v>
      </c>
      <c r="Y308" t="n">
        <v>0</v>
      </c>
    </row>
    <row r="309">
      <c r="A309" s="8" t="n">
        <v>307</v>
      </c>
      <c r="B309" t="n">
        <v>39</v>
      </c>
      <c r="C309" s="1" t="n">
        <v>20.9</v>
      </c>
      <c r="D309" s="2">
        <f>HYPERLINK("https://torgi.gov.ru/new/public/lots/lot/21000033490000000038_1/(lotInfo:info)", "21000033490000000038_1")</f>
        <v/>
      </c>
      <c r="E309" t="inlineStr">
        <is>
          <t>нежилое помещение</t>
        </is>
      </c>
      <c r="F309" s="3" t="inlineStr">
        <is>
          <t>18.09.22 21:00</t>
        </is>
      </c>
      <c r="G309" t="inlineStr">
        <is>
          <t>Калининградская обл, г Гусев, ул Суворова, д 10</t>
        </is>
      </c>
      <c r="H309" s="4" t="n">
        <v>905000</v>
      </c>
      <c r="I309" s="4" t="n">
        <v>43301.43540669857</v>
      </c>
      <c r="J309" t="inlineStr">
        <is>
          <t>Нежилое помещение</t>
        </is>
      </c>
      <c r="K309" s="5" t="n">
        <v>36.05</v>
      </c>
      <c r="L309" s="10" t="n"/>
      <c r="M309" t="n">
        <v>1201</v>
      </c>
      <c r="N309" s="6" t="n">
        <v>28342</v>
      </c>
      <c r="O309" t="inlineStr">
        <is>
          <t>0</t>
        </is>
      </c>
      <c r="Q309" t="inlineStr">
        <is>
          <t>PP</t>
        </is>
      </c>
      <c r="R309" t="inlineStr">
        <is>
          <t>М</t>
        </is>
      </c>
      <c r="S309" s="2">
        <f>HYPERLINK("https://yandex.ru/maps/?&amp;text=54.581004, 22.20347", "54.581004, 22.20347")</f>
        <v/>
      </c>
      <c r="T309" s="11">
        <f>HYPERLINK("D:\venv_torgi\env\cache\objs_in_district/54.581004_22.20347.json", "54.581004_22.20347.json")</f>
        <v/>
      </c>
      <c r="U309" t="inlineStr">
        <is>
          <t xml:space="preserve">39:04:010222:82, </t>
        </is>
      </c>
      <c r="V309" s="7" t="inlineStr">
        <is>
          <t>1</t>
        </is>
      </c>
      <c r="W309" s="20" t="n">
        <v>38626.9920526822</v>
      </c>
      <c r="X309" s="23" t="n">
        <v>-4674.443354016374</v>
      </c>
      <c r="Y309" t="n">
        <v>0</v>
      </c>
    </row>
    <row r="310">
      <c r="A310" s="8" t="n">
        <v>308</v>
      </c>
      <c r="B310" t="n">
        <v>39</v>
      </c>
      <c r="C310" s="1" t="n">
        <v>39.9</v>
      </c>
      <c r="D310" s="2">
        <f>HYPERLINK("https://torgi.gov.ru/new/public/lots/lot/21000007890000000016_1/(lotInfo:info)", "21000007890000000016_1")</f>
        <v/>
      </c>
      <c r="E310" t="inlineStr">
        <is>
          <t>Нежилое помещение общей площадью – 39,9 кв.м,  кадастровый номер 39:15:140924:428, расположенное по плану этажа № 1 по адресу г. Калининград,                              ул. Подполковника Емельянова,74-80, пом. Iа из лит. Аа.</t>
        </is>
      </c>
      <c r="F310" s="3" t="inlineStr">
        <is>
          <t>22.09.22 07:00</t>
        </is>
      </c>
      <c r="G310" t="inlineStr">
        <is>
          <t>г Калининград, ул Подполковника Емельянова</t>
        </is>
      </c>
      <c r="H310" s="4" t="n">
        <v>2223000</v>
      </c>
      <c r="I310" s="4" t="n">
        <v>55714.28571428572</v>
      </c>
      <c r="J310" t="inlineStr">
        <is>
          <t>Нежилое помещение</t>
        </is>
      </c>
      <c r="K310" s="5" t="n">
        <v>45</v>
      </c>
      <c r="L310" s="4" t="n">
        <v>6964.25</v>
      </c>
      <c r="M310" t="n">
        <v>1238</v>
      </c>
      <c r="N310" s="6" t="n">
        <v>467289</v>
      </c>
      <c r="O310" t="n">
        <v>8</v>
      </c>
      <c r="Q310" t="inlineStr">
        <is>
          <t>EA</t>
        </is>
      </c>
      <c r="R310" t="inlineStr">
        <is>
          <t>М</t>
        </is>
      </c>
      <c r="S310" s="2">
        <f>HYPERLINK("https://yandex.ru/maps/?&amp;text=54.681951, 20.579523", "54.681951, 20.579523")</f>
        <v/>
      </c>
      <c r="T310" s="2">
        <f>HYPERLINK("D:\venv_torgi\env\cache\objs_in_district/54.681951_20.579523.json", "54.681951_20.579523.json")</f>
        <v/>
      </c>
      <c r="U310" t="inlineStr">
        <is>
          <t xml:space="preserve">39:15:140924:428, </t>
        </is>
      </c>
      <c r="V310" s="7" t="inlineStr">
        <is>
          <t>1</t>
        </is>
      </c>
      <c r="W310" s="20" t="n">
        <v>25999.90717260928</v>
      </c>
      <c r="X310" s="23" t="n">
        <v>-29714.37854167644</v>
      </c>
      <c r="Y310" t="n">
        <v>0</v>
      </c>
    </row>
    <row r="311">
      <c r="A311" s="8" t="n">
        <v>309</v>
      </c>
      <c r="B311" t="n">
        <v>40</v>
      </c>
      <c r="C311" s="1" t="n">
        <v>216.1</v>
      </c>
      <c r="D311" s="2">
        <f>HYPERLINK("https://torgi.gov.ru/new/public/lots/lot/22000004110000000001_1/(lotInfo:info)", "22000004110000000001_1")</f>
        <v/>
      </c>
      <c r="E311" t="inlineStr">
        <is>
          <t>Нежилое помещение, кадастровый номер: 40:20:100508:492, местоположение: Калужская область, Тарусский район, г.Таруса, ул.Октябрьская, д.4, площадью 216,1 кв.м, этаж – 2, кадастровая стоимость помещения 2 418 357,81руб., расположенное в 2-х этажном кирпичном здании,  кадастровые номер иных объектов недвижимости, в пределах которых расположен объект недвижимости 40:20:100508:487.</t>
        </is>
      </c>
      <c r="F311" s="3" t="inlineStr">
        <is>
          <t>31.08.22 13:00</t>
        </is>
      </c>
      <c r="G311" t="inlineStr">
        <is>
          <t>Калужская обл, Тарусский р-н, г Таруса, ул Октябрьская, д 4</t>
        </is>
      </c>
      <c r="H311" s="4" t="n">
        <v>9760000</v>
      </c>
      <c r="I311" s="4" t="n">
        <v>45164.27579824156</v>
      </c>
      <c r="J311" t="inlineStr">
        <is>
          <t>Нежилое помещение</t>
        </is>
      </c>
      <c r="K311" s="5" t="n">
        <v>27.32</v>
      </c>
      <c r="L311" s="4" t="n">
        <v>885.5700000000001</v>
      </c>
      <c r="M311" t="n">
        <v>1653</v>
      </c>
      <c r="N311" s="6" t="n">
        <v>9070</v>
      </c>
      <c r="O311" t="n">
        <v>51</v>
      </c>
      <c r="Q311" t="inlineStr">
        <is>
          <t>EA</t>
        </is>
      </c>
      <c r="R311" t="inlineStr">
        <is>
          <t>М</t>
        </is>
      </c>
      <c r="S311" s="2">
        <f>HYPERLINK("https://yandex.ru/maps/?&amp;text=54.72773, 37.180477", "54.72773, 37.180477")</f>
        <v/>
      </c>
      <c r="T311" s="2">
        <f>HYPERLINK("D:\venv_torgi\env\cache\objs_in_district/54.72773_37.180477.json", "54.72773_37.180477.json")</f>
        <v/>
      </c>
      <c r="U311" t="inlineStr">
        <is>
          <t xml:space="preserve">40:20:100508:492, </t>
        </is>
      </c>
      <c r="V311" s="7" t="inlineStr">
        <is>
          <t>2</t>
        </is>
      </c>
      <c r="W311" s="20" t="n">
        <v>16978.25983052898</v>
      </c>
      <c r="X311" s="23" t="n">
        <v>-28186.01596771258</v>
      </c>
      <c r="Y311" t="n">
        <v>0</v>
      </c>
    </row>
    <row r="312">
      <c r="A312" s="8" t="n">
        <v>310</v>
      </c>
      <c r="B312" t="n">
        <v>41</v>
      </c>
      <c r="C312" s="1" t="n">
        <v>56.5</v>
      </c>
      <c r="D312" s="2">
        <f>HYPERLINK("https://torgi.gov.ru/new/public/lots/lot/21000021120000000002_1/(lotInfo:info)", "21000021120000000002_1")</f>
        <v/>
      </c>
      <c r="E312" t="inlineStr">
        <is>
          <t>Нежилые помещения поз. 1 - 4, цокольного этажа в жилом доме, общая площадь 56,5 квадратных метров, кадастровый номер объекта 41:01:0010127:1952, расположенные по адресу: Камчатский край, город Петропавловск-Камчатский, улица Капитана Беляева, дом 2</t>
        </is>
      </c>
      <c r="F312" s="3" t="inlineStr">
        <is>
          <t>31.08.22 22:00</t>
        </is>
      </c>
      <c r="G312" t="inlineStr">
        <is>
          <t>г Петропавловск-Камчатский, ул Капитана Беляева, д 2</t>
        </is>
      </c>
      <c r="H312" s="4" t="n">
        <v>744153</v>
      </c>
      <c r="I312" s="4" t="n">
        <v>13170.84955752212</v>
      </c>
      <c r="J312" t="inlineStr">
        <is>
          <t>Нежилое помещение</t>
        </is>
      </c>
      <c r="K312" s="5" t="n">
        <v>2.16</v>
      </c>
      <c r="L312" s="4" t="n">
        <v>274.38</v>
      </c>
      <c r="M312" t="n">
        <v>6085</v>
      </c>
      <c r="N312" s="6" t="n">
        <v>181181</v>
      </c>
      <c r="O312" t="n">
        <v>48</v>
      </c>
      <c r="P312" s="21" t="n">
        <v>1.039828812295981</v>
      </c>
      <c r="Q312" t="inlineStr">
        <is>
          <t>EA</t>
        </is>
      </c>
      <c r="R312" t="inlineStr">
        <is>
          <t>М</t>
        </is>
      </c>
      <c r="S312" s="2">
        <f>HYPERLINK("https://yandex.ru/maps/?&amp;text=52.99132, 158.66356", "52.99132, 158.66356")</f>
        <v/>
      </c>
      <c r="T312" s="2">
        <f>HYPERLINK("D:\venv_torgi\env\cache\objs_in_district/52.99132_158.66356.json", "52.99132_158.66356.json")</f>
        <v/>
      </c>
      <c r="U312" t="inlineStr">
        <is>
          <t xml:space="preserve">41:01:0010127:1952, </t>
        </is>
      </c>
      <c r="V312" s="7" t="inlineStr">
        <is>
          <t>0</t>
        </is>
      </c>
      <c r="W312" s="20" t="n">
        <v>26866.27840984939</v>
      </c>
      <c r="X312" s="22" t="n">
        <v>13695.42885232727</v>
      </c>
      <c r="Y312" t="n">
        <v>0</v>
      </c>
    </row>
    <row r="313">
      <c r="A313" s="8" t="n">
        <v>311</v>
      </c>
      <c r="B313" t="n">
        <v>41</v>
      </c>
      <c r="C313" s="1" t="n">
        <v>22.8</v>
      </c>
      <c r="D313" s="2">
        <f>HYPERLINK("https://torgi.gov.ru/new/public/lots/lot/21000002300000000005_2/(lotInfo:info)", "21000002300000000005_2")</f>
        <v/>
      </c>
      <c r="E313" t="inlineStr">
        <is>
          <t>Нежилое помещение, общая площадь 22,8 кв.м., 1-этажное, кадастровый номер 41:05:0101002:1826</t>
        </is>
      </c>
      <c r="F313" s="3" t="inlineStr">
        <is>
          <t>14.09.22 06:00</t>
        </is>
      </c>
      <c r="G313" t="inlineStr">
        <is>
          <t>г.Елизово</t>
        </is>
      </c>
      <c r="H313" s="4" t="n">
        <v>323500</v>
      </c>
      <c r="I313" s="4" t="n">
        <v>14188.59649122807</v>
      </c>
      <c r="J313" t="inlineStr">
        <is>
          <t>Нежилое помещение</t>
        </is>
      </c>
      <c r="Q313" t="inlineStr">
        <is>
          <t>EA</t>
        </is>
      </c>
      <c r="R313" t="inlineStr">
        <is>
          <t>М</t>
        </is>
      </c>
      <c r="U313" t="inlineStr">
        <is>
          <t>41:05:0101002:1826</t>
        </is>
      </c>
      <c r="V313" s="7" t="inlineStr">
        <is>
          <t>1</t>
        </is>
      </c>
      <c r="Y313" t="n">
        <v>0</v>
      </c>
    </row>
    <row r="314">
      <c r="A314" s="8" t="n">
        <v>312</v>
      </c>
      <c r="B314" t="n">
        <v>42</v>
      </c>
      <c r="C314" s="1" t="n">
        <v>253.2</v>
      </c>
      <c r="D314" s="2">
        <f>HYPERLINK("https://torgi.gov.ru/new/public/lots/lot/22000008270000000003_2/(lotInfo:info)", "22000008270000000003_2")</f>
        <v/>
      </c>
      <c r="E314" t="inlineStr">
        <is>
          <t>253,2 кв.м</t>
        </is>
      </c>
      <c r="F314" s="3" t="inlineStr">
        <is>
          <t>26.09.22 08:00</t>
        </is>
      </c>
      <c r="G314" t="inlineStr">
        <is>
          <t>Кемеровская область - Кузбасс, г Мариинск, ул Котовского, д 5</t>
        </is>
      </c>
      <c r="H314" s="4" t="n">
        <v>775300</v>
      </c>
      <c r="I314" s="4" t="n">
        <v>3062.006319115324</v>
      </c>
      <c r="J314" t="inlineStr">
        <is>
          <t>Нежилое помещение</t>
        </is>
      </c>
      <c r="K314" s="5" t="n">
        <v>3.46</v>
      </c>
      <c r="L314" s="4" t="n">
        <v>3062</v>
      </c>
      <c r="M314" t="n">
        <v>886</v>
      </c>
      <c r="N314" s="6" t="n">
        <v>41252</v>
      </c>
      <c r="O314" t="n">
        <v>1</v>
      </c>
      <c r="P314" s="21" t="n">
        <v>2.326105687965596</v>
      </c>
      <c r="Q314" t="inlineStr">
        <is>
          <t>PP</t>
        </is>
      </c>
      <c r="R314" t="inlineStr">
        <is>
          <t>М</t>
        </is>
      </c>
      <c r="S314" s="2">
        <f>HYPERLINK("https://yandex.ru/maps/?&amp;text=56.203913, 87.70951", "56.203913, 87.70951")</f>
        <v/>
      </c>
      <c r="T314" s="2">
        <f>HYPERLINK("D:\venv_torgi\env\cache\objs_in_district/56.203913_87.70951.json", "56.203913_87.70951.json")</f>
        <v/>
      </c>
      <c r="U314" t="inlineStr">
        <is>
          <t>42:27:0103001:881</t>
        </is>
      </c>
      <c r="W314" s="20" t="n">
        <v>10184.55663459608</v>
      </c>
      <c r="X314" s="22" t="n">
        <v>7122.550315480752</v>
      </c>
      <c r="Y314" t="n">
        <v>0</v>
      </c>
    </row>
    <row r="315">
      <c r="A315" s="8" t="n">
        <v>313</v>
      </c>
      <c r="B315" t="n">
        <v>42</v>
      </c>
      <c r="C315" s="1" t="n">
        <v>202.7</v>
      </c>
      <c r="D315" s="2">
        <f>HYPERLINK("https://torgi.gov.ru/new/public/lots/lot/22000017180000000002_6/(lotInfo:info)", "22000017180000000002_6")</f>
        <v/>
      </c>
      <c r="E315" t="inlineStr">
        <is>
          <t>Нежилое помещение площадью 202,7 кв.м по адресу: Кемеровская область-Кузбасс, г.Новокузнецк, ул.Метелкина, д. 16, пом. 105</t>
        </is>
      </c>
      <c r="F315" s="3" t="inlineStr">
        <is>
          <t>05.09.22 08:00</t>
        </is>
      </c>
      <c r="G315" t="inlineStr">
        <is>
          <t>Кемеровская область - Кузбасс, г Новокузнецк, р-н Кузнецкий, ул Метелкина, д 16</t>
        </is>
      </c>
      <c r="H315" s="4" t="n">
        <v>625000</v>
      </c>
      <c r="I315" s="4" t="n">
        <v>3083.3744449926</v>
      </c>
      <c r="J315" t="inlineStr">
        <is>
          <t>Нежилое помещение</t>
        </is>
      </c>
      <c r="K315" s="5" t="n">
        <v>0.9</v>
      </c>
      <c r="L315" s="4" t="n">
        <v>1541.5</v>
      </c>
      <c r="M315" t="n">
        <v>3423</v>
      </c>
      <c r="N315" s="6" t="n">
        <v>551919</v>
      </c>
      <c r="O315" t="n">
        <v>2</v>
      </c>
      <c r="P315" s="21" t="n">
        <v>2.303055407732199</v>
      </c>
      <c r="Q315" t="inlineStr">
        <is>
          <t>PP</t>
        </is>
      </c>
      <c r="R315" t="inlineStr">
        <is>
          <t>М</t>
        </is>
      </c>
      <c r="S315" s="2">
        <f>HYPERLINK("https://yandex.ru/maps/?&amp;text=53.776893, 87.212122", "53.776893, 87.212122")</f>
        <v/>
      </c>
      <c r="T315" s="2">
        <f>HYPERLINK("D:\venv_torgi\env\cache\objs_in_district/53.776893_87.212122.json", "53.776893_87.212122.json")</f>
        <v/>
      </c>
      <c r="U315" t="inlineStr">
        <is>
          <t>42:30:0102010:205</t>
        </is>
      </c>
      <c r="W315" s="20" t="n">
        <v>10184.55663459608</v>
      </c>
      <c r="X315" s="22" t="n">
        <v>7101.182189603476</v>
      </c>
      <c r="Y315" t="n">
        <v>0</v>
      </c>
    </row>
    <row r="316">
      <c r="A316" s="8" t="n">
        <v>314</v>
      </c>
      <c r="B316" t="n">
        <v>42</v>
      </c>
      <c r="C316" s="1" t="n">
        <v>36.4</v>
      </c>
      <c r="D316" s="2">
        <f>HYPERLINK("https://torgi.gov.ru/new/public/lots/lot/22000008270000000003_3/(lotInfo:info)", "22000008270000000003_3")</f>
        <v/>
      </c>
      <c r="E316" t="inlineStr">
        <is>
          <t>площадь 36,4 кв.м</t>
        </is>
      </c>
      <c r="F316" s="3" t="inlineStr">
        <is>
          <t>26.09.22 08:00</t>
        </is>
      </c>
      <c r="G316" t="inlineStr">
        <is>
          <t>Кемеровская область - Кузбасс, Мариинский р-н, село Большой Антибес, ул Ленина, д 40, помещ 4</t>
        </is>
      </c>
      <c r="H316" s="4" t="n">
        <v>119900</v>
      </c>
      <c r="I316" s="4" t="n">
        <v>3293.956043956044</v>
      </c>
      <c r="J316" t="inlineStr">
        <is>
          <t>Нежилое помещение</t>
        </is>
      </c>
      <c r="K316" s="5" t="n">
        <v>13.72</v>
      </c>
      <c r="M316" t="n">
        <v>240</v>
      </c>
      <c r="N316" s="6" t="n">
        <v>363</v>
      </c>
      <c r="P316" s="21" t="n">
        <v>6.893216189182467</v>
      </c>
      <c r="Q316" t="inlineStr">
        <is>
          <t>PP</t>
        </is>
      </c>
      <c r="R316" t="inlineStr">
        <is>
          <t>М</t>
        </is>
      </c>
      <c r="S316" s="2">
        <f>HYPERLINK("https://yandex.ru/maps/?&amp;text=56.302233, 87.755513", "56.302233, 87.755513")</f>
        <v/>
      </c>
      <c r="U316" t="inlineStr">
        <is>
          <t>42:07:0101010:683</t>
        </is>
      </c>
      <c r="W316" s="20" t="n">
        <v>25999.90717260928</v>
      </c>
      <c r="X316" s="22" t="n">
        <v>22705.95112865324</v>
      </c>
      <c r="Y316" t="n">
        <v>0</v>
      </c>
    </row>
    <row r="317">
      <c r="A317" s="8" t="n">
        <v>315</v>
      </c>
      <c r="B317" t="n">
        <v>42</v>
      </c>
      <c r="C317" s="1" t="n">
        <v>128.2</v>
      </c>
      <c r="D317" s="2">
        <f>HYPERLINK("https://torgi.gov.ru/new/public/lots/lot/22000005130000000166_1/(lotInfo:info)", "22000005130000000166_1")</f>
        <v/>
      </c>
      <c r="E317" t="inlineStr">
        <is>
          <t>Д. Бедного ул., 3Нежилое помещение Кадастровый номер:42:24:0101002:21782</t>
        </is>
      </c>
      <c r="F317" s="3" t="inlineStr">
        <is>
          <t>21.09.22 17:00</t>
        </is>
      </c>
      <c r="G317" t="inlineStr">
        <is>
          <t>Кемерово  ул. Д. Бедного, 3</t>
        </is>
      </c>
      <c r="H317" s="4" t="n">
        <v>641000</v>
      </c>
      <c r="I317" s="4" t="n">
        <v>5000</v>
      </c>
      <c r="J317" t="inlineStr">
        <is>
          <t>Нежилое помещение</t>
        </is>
      </c>
      <c r="K317" s="5" t="n">
        <v>0.9</v>
      </c>
      <c r="L317" s="4" t="n">
        <v>106.38</v>
      </c>
      <c r="M317" t="n">
        <v>5568</v>
      </c>
      <c r="O317" t="n">
        <v>47</v>
      </c>
      <c r="Q317" t="inlineStr">
        <is>
          <t>EA</t>
        </is>
      </c>
      <c r="R317" t="inlineStr">
        <is>
          <t>М</t>
        </is>
      </c>
      <c r="S317" s="2">
        <f>HYPERLINK("https://yandex.ru/maps/?&amp;text=55.34687, 86.076939", "55.34687, 86.076939")</f>
        <v/>
      </c>
      <c r="T317" s="2">
        <f>HYPERLINK("D:\venv_torgi\env\cache\objs_in_district/55.34687_86.076939.json", "55.34687_86.076939.json")</f>
        <v/>
      </c>
      <c r="U317" t="inlineStr">
        <is>
          <t>42:24:0101002:21782</t>
        </is>
      </c>
      <c r="Y317" t="n">
        <v>0</v>
      </c>
    </row>
    <row r="318">
      <c r="A318" s="8" t="n">
        <v>316</v>
      </c>
      <c r="B318" t="n">
        <v>42</v>
      </c>
      <c r="C318" s="1" t="n">
        <v>178.5</v>
      </c>
      <c r="D318" s="2">
        <f>HYPERLINK("https://torgi.gov.ru/new/public/lots/lot/22000005130000000168_1/(lotInfo:info)", "22000005130000000168_1")</f>
        <v/>
      </c>
      <c r="E318" t="inlineStr">
        <is>
          <t>Красноармейская ул., 95аНежилое помещение Кадастровые номера:42:24:0101022:500,42:24:0101022:501</t>
        </is>
      </c>
      <c r="F318" s="3" t="inlineStr">
        <is>
          <t>22.09.22 16:59</t>
        </is>
      </c>
      <c r="G318" t="inlineStr">
        <is>
          <t>Кемерово ул Красноармейская  95а</t>
        </is>
      </c>
      <c r="H318" s="4" t="n">
        <v>903000</v>
      </c>
      <c r="I318" s="4" t="n">
        <v>5058.823529411765</v>
      </c>
      <c r="J318" t="inlineStr">
        <is>
          <t>Нежилое помещение</t>
        </is>
      </c>
      <c r="K318" s="5" t="n">
        <v>0.85</v>
      </c>
      <c r="L318" s="4" t="n">
        <v>240.86</v>
      </c>
      <c r="M318" t="n">
        <v>5928</v>
      </c>
      <c r="N318" s="6" t="n">
        <v>558973</v>
      </c>
      <c r="O318" t="n">
        <v>21</v>
      </c>
      <c r="P318" s="21" t="n">
        <v>2.356167640918518</v>
      </c>
      <c r="Q318" t="inlineStr">
        <is>
          <t>EA</t>
        </is>
      </c>
      <c r="R318" t="inlineStr">
        <is>
          <t>М</t>
        </is>
      </c>
      <c r="S318" s="2">
        <f>HYPERLINK("https://yandex.ru/maps/?&amp;text=55.351687, 86.068126", "55.351687, 86.068126")</f>
        <v/>
      </c>
      <c r="T318" s="2">
        <f>HYPERLINK("D:\venv_torgi\env\cache\objs_in_district/55.351687_86.068126.json", "55.351687_86.068126.json")</f>
        <v/>
      </c>
      <c r="U318" t="inlineStr">
        <is>
          <t>42:24:0101022:500,42:24:0101022:501</t>
        </is>
      </c>
      <c r="W318" s="20" t="n">
        <v>16978.25983052898</v>
      </c>
      <c r="X318" s="22" t="n">
        <v>11919.43630111721</v>
      </c>
      <c r="Y318" t="n">
        <v>0</v>
      </c>
    </row>
    <row r="319">
      <c r="A319" s="8" t="n">
        <v>317</v>
      </c>
      <c r="B319" t="n">
        <v>42</v>
      </c>
      <c r="C319" s="1" t="n">
        <v>359.3</v>
      </c>
      <c r="D319" s="2">
        <f>HYPERLINK("https://torgi.gov.ru/new/public/lots/lot/22000005130000000171_1/(lotInfo:info)", "22000005130000000171_1")</f>
        <v/>
      </c>
      <c r="E319" t="inlineStr">
        <is>
          <t>Строителей бульв., 33Нежилое помещение № 99 Кадастровый номер:42:24:0201006:10342</t>
        </is>
      </c>
      <c r="F319" s="3" t="inlineStr">
        <is>
          <t>23.09.22 16:59</t>
        </is>
      </c>
      <c r="G319" t="inlineStr">
        <is>
          <t>г. Кемерово, бульв. Строителей  33</t>
        </is>
      </c>
      <c r="H319" s="4" t="n">
        <v>1899000</v>
      </c>
      <c r="I319" s="4" t="n">
        <v>5285.276927358753</v>
      </c>
      <c r="J319" t="inlineStr">
        <is>
          <t>Нежилое помещение</t>
        </is>
      </c>
      <c r="K319" s="5" t="n">
        <v>1.97</v>
      </c>
      <c r="L319" s="4" t="n">
        <v>330.31</v>
      </c>
      <c r="M319" t="n">
        <v>2684</v>
      </c>
      <c r="N319" s="6" t="n">
        <v>558973</v>
      </c>
      <c r="O319" t="n">
        <v>16</v>
      </c>
      <c r="P319" s="21" t="n">
        <v>1.123282417882292</v>
      </c>
      <c r="Q319" t="inlineStr">
        <is>
          <t>PP</t>
        </is>
      </c>
      <c r="R319" t="inlineStr">
        <is>
          <t>М</t>
        </is>
      </c>
      <c r="S319" s="2">
        <f>HYPERLINK("https://yandex.ru/maps/?&amp;text=55.342063, 86.166788", "55.342063, 86.166788")</f>
        <v/>
      </c>
      <c r="T319" s="2">
        <f>HYPERLINK("D:\venv_torgi\env\cache\objs_in_district/55.342063_86.166788.json", "55.342063_86.166788.json")</f>
        <v/>
      </c>
      <c r="U319" t="inlineStr">
        <is>
          <t>42:24:0201006:10342</t>
        </is>
      </c>
      <c r="W319" s="20" t="n">
        <v>11222.13557349978</v>
      </c>
      <c r="X319" s="22" t="n">
        <v>5936.858646141029</v>
      </c>
      <c r="Y319" t="n">
        <v>0</v>
      </c>
    </row>
    <row r="320">
      <c r="A320" s="8" t="n">
        <v>318</v>
      </c>
      <c r="B320" t="n">
        <v>42</v>
      </c>
      <c r="C320" s="1" t="n">
        <v>165</v>
      </c>
      <c r="D320" s="2">
        <f>HYPERLINK("https://torgi.gov.ru/new/public/lots/lot/21000029870000000024_1/(lotInfo:info)", "21000029870000000024_1")</f>
        <v/>
      </c>
      <c r="E320" t="inlineStr">
        <is>
          <t>нежилое помещение, общей площадью 165,0 кв.м., расположенное по адресу: Кемеровская область-Кузбасс, Гурьевский муниципальный округ, г.Гурьевск, ул.Мичурина, д.45а, пом.3 (кадастровый номер 42:23:0302001:1139).</t>
        </is>
      </c>
      <c r="F320" s="3" t="inlineStr">
        <is>
          <t>17.09.22 10:00</t>
        </is>
      </c>
      <c r="G320" t="inlineStr">
        <is>
          <t>Кемеровская область - Кузбасс, г Гурьевск, ул Мичурина, д 45 к А</t>
        </is>
      </c>
      <c r="H320" s="4" t="n">
        <v>1057502</v>
      </c>
      <c r="I320" s="4" t="n">
        <v>6409.10303030303</v>
      </c>
      <c r="J320" t="inlineStr">
        <is>
          <t>Нежилое помещение</t>
        </is>
      </c>
      <c r="K320" s="5" t="n">
        <v>10.77</v>
      </c>
      <c r="L320" s="4" t="n">
        <v>1068.17</v>
      </c>
      <c r="M320" t="n">
        <v>595</v>
      </c>
      <c r="N320" s="6" t="n">
        <v>41068</v>
      </c>
      <c r="O320" t="n">
        <v>6</v>
      </c>
      <c r="P320" s="21" t="n">
        <v>0.5890767532433533</v>
      </c>
      <c r="Q320" t="inlineStr">
        <is>
          <t>PP</t>
        </is>
      </c>
      <c r="R320" t="inlineStr">
        <is>
          <t>М</t>
        </is>
      </c>
      <c r="S320" s="2">
        <f>HYPERLINK("https://yandex.ru/maps/?&amp;text=54.299703, 85.945866", "54.299703, 85.945866")</f>
        <v/>
      </c>
      <c r="T320" s="2">
        <f>HYPERLINK("D:\venv_torgi\env\cache\objs_in_district/54.299703_85.945866.json", "54.299703_85.945866.json")</f>
        <v/>
      </c>
      <c r="U320" t="inlineStr">
        <is>
          <t>42:23:0302001:1139</t>
        </is>
      </c>
      <c r="W320" s="20" t="n">
        <v>10184.55663459608</v>
      </c>
      <c r="X320" s="22" t="n">
        <v>3775.453604293046</v>
      </c>
      <c r="Y320" t="n">
        <v>0</v>
      </c>
    </row>
    <row r="321">
      <c r="A321" s="8" t="n">
        <v>319</v>
      </c>
      <c r="B321" t="n">
        <v>42</v>
      </c>
      <c r="C321" s="1" t="n">
        <v>266.8</v>
      </c>
      <c r="D321" s="2">
        <f>HYPERLINK("https://torgi.gov.ru/new/public/lots/lot/22000017180000000002_8/(lotInfo:info)", "22000017180000000002_8")</f>
        <v/>
      </c>
      <c r="E321" t="inlineStr">
        <is>
          <t>Помещение общей площадью 266,8 кв. м, кадастровый номер 42:32:0103013:35218, Кемеровская область - Кузбасс, г. Прокопьевск, ул. Есенина, д. 48</t>
        </is>
      </c>
      <c r="F321" s="3" t="inlineStr">
        <is>
          <t>05.09.22 08:00</t>
        </is>
      </c>
      <c r="G321" t="inlineStr">
        <is>
          <t>Кемеровская область - Кузбасс, г Прокопьевск, ул Есенина, зд 48</t>
        </is>
      </c>
      <c r="H321" s="4" t="n">
        <v>1884000</v>
      </c>
      <c r="I321" s="4" t="n">
        <v>7061.469265367316</v>
      </c>
      <c r="J321" t="inlineStr">
        <is>
          <t>Нежилое помещение</t>
        </is>
      </c>
      <c r="K321" s="5" t="n">
        <v>1.05</v>
      </c>
      <c r="L321" s="4" t="n">
        <v>1008.71</v>
      </c>
      <c r="M321" t="n">
        <v>6708</v>
      </c>
      <c r="N321" s="6" t="n">
        <v>191839</v>
      </c>
      <c r="O321" t="n">
        <v>7</v>
      </c>
      <c r="P321" s="21" t="n">
        <v>0.4422716083387649</v>
      </c>
      <c r="Q321" t="inlineStr">
        <is>
          <t>PP</t>
        </is>
      </c>
      <c r="R321" t="inlineStr">
        <is>
          <t>М</t>
        </is>
      </c>
      <c r="S321" s="2">
        <f>HYPERLINK("https://yandex.ru/maps/?&amp;text=53.86811, 86.618", "53.86811, 86.618")</f>
        <v/>
      </c>
      <c r="T321" s="2">
        <f>HYPERLINK("D:\venv_torgi\env\cache\objs_in_district/53.86811_86.618.json", "53.86811_86.618.json")</f>
        <v/>
      </c>
      <c r="U321" t="inlineStr">
        <is>
          <t xml:space="preserve">42:32:0103013:35218, </t>
        </is>
      </c>
      <c r="W321" s="20" t="n">
        <v>10184.55663459608</v>
      </c>
      <c r="X321" s="22" t="n">
        <v>3123.08736922876</v>
      </c>
      <c r="Y321" t="n">
        <v>0</v>
      </c>
    </row>
    <row r="322">
      <c r="A322" s="8" t="n">
        <v>320</v>
      </c>
      <c r="B322" t="n">
        <v>42</v>
      </c>
      <c r="C322" s="1" t="n">
        <v>177.8</v>
      </c>
      <c r="D322" s="2">
        <f>HYPERLINK("https://torgi.gov.ru/new/public/lots/lot/22000005130000000150_1/(lotInfo:info)", "22000005130000000150_1")</f>
        <v/>
      </c>
      <c r="E322" t="inlineStr">
        <is>
          <t>Ушакова ул., 1Нежилое помещениеКадастровый номер:42:24:0301013:3435</t>
        </is>
      </c>
      <c r="F322" s="3" t="inlineStr">
        <is>
          <t>08.09.22 16:59</t>
        </is>
      </c>
      <c r="G322" t="inlineStr">
        <is>
          <t>г Кемерово, ул Ушакова</t>
        </is>
      </c>
      <c r="H322" s="4" t="n">
        <v>1317000</v>
      </c>
      <c r="I322" s="4" t="n">
        <v>7407.199100112485</v>
      </c>
      <c r="J322" t="inlineStr">
        <is>
          <t>Нежилое помещение</t>
        </is>
      </c>
      <c r="K322" s="5" t="n">
        <v>4.24</v>
      </c>
      <c r="L322" s="4" t="n">
        <v>274.33</v>
      </c>
      <c r="M322" t="n">
        <v>1748</v>
      </c>
      <c r="N322" s="6" t="n">
        <v>558973</v>
      </c>
      <c r="O322" t="n">
        <v>27</v>
      </c>
      <c r="P322" s="21" t="n">
        <v>1.292129535207329</v>
      </c>
      <c r="Q322" t="inlineStr">
        <is>
          <t>EA</t>
        </is>
      </c>
      <c r="R322" t="inlineStr">
        <is>
          <t>М</t>
        </is>
      </c>
      <c r="S322" s="2">
        <f>HYPERLINK("https://yandex.ru/maps/?&amp;text=55.388261, 86.007283", "55.388261, 86.007283")</f>
        <v/>
      </c>
      <c r="T322" s="2">
        <f>HYPERLINK("D:\venv_torgi\env\cache\objs_in_district/55.388261_86.007283.json", "55.388261_86.007283.json")</f>
        <v/>
      </c>
      <c r="U322" t="inlineStr">
        <is>
          <t>42:24:0301013:3435</t>
        </is>
      </c>
      <c r="W322" s="20" t="n">
        <v>16978.25983052898</v>
      </c>
      <c r="X322" s="22" t="n">
        <v>9571.060730416491</v>
      </c>
      <c r="Y322" t="n">
        <v>0</v>
      </c>
    </row>
    <row r="323">
      <c r="A323" s="8" t="n">
        <v>321</v>
      </c>
      <c r="B323" t="n">
        <v>42</v>
      </c>
      <c r="C323" s="1" t="n">
        <v>327.5</v>
      </c>
      <c r="D323" s="2">
        <f>HYPERLINK("https://torgi.gov.ru/new/public/lots/lot/22000005130000000155_1/(lotInfo:info)", "22000005130000000155_1")</f>
        <v/>
      </c>
      <c r="E323" t="inlineStr">
        <is>
          <t>Леонова ул., 26а Нежилое помещение  № 58Кадастровый номер:42:24:0301014:10998</t>
        </is>
      </c>
      <c r="F323" s="3" t="inlineStr">
        <is>
          <t>08.09.22 16:59</t>
        </is>
      </c>
      <c r="G323" t="inlineStr">
        <is>
          <t>г Кемерово, ул Леонова, д 26А</t>
        </is>
      </c>
      <c r="H323" s="4" t="n">
        <v>2520000</v>
      </c>
      <c r="I323" s="4" t="n">
        <v>7694.656488549618</v>
      </c>
      <c r="J323" t="inlineStr">
        <is>
          <t>Нежилое помещение</t>
        </is>
      </c>
      <c r="K323" s="5" t="n">
        <v>2.52</v>
      </c>
      <c r="L323" s="4" t="n">
        <v>549.5700000000001</v>
      </c>
      <c r="M323" t="n">
        <v>3058</v>
      </c>
      <c r="N323" s="6" t="n">
        <v>558973</v>
      </c>
      <c r="O323" t="n">
        <v>14</v>
      </c>
      <c r="Q323" t="inlineStr">
        <is>
          <t>EA</t>
        </is>
      </c>
      <c r="R323" t="inlineStr">
        <is>
          <t>М</t>
        </is>
      </c>
      <c r="S323" s="2">
        <f>HYPERLINK("https://yandex.ru/maps/?&amp;text=55.398574, 86.022708", "55.398574, 86.022708")</f>
        <v/>
      </c>
      <c r="T323" s="2">
        <f>HYPERLINK("D:\venv_torgi\env\cache\objs_in_district/55.398574_86.022708.json", "55.398574_86.022708.json")</f>
        <v/>
      </c>
      <c r="U323" t="inlineStr">
        <is>
          <t>42:24:0301014:10998</t>
        </is>
      </c>
      <c r="W323" s="20" t="n">
        <v>6744.799635829221</v>
      </c>
      <c r="X323" s="23" t="n">
        <v>-949.856852720397</v>
      </c>
      <c r="Y323" t="n">
        <v>0</v>
      </c>
    </row>
    <row r="324">
      <c r="A324" s="8" t="n">
        <v>322</v>
      </c>
      <c r="B324" t="n">
        <v>42</v>
      </c>
      <c r="C324" s="1" t="n">
        <v>89.40000000000001</v>
      </c>
      <c r="D324" s="2">
        <f>HYPERLINK("https://torgi.gov.ru/new/public/lots/lot/22000017180000000002_7/(lotInfo:info)", "22000017180000000002_7")</f>
        <v/>
      </c>
      <c r="E324" t="inlineStr">
        <is>
          <t>Нежилое помещение общей площадью 89,4 кв.м, кадастровый номер 42:32:0101023:2791, Кемеровская область - Кузбасс, г. Прокопьевск, квартал 1 МЖК, д. 5, помещение 1п</t>
        </is>
      </c>
      <c r="F324" s="3" t="inlineStr">
        <is>
          <t>05.09.22 08:00</t>
        </is>
      </c>
      <c r="G324" t="inlineStr">
        <is>
          <t xml:space="preserve">Кемеровская область - Кузбасс, г. Прокопьевск, квартал 1 МЖК, д. 5, помещение 1п </t>
        </is>
      </c>
      <c r="H324" s="4" t="n">
        <v>694000</v>
      </c>
      <c r="I324" s="4" t="n">
        <v>7762.863534675615</v>
      </c>
      <c r="J324" t="inlineStr">
        <is>
          <t>Нежилое помещение</t>
        </is>
      </c>
      <c r="K324" s="5" t="n">
        <v>9.119999999999999</v>
      </c>
      <c r="L324" s="4" t="n">
        <v>456.59</v>
      </c>
      <c r="M324" t="n">
        <v>851</v>
      </c>
      <c r="N324" s="6" t="n">
        <v>191839</v>
      </c>
      <c r="O324" t="n">
        <v>17</v>
      </c>
      <c r="P324" s="21" t="n">
        <v>1.089765498447519</v>
      </c>
      <c r="Q324" t="inlineStr">
        <is>
          <t>PP</t>
        </is>
      </c>
      <c r="R324" t="inlineStr">
        <is>
          <t>М</t>
        </is>
      </c>
      <c r="S324" s="2">
        <f>HYPERLINK("https://yandex.ru/maps/?&amp;text=53.893413, 86.825298", "53.893413, 86.825298")</f>
        <v/>
      </c>
      <c r="T324" s="2">
        <f>HYPERLINK("D:\venv_torgi\env\cache\objs_in_district/53.893413_86.825298.json", "53.893413_86.825298.json")</f>
        <v/>
      </c>
      <c r="U324" t="inlineStr">
        <is>
          <t xml:space="preserve">42:32:0101023:2791, </t>
        </is>
      </c>
      <c r="W324" s="20" t="n">
        <v>16222.56438392146</v>
      </c>
      <c r="X324" s="22" t="n">
        <v>8459.700849245843</v>
      </c>
      <c r="Y324" t="n">
        <v>0</v>
      </c>
    </row>
    <row r="325">
      <c r="A325" s="8" t="n">
        <v>323</v>
      </c>
      <c r="B325" t="n">
        <v>42</v>
      </c>
      <c r="C325" s="1" t="n">
        <v>316</v>
      </c>
      <c r="D325" s="2">
        <f>HYPERLINK("https://torgi.gov.ru/new/public/lots/lot/22000012150000000012_3/(lotInfo:info)", "22000012150000000012_3")</f>
        <v/>
      </c>
      <c r="E325" t="inlineStr">
        <is>
          <t>встроенное нежилое помещение с кадастровым номером 42:29:0102001:1787, площадью 316,0 кв.м., расположенное по адресу: Кемеровская обл., г. Мыски, квартал 9, д. 7 пом. 1</t>
        </is>
      </c>
      <c r="F325" s="3" t="inlineStr">
        <is>
          <t>22.09.22 03:00</t>
        </is>
      </c>
      <c r="G325" t="inlineStr">
        <is>
          <t>Кемеровская область - Кузбасс, г Мыски, кв-л 9-ый, д 7</t>
        </is>
      </c>
      <c r="H325" s="4" t="n">
        <v>4024800</v>
      </c>
      <c r="I325" s="4" t="n">
        <v>12736.70886075949</v>
      </c>
      <c r="J325" t="inlineStr">
        <is>
          <t>Нежилое помещение</t>
        </is>
      </c>
      <c r="K325" s="5" t="n">
        <v>5.8</v>
      </c>
      <c r="L325" s="4" t="n">
        <v>4245.33</v>
      </c>
      <c r="M325" t="n">
        <v>2196</v>
      </c>
      <c r="N325" s="6" t="n">
        <v>41379</v>
      </c>
      <c r="O325" t="n">
        <v>3</v>
      </c>
      <c r="Q325" t="inlineStr">
        <is>
          <t>EA</t>
        </is>
      </c>
      <c r="R325" t="inlineStr">
        <is>
          <t>М</t>
        </is>
      </c>
      <c r="S325" s="2">
        <f>HYPERLINK("https://yandex.ru/maps/?&amp;text=53.730198, 87.727153", "53.730198, 87.727153")</f>
        <v/>
      </c>
      <c r="T325" s="2">
        <f>HYPERLINK("D:\venv_torgi\env\cache\objs_in_district/53.730198_87.727153.json", "53.730198_87.727153.json")</f>
        <v/>
      </c>
      <c r="U325" t="inlineStr">
        <is>
          <t xml:space="preserve">42:29:0102001:1787, </t>
        </is>
      </c>
      <c r="V325" s="7" t="inlineStr">
        <is>
          <t>1</t>
        </is>
      </c>
      <c r="W325" s="20" t="n">
        <v>6744.799635829221</v>
      </c>
      <c r="X325" s="23" t="n">
        <v>-5991.909224930269</v>
      </c>
      <c r="Y325" t="n">
        <v>0</v>
      </c>
    </row>
    <row r="326">
      <c r="A326" s="8" t="n">
        <v>324</v>
      </c>
      <c r="B326" t="n">
        <v>42</v>
      </c>
      <c r="C326" s="1" t="n">
        <v>216.8</v>
      </c>
      <c r="D326" s="2">
        <f>HYPERLINK("https://torgi.gov.ru/new/public/lots/lot/22000005130000000154_1/(lotInfo:info)", "22000005130000000154_1")</f>
        <v/>
      </c>
      <c r="E326" t="inlineStr">
        <is>
          <t>Советский просп., 31Нежилое помещениеКадастровый номер:42:24:0101049:6740</t>
        </is>
      </c>
      <c r="F326" s="3" t="inlineStr">
        <is>
          <t>08.09.22 16:59</t>
        </is>
      </c>
      <c r="G326" t="inlineStr">
        <is>
          <t>г Кемерово, Советский пр-кт</t>
        </is>
      </c>
      <c r="H326" s="4" t="n">
        <v>3258000</v>
      </c>
      <c r="I326" s="4" t="n">
        <v>15027.67527675277</v>
      </c>
      <c r="J326" t="inlineStr">
        <is>
          <t>Нежилое помещение</t>
        </is>
      </c>
      <c r="K326" s="5" t="n">
        <v>4</v>
      </c>
      <c r="L326" s="4" t="n">
        <v>263.63</v>
      </c>
      <c r="M326" t="n">
        <v>3759</v>
      </c>
      <c r="N326" s="6" t="n">
        <v>558973</v>
      </c>
      <c r="O326" t="n">
        <v>57</v>
      </c>
      <c r="P326" s="21" t="n">
        <v>0.129799487801928</v>
      </c>
      <c r="Q326" t="inlineStr">
        <is>
          <t>EA</t>
        </is>
      </c>
      <c r="R326" t="inlineStr">
        <is>
          <t>М</t>
        </is>
      </c>
      <c r="S326" s="2">
        <f>HYPERLINK("https://yandex.ru/maps/?&amp;text=55.358381, 86.072277", "55.358381, 86.072277")</f>
        <v/>
      </c>
      <c r="T326" s="2">
        <f>HYPERLINK("D:\venv_torgi\env\cache\objs_in_district/55.358381_86.072277.json", "55.358381_86.072277.json")</f>
        <v/>
      </c>
      <c r="U326" t="inlineStr">
        <is>
          <t>42:24:0101049:6740</t>
        </is>
      </c>
      <c r="W326" s="20" t="n">
        <v>16978.25983052898</v>
      </c>
      <c r="X326" s="22" t="n">
        <v>1950.584553776205</v>
      </c>
      <c r="Y326" t="n">
        <v>0</v>
      </c>
    </row>
    <row r="327">
      <c r="A327" s="8" t="n">
        <v>325</v>
      </c>
      <c r="B327" t="n">
        <v>42</v>
      </c>
      <c r="C327" s="1" t="n">
        <v>201</v>
      </c>
      <c r="D327" s="2">
        <f>HYPERLINK("https://torgi.gov.ru/new/public/lots/lot/22000012150000000012_2/(lotInfo:info)", "22000012150000000012_2")</f>
        <v/>
      </c>
      <c r="E327" t="inlineStr">
        <is>
          <t>встроенное нежилое помещение с кадастровым номером 42:29:0102001:329, площадью 201,0 кв.м., расположенное по адресу: Кемеровская обл., г. Мыски, ул. 50 лет Пионерии д. 6 пом. 2</t>
        </is>
      </c>
      <c r="F327" s="3" t="inlineStr">
        <is>
          <t>22.09.22 03:00</t>
        </is>
      </c>
      <c r="G327" t="inlineStr">
        <is>
          <t>Кемеровская область - Кузбасс, г Мыски, ул 50 лет Пионерии, д 6</t>
        </is>
      </c>
      <c r="H327" s="4" t="n">
        <v>3804000</v>
      </c>
      <c r="I327" s="4" t="n">
        <v>18925.37313432836</v>
      </c>
      <c r="J327" t="inlineStr">
        <is>
          <t>Нежилое помещение</t>
        </is>
      </c>
      <c r="K327" s="5" t="n">
        <v>12.02</v>
      </c>
      <c r="L327" s="4" t="n">
        <v>6308.33</v>
      </c>
      <c r="M327" t="n">
        <v>1575</v>
      </c>
      <c r="N327" s="6" t="n">
        <v>41379</v>
      </c>
      <c r="O327" t="n">
        <v>3</v>
      </c>
      <c r="Q327" t="inlineStr">
        <is>
          <t>EA</t>
        </is>
      </c>
      <c r="R327" t="inlineStr">
        <is>
          <t>М</t>
        </is>
      </c>
      <c r="S327" s="2">
        <f>HYPERLINK("https://yandex.ru/maps/?&amp;text=53.729537, 87.72153", "53.729537, 87.72153")</f>
        <v/>
      </c>
      <c r="T327" s="2">
        <f>HYPERLINK("D:\venv_torgi\env\cache\objs_in_district/53.729537_87.72153.json", "53.729537_87.72153.json")</f>
        <v/>
      </c>
      <c r="U327" t="inlineStr">
        <is>
          <t xml:space="preserve">42:29:0102001:329, </t>
        </is>
      </c>
      <c r="V327" s="7" t="inlineStr">
        <is>
          <t>1</t>
        </is>
      </c>
      <c r="W327" s="20" t="n">
        <v>10184.55663459608</v>
      </c>
      <c r="X327" s="23" t="n">
        <v>-8740.816499732286</v>
      </c>
      <c r="Y327" t="n">
        <v>0</v>
      </c>
    </row>
    <row r="328">
      <c r="A328" s="8" t="n">
        <v>326</v>
      </c>
      <c r="B328" t="n">
        <v>42</v>
      </c>
      <c r="C328" s="1" t="n">
        <v>65.40000000000001</v>
      </c>
      <c r="D328" s="2">
        <f>HYPERLINK("https://torgi.gov.ru/new/public/lots/lot/22000005130000000152_1/(lotInfo:info)", "22000005130000000152_1")</f>
        <v/>
      </c>
      <c r="E328" t="inlineStr">
        <is>
          <t>Кузнецкий просп., 135бНежилое помещение Кадастровый номер:42:24:0101033:1796</t>
        </is>
      </c>
      <c r="F328" s="3" t="inlineStr">
        <is>
          <t>08.09.22 16:59</t>
        </is>
      </c>
      <c r="G328" t="inlineStr">
        <is>
          <t>г Кемерово, Кузнецкий пр-кт</t>
        </is>
      </c>
      <c r="H328" s="4" t="n">
        <v>1351000</v>
      </c>
      <c r="I328" s="4" t="n">
        <v>20657.49235474006</v>
      </c>
      <c r="J328" t="inlineStr">
        <is>
          <t>Нежилое помещение</t>
        </is>
      </c>
      <c r="K328" s="5" t="n">
        <v>7.59</v>
      </c>
      <c r="L328" s="10" t="n"/>
      <c r="M328" t="n">
        <v>2722</v>
      </c>
      <c r="N328" s="6" t="n">
        <v>558973</v>
      </c>
      <c r="O328" t="inlineStr">
        <is>
          <t>0</t>
        </is>
      </c>
      <c r="P328" s="21" t="n">
        <v>0.3005585551474096</v>
      </c>
      <c r="Q328" t="inlineStr">
        <is>
          <t>EA</t>
        </is>
      </c>
      <c r="R328" t="inlineStr">
        <is>
          <t>М</t>
        </is>
      </c>
      <c r="S328" s="2">
        <f>HYPERLINK("https://yandex.ru/maps/?&amp;text=55.326619, 86.055918", "55.326619, 86.055918")</f>
        <v/>
      </c>
      <c r="T328" s="11">
        <f>HYPERLINK("D:\venv_torgi\env\cache\objs_in_district/55.326619_86.055918.json", "55.326619_86.055918.json")</f>
        <v/>
      </c>
      <c r="U328" t="inlineStr">
        <is>
          <t>42:24:0101033:1796</t>
        </is>
      </c>
      <c r="W328" s="20" t="n">
        <v>26866.27840984939</v>
      </c>
      <c r="X328" s="22" t="n">
        <v>6208.786055109333</v>
      </c>
      <c r="Y328" t="n">
        <v>0</v>
      </c>
    </row>
    <row r="329">
      <c r="A329" s="8" t="n">
        <v>327</v>
      </c>
      <c r="B329" t="n">
        <v>42</v>
      </c>
      <c r="C329" s="1" t="n">
        <v>116.2</v>
      </c>
      <c r="D329" s="2">
        <f>HYPERLINK("https://torgi.gov.ru/new/public/lots/lot/22000012150000000012_1/(lotInfo:info)", "22000012150000000012_1")</f>
        <v/>
      </c>
      <c r="E329" t="inlineStr">
        <is>
          <t>Встроенное нежилое помещение, площадью 116,2 кв.м. с кадастровым номером 42:29:0103001:2668, расположенный по адресу: Кемеровская обл., г. Мыски, ул. Ноградская, д. 7, пом.1.</t>
        </is>
      </c>
      <c r="F329" s="3" t="inlineStr">
        <is>
          <t>22.09.22 03:00</t>
        </is>
      </c>
      <c r="G329" t="inlineStr">
        <is>
          <t>Кемеровская область - Кузбасс, г Мыски, ул Ноградская, д 7</t>
        </is>
      </c>
      <c r="H329" s="4" t="n">
        <v>2557200</v>
      </c>
      <c r="I329" s="4" t="n">
        <v>22006.88468158348</v>
      </c>
      <c r="J329" t="inlineStr">
        <is>
          <t>Нежилое помещение</t>
        </is>
      </c>
      <c r="K329" s="5" t="n">
        <v>15.65</v>
      </c>
      <c r="L329" s="4" t="n">
        <v>392.96</v>
      </c>
      <c r="M329" t="n">
        <v>1406</v>
      </c>
      <c r="N329" s="6" t="n">
        <v>41379</v>
      </c>
      <c r="O329" t="n">
        <v>56</v>
      </c>
      <c r="Q329" t="inlineStr">
        <is>
          <t>EA</t>
        </is>
      </c>
      <c r="R329" t="inlineStr">
        <is>
          <t>М</t>
        </is>
      </c>
      <c r="S329" s="2">
        <f>HYPERLINK("https://yandex.ru/maps/?&amp;text=53.76775, 87.600655", "53.76775, 87.600655")</f>
        <v/>
      </c>
      <c r="T329" s="2">
        <f>HYPERLINK("D:\venv_torgi\env\cache\objs_in_district/53.76775_87.600655.json", "53.76775_87.600655.json")</f>
        <v/>
      </c>
      <c r="U329" t="inlineStr">
        <is>
          <t xml:space="preserve">42:29:0103001:2668, </t>
        </is>
      </c>
      <c r="V329" s="7" t="inlineStr">
        <is>
          <t>1</t>
        </is>
      </c>
      <c r="W329" s="20" t="n">
        <v>16222.56438392146</v>
      </c>
      <c r="X329" s="23" t="n">
        <v>-5784.320297662023</v>
      </c>
      <c r="Y329" t="n">
        <v>0</v>
      </c>
    </row>
    <row r="330">
      <c r="A330" s="8" t="n">
        <v>328</v>
      </c>
      <c r="B330" t="n">
        <v>42</v>
      </c>
      <c r="C330" s="1" t="n">
        <v>12.5</v>
      </c>
      <c r="D330" s="2">
        <f>HYPERLINK("https://torgi.gov.ru/new/public/lots/lot/22000005130000000153_1/(lotInfo:info)", "22000005130000000153_1")</f>
        <v/>
      </c>
      <c r="E330" t="inlineStr">
        <is>
          <t>Кузнецкий просп., 122Нежилое помещение Кадастровый номер:42:24:0101038:5250</t>
        </is>
      </c>
      <c r="F330" s="3" t="inlineStr">
        <is>
          <t>08.09.22 16:59</t>
        </is>
      </c>
      <c r="G330" t="inlineStr">
        <is>
          <t>г Кемерово, Кузнецкий пр-кт</t>
        </is>
      </c>
      <c r="H330" s="4" t="n">
        <v>315000</v>
      </c>
      <c r="I330" s="4" t="n">
        <v>25200</v>
      </c>
      <c r="J330" t="inlineStr">
        <is>
          <t>Нежилое помещение</t>
        </is>
      </c>
      <c r="K330" s="5" t="n">
        <v>9.26</v>
      </c>
      <c r="L330" s="10" t="n"/>
      <c r="M330" t="n">
        <v>2722</v>
      </c>
      <c r="N330" s="6" t="n">
        <v>558973</v>
      </c>
      <c r="O330" t="inlineStr">
        <is>
          <t>0</t>
        </is>
      </c>
      <c r="P330" s="21" t="n">
        <v>0.5328171449477062</v>
      </c>
      <c r="Q330" t="inlineStr">
        <is>
          <t>EA</t>
        </is>
      </c>
      <c r="R330" t="inlineStr">
        <is>
          <t>М</t>
        </is>
      </c>
      <c r="S330" s="2">
        <f>HYPERLINK("https://yandex.ru/maps/?&amp;text=55.326619, 86.055918", "55.326619, 86.055918")</f>
        <v/>
      </c>
      <c r="T330" s="11">
        <f>HYPERLINK("D:\venv_torgi\env\cache\objs_in_district/55.326619_86.055918.json", "55.326619_86.055918.json")</f>
        <v/>
      </c>
      <c r="U330" t="inlineStr">
        <is>
          <t>42:24:0101038:5250</t>
        </is>
      </c>
      <c r="W330" s="20" t="n">
        <v>38626.9920526822</v>
      </c>
      <c r="X330" s="22" t="n">
        <v>13426.9920526822</v>
      </c>
      <c r="Y330" t="n">
        <v>0</v>
      </c>
    </row>
    <row r="331">
      <c r="A331" s="8" t="n">
        <v>329</v>
      </c>
      <c r="B331" t="n">
        <v>42</v>
      </c>
      <c r="C331" s="1" t="n">
        <v>34</v>
      </c>
      <c r="D331" s="2">
        <f>HYPERLINK("https://torgi.gov.ru/new/public/lots/lot/22000012150000000012_4/(lotInfo:info)", "22000012150000000012_4")</f>
        <v/>
      </c>
      <c r="E331" t="inlineStr">
        <is>
          <t>встроенное нежилое помещение с кадастровым номером 42:29:0101001:999, площадью 34,0 кв.м., расположенное по адресу: Кемеровская обл., г. Мыски, ул. Серафимовича д. 14а пом. 1</t>
        </is>
      </c>
      <c r="F331" s="3" t="inlineStr">
        <is>
          <t>22.09.22 03:00</t>
        </is>
      </c>
      <c r="G331" t="inlineStr">
        <is>
          <t>Кемеровская область - Кузбасс, г Мыски, ул Серафимовича, д 14а</t>
        </is>
      </c>
      <c r="H331" s="4" t="n">
        <v>924000</v>
      </c>
      <c r="I331" s="4" t="n">
        <v>27176.47058823529</v>
      </c>
      <c r="J331" t="inlineStr">
        <is>
          <t>Нежилое помещение</t>
        </is>
      </c>
      <c r="K331" s="5" t="n">
        <v>24.42</v>
      </c>
      <c r="L331" s="4" t="n">
        <v>3397</v>
      </c>
      <c r="M331" t="n">
        <v>1113</v>
      </c>
      <c r="N331" s="6" t="n">
        <v>41379</v>
      </c>
      <c r="O331" t="n">
        <v>8</v>
      </c>
      <c r="Q331" t="inlineStr">
        <is>
          <t>EA</t>
        </is>
      </c>
      <c r="R331" t="inlineStr">
        <is>
          <t>М</t>
        </is>
      </c>
      <c r="S331" s="2">
        <f>HYPERLINK("https://yandex.ru/maps/?&amp;text=53.715136, 87.802998", "53.715136, 87.802998")</f>
        <v/>
      </c>
      <c r="T331" s="2">
        <f>HYPERLINK("D:\venv_torgi\env\cache\objs_in_district/53.715136_87.802998.json", "53.715136_87.802998.json")</f>
        <v/>
      </c>
      <c r="U331" t="inlineStr">
        <is>
          <t xml:space="preserve">42:29:0101001:999, </t>
        </is>
      </c>
      <c r="W331" s="20" t="n">
        <v>25999.90717260928</v>
      </c>
      <c r="X331" s="23" t="n">
        <v>-1176.563415626009</v>
      </c>
      <c r="Y331" t="n">
        <v>0</v>
      </c>
    </row>
    <row r="332">
      <c r="A332" s="8" t="n">
        <v>330</v>
      </c>
      <c r="B332" t="n">
        <v>42</v>
      </c>
      <c r="C332" s="1" t="n">
        <v>141.1</v>
      </c>
      <c r="D332" s="2">
        <f>HYPERLINK("https://torgi.gov.ru/new/public/lots/lot/22000005130000000163_1/(lotInfo:info)", "22000005130000000163_1")</f>
        <v/>
      </c>
      <c r="E332" t="inlineStr">
        <is>
          <t>Ленина просп., 32Нежилое помещениеКадастровые номера:42:24:0101002:23727, 42:24:0101002:23725, 42:24:0101002:23726, 42:24:0101002:23728</t>
        </is>
      </c>
      <c r="F332" s="3" t="inlineStr">
        <is>
          <t>21.09.22 16:59</t>
        </is>
      </c>
      <c r="G332" t="inlineStr">
        <is>
          <t>г Кемерово, пр-кт Ленина</t>
        </is>
      </c>
      <c r="H332" s="4" t="n">
        <v>3947000</v>
      </c>
      <c r="I332" s="4" t="n">
        <v>27973.06874557052</v>
      </c>
      <c r="J332" t="inlineStr">
        <is>
          <t>Нежилое помещение</t>
        </is>
      </c>
      <c r="K332" s="5" t="n">
        <v>10</v>
      </c>
      <c r="L332" s="4" t="n">
        <v>1165.54</v>
      </c>
      <c r="M332" t="n">
        <v>2797</v>
      </c>
      <c r="N332" s="6" t="n">
        <v>558973</v>
      </c>
      <c r="O332" t="n">
        <v>24</v>
      </c>
      <c r="Q332" t="inlineStr">
        <is>
          <t>PP</t>
        </is>
      </c>
      <c r="R332" t="inlineStr">
        <is>
          <t>М</t>
        </is>
      </c>
      <c r="S332" s="2">
        <f>HYPERLINK("https://yandex.ru/maps/?&amp;text=55.344838, 86.120247", "55.344838, 86.120247")</f>
        <v/>
      </c>
      <c r="T332" s="2">
        <f>HYPERLINK("D:\venv_torgi\env\cache\objs_in_district/55.344838_86.120247.json", "55.344838_86.120247.json")</f>
        <v/>
      </c>
      <c r="U332" t="inlineStr">
        <is>
          <t>42:24:0101002:23727, 42:24:0101002:23725, 42:24:0101002:23726, 42:24:0101002:23728</t>
        </is>
      </c>
      <c r="W332" s="20" t="n">
        <v>26866.27840984939</v>
      </c>
      <c r="X332" s="23" t="n">
        <v>-1106.790335721125</v>
      </c>
      <c r="Y332" t="n">
        <v>0</v>
      </c>
    </row>
    <row r="333">
      <c r="A333" s="8" t="n">
        <v>331</v>
      </c>
      <c r="B333" t="n">
        <v>42</v>
      </c>
      <c r="C333" s="1" t="n">
        <v>162.6</v>
      </c>
      <c r="D333" s="2">
        <f>HYPERLINK("https://torgi.gov.ru/new/public/lots/lot/22000005130000000173_1/(lotInfo:info)", "22000005130000000173_1")</f>
        <v/>
      </c>
      <c r="E333" t="inlineStr">
        <is>
          <t>Тухачевского ул., 38бНежилые помещения Кадастровые номера:кадастровые номера: 42:24:0201002:3879, 42:24:0201002:3872, 42:24:0201002:3873</t>
        </is>
      </c>
      <c r="F333" s="3" t="inlineStr">
        <is>
          <t>23.09.22 16:59</t>
        </is>
      </c>
      <c r="G333" t="inlineStr">
        <is>
          <t>г Кемерово, ул Тухачевского</t>
        </is>
      </c>
      <c r="H333" s="4" t="n">
        <v>5086000</v>
      </c>
      <c r="I333" s="4" t="n">
        <v>31279.21279212792</v>
      </c>
      <c r="J333" t="inlineStr">
        <is>
          <t>Нежилое помещение</t>
        </is>
      </c>
      <c r="K333" s="5" t="n">
        <v>12.36</v>
      </c>
      <c r="L333" s="4" t="n">
        <v>4468.43</v>
      </c>
      <c r="M333" t="n">
        <v>2531</v>
      </c>
      <c r="N333" s="6" t="n">
        <v>558973</v>
      </c>
      <c r="O333" t="n">
        <v>7</v>
      </c>
      <c r="Q333" t="inlineStr">
        <is>
          <t>PP</t>
        </is>
      </c>
      <c r="R333" t="inlineStr">
        <is>
          <t>М</t>
        </is>
      </c>
      <c r="S333" s="2">
        <f>HYPERLINK("https://yandex.ru/maps/?&amp;text=55.320073, 86.133128", "55.320073, 86.133128")</f>
        <v/>
      </c>
      <c r="T333" s="2">
        <f>HYPERLINK("D:\venv_torgi\env\cache\objs_in_district/55.320073_86.133128.json", "55.320073_86.133128.json")</f>
        <v/>
      </c>
      <c r="U333" t="inlineStr">
        <is>
          <t>42:24:0201002:3879, 42:24:0201002:3872, 42:24:0201002:3873</t>
        </is>
      </c>
      <c r="W333" s="20" t="n">
        <v>26866.27840984939</v>
      </c>
      <c r="X333" s="23" t="n">
        <v>-4412.934382278527</v>
      </c>
      <c r="Y333" t="n">
        <v>0</v>
      </c>
    </row>
    <row r="334">
      <c r="A334" s="8" t="n">
        <v>332</v>
      </c>
      <c r="B334" t="n">
        <v>42</v>
      </c>
      <c r="C334" s="1" t="n">
        <v>81.90000000000001</v>
      </c>
      <c r="D334" s="2">
        <f>HYPERLINK("https://torgi.gov.ru/new/public/lots/lot/22000044660000000004_1/(lotInfo:info)", "22000044660000000004_1")</f>
        <v/>
      </c>
      <c r="E334" t="inlineStr">
        <is>
          <t>Встроенное нежилое помещение</t>
        </is>
      </c>
      <c r="F334" s="3" t="inlineStr">
        <is>
          <t>08.09.22 22:00</t>
        </is>
      </c>
      <c r="G334" t="inlineStr">
        <is>
          <t>Кемеровская область - Кузбасс, г Таштагол, ул Ноградская, д 6</t>
        </is>
      </c>
      <c r="H334" s="4" t="n">
        <v>2580000</v>
      </c>
      <c r="I334" s="4" t="n">
        <v>31501.8315018315</v>
      </c>
      <c r="J334" t="inlineStr">
        <is>
          <t>Нежилое помещение</t>
        </is>
      </c>
      <c r="K334" s="5" t="n">
        <v>14.15</v>
      </c>
      <c r="L334" s="4" t="n">
        <v>768.3200000000001</v>
      </c>
      <c r="M334" t="n">
        <v>2226</v>
      </c>
      <c r="N334" s="6" t="n">
        <v>23751</v>
      </c>
      <c r="O334" t="n">
        <v>41</v>
      </c>
      <c r="Q334" t="inlineStr">
        <is>
          <t>EA</t>
        </is>
      </c>
      <c r="R334" t="inlineStr">
        <is>
          <t>М</t>
        </is>
      </c>
      <c r="S334" s="2">
        <f>HYPERLINK("https://yandex.ru/maps/?&amp;text=52.75897, 87.853133", "52.75897, 87.853133")</f>
        <v/>
      </c>
      <c r="T334" s="2">
        <f>HYPERLINK("D:\venv_torgi\env\cache\objs_in_district/52.75897_87.853133.json", "52.75897_87.853133.json")</f>
        <v/>
      </c>
      <c r="U334" t="inlineStr">
        <is>
          <t>42:34:0106002:1738</t>
        </is>
      </c>
      <c r="W334" s="20" t="n">
        <v>16222.56438392146</v>
      </c>
      <c r="X334" s="23" t="n">
        <v>-15279.26711791004</v>
      </c>
      <c r="Y334" t="n">
        <v>0</v>
      </c>
    </row>
    <row r="335">
      <c r="A335" s="8" t="n">
        <v>333</v>
      </c>
      <c r="B335" t="n">
        <v>42</v>
      </c>
      <c r="C335" s="1" t="n">
        <v>174.8</v>
      </c>
      <c r="D335" s="2">
        <f>HYPERLINK("https://torgi.gov.ru/new/public/lots/lot/21000016050000000027_1/(lotInfo:info)", "21000016050000000027_1")</f>
        <v/>
      </c>
      <c r="E335" t="inlineStr">
        <is>
          <t>Помещение для размещения аптеки</t>
        </is>
      </c>
      <c r="F335" s="3" t="inlineStr">
        <is>
          <t>14.09.22 14:00</t>
        </is>
      </c>
      <c r="G335" t="inlineStr">
        <is>
          <t>Кемеровская область - Кузбасс, г Новокузнецк, р-н Орджоникидзевский, ул Пушкина, д 22</t>
        </is>
      </c>
      <c r="H335" s="4" t="n">
        <v>6332000</v>
      </c>
      <c r="I335" s="4" t="n">
        <v>36224.25629290618</v>
      </c>
      <c r="J335" t="inlineStr">
        <is>
          <t>аптеки</t>
        </is>
      </c>
      <c r="K335" s="5" t="n">
        <v>19.21</v>
      </c>
      <c r="L335" s="4" t="n">
        <v>18112</v>
      </c>
      <c r="M335" t="n">
        <v>1886</v>
      </c>
      <c r="N335" s="6" t="n">
        <v>551919</v>
      </c>
      <c r="O335" t="n">
        <v>2</v>
      </c>
      <c r="Q335" t="inlineStr">
        <is>
          <t>PP</t>
        </is>
      </c>
      <c r="R335" t="inlineStr">
        <is>
          <t>М</t>
        </is>
      </c>
      <c r="S335" s="2">
        <f>HYPERLINK("https://yandex.ru/maps/?&amp;text=53.801033, 87.37477", "53.801033, 87.37477")</f>
        <v/>
      </c>
      <c r="T335" s="2">
        <f>HYPERLINK("D:\venv_torgi\env\cache\objs_in_district/53.801033_87.37477.json", "53.801033_87.37477.json")</f>
        <v/>
      </c>
      <c r="U335" t="inlineStr">
        <is>
          <t>42:30:0101001: 7340</t>
        </is>
      </c>
      <c r="V335" s="7" t="inlineStr">
        <is>
          <t>1</t>
        </is>
      </c>
      <c r="W335" s="20" t="n">
        <v>36224.25629290618</v>
      </c>
      <c r="X335" s="20" t="n">
        <v>0</v>
      </c>
      <c r="Y335" t="n">
        <v>0</v>
      </c>
    </row>
    <row r="336">
      <c r="A336" s="8" t="n">
        <v>334</v>
      </c>
      <c r="B336" t="n">
        <v>42</v>
      </c>
      <c r="C336" s="1" t="n">
        <v>94.2</v>
      </c>
      <c r="D336" s="2">
        <f>HYPERLINK("https://torgi.gov.ru/new/public/lots/lot/22000005130000000167_1/(lotInfo:info)", "22000005130000000167_1")</f>
        <v/>
      </c>
      <c r="E336" t="inlineStr">
        <is>
          <t>Дзержинского ул., 21Нежилое помещениеКадастровый номер:42:24:0101002:25477</t>
        </is>
      </c>
      <c r="F336" s="3" t="inlineStr">
        <is>
          <t>22.09.22 16:59</t>
        </is>
      </c>
      <c r="G336" t="inlineStr">
        <is>
          <t>г Кемерово, ул Дзержинского</t>
        </is>
      </c>
      <c r="H336" s="4" t="n">
        <v>6102000</v>
      </c>
      <c r="I336" s="4" t="n">
        <v>64777.07006369426</v>
      </c>
      <c r="J336" t="inlineStr">
        <is>
          <t>Нежилое помещение</t>
        </is>
      </c>
      <c r="K336" s="5" t="n">
        <v>14.89</v>
      </c>
      <c r="L336" s="4" t="n">
        <v>1542.31</v>
      </c>
      <c r="M336" t="n">
        <v>4350</v>
      </c>
      <c r="N336" s="6" t="n">
        <v>558973</v>
      </c>
      <c r="O336" t="n">
        <v>42</v>
      </c>
      <c r="Q336" t="inlineStr">
        <is>
          <t>EA</t>
        </is>
      </c>
      <c r="R336" t="inlineStr">
        <is>
          <t>М</t>
        </is>
      </c>
      <c r="S336" s="2">
        <f>HYPERLINK("https://yandex.ru/maps/?&amp;text=55.349957, 86.074882", "55.349957, 86.074882")</f>
        <v/>
      </c>
      <c r="T336" s="2">
        <f>HYPERLINK("D:\venv_torgi\env\cache\objs_in_district/55.349957_86.074882.json", "55.349957_86.074882.json")</f>
        <v/>
      </c>
      <c r="U336" t="inlineStr">
        <is>
          <t>42:24:0101002:25477</t>
        </is>
      </c>
      <c r="W336" s="20" t="n">
        <v>26866.27840984939</v>
      </c>
      <c r="X336" s="23" t="n">
        <v>-37910.79165384486</v>
      </c>
      <c r="Y336" t="n">
        <v>0</v>
      </c>
    </row>
    <row r="337">
      <c r="A337" s="8" t="n">
        <v>335</v>
      </c>
      <c r="B337" t="n">
        <v>42</v>
      </c>
      <c r="C337" s="1" t="n">
        <v>70.8</v>
      </c>
      <c r="D337" s="2">
        <f>HYPERLINK("https://torgi.gov.ru/new/public/lots/lot/22000017180000000002_5/(lotInfo:info)", "22000017180000000002_5")</f>
        <v/>
      </c>
      <c r="E337" t="inlineStr">
        <is>
          <t>Нежилое помещение площадью 70,8 кв.м по адресу: Кемеровская область-Кузбасс, г.Новокузнецк, ул.Рокоссовского, д. 21</t>
        </is>
      </c>
      <c r="F337" s="3" t="inlineStr">
        <is>
          <t>05.09.22 08:00</t>
        </is>
      </c>
      <c r="G337" t="inlineStr">
        <is>
          <t>Кемеровская область - Кузбасс, г Новокузнецк, р-н Новоильинский, ул Рокоссовского, д 21</t>
        </is>
      </c>
      <c r="H337" s="4" t="n">
        <v>5246343</v>
      </c>
      <c r="I337" s="4" t="n">
        <v>74100.88983050847</v>
      </c>
      <c r="J337" t="inlineStr">
        <is>
          <t>Нежилое помещение</t>
        </is>
      </c>
      <c r="K337" s="5" t="n">
        <v>27.75</v>
      </c>
      <c r="L337" s="4" t="n">
        <v>8233.33</v>
      </c>
      <c r="M337" t="n">
        <v>2670</v>
      </c>
      <c r="N337" s="6" t="n">
        <v>551919</v>
      </c>
      <c r="O337" t="n">
        <v>9</v>
      </c>
      <c r="Q337" t="inlineStr">
        <is>
          <t>PP</t>
        </is>
      </c>
      <c r="R337" t="inlineStr">
        <is>
          <t>М</t>
        </is>
      </c>
      <c r="S337" s="2">
        <f>HYPERLINK("https://yandex.ru/maps/?&amp;text=53.904423, 87.12227", "53.904423, 87.12227")</f>
        <v/>
      </c>
      <c r="T337" s="2">
        <f>HYPERLINK("D:\venv_torgi\env\cache\objs_in_district/53.904423_87.12227.json", "53.904423_87.12227.json")</f>
        <v/>
      </c>
      <c r="U337" t="inlineStr">
        <is>
          <t>42:30:0101001:3717</t>
        </is>
      </c>
      <c r="W337" s="20" t="n">
        <v>26866.27840984939</v>
      </c>
      <c r="X337" s="23" t="n">
        <v>-47234.61142065908</v>
      </c>
      <c r="Y337" t="n">
        <v>0</v>
      </c>
    </row>
    <row r="338">
      <c r="A338" s="8" t="n">
        <v>336</v>
      </c>
      <c r="B338" t="n">
        <v>44</v>
      </c>
      <c r="C338" s="1" t="n">
        <v>83.5</v>
      </c>
      <c r="D338" s="2">
        <f>HYPERLINK("https://torgi.gov.ru/new/public/lots/lot/22000063370000000004_1/(lotInfo:info)", "22000063370000000004_1")</f>
        <v/>
      </c>
      <c r="E338" t="inlineStr">
        <is>
          <t>кадастровый номер 44:13:060101:1673, площадь 83,5 кв.м</t>
        </is>
      </c>
      <c r="F338" s="3" t="inlineStr">
        <is>
          <t>27.09.22 07:00</t>
        </is>
      </c>
      <c r="G338" t="inlineStr">
        <is>
          <t>Костромская обл, Нерехтский р-н, деревня Лаврово, ул Школьная, д 5</t>
        </is>
      </c>
      <c r="H338" s="4" t="n">
        <v>987000</v>
      </c>
      <c r="I338" s="4" t="n">
        <v>11820.35928143713</v>
      </c>
      <c r="J338" t="inlineStr">
        <is>
          <t>Нежилое помещение</t>
        </is>
      </c>
      <c r="K338" s="5" t="n">
        <v>40.2</v>
      </c>
      <c r="L338" s="4" t="n">
        <v>5910</v>
      </c>
      <c r="M338" t="n">
        <v>294</v>
      </c>
      <c r="N338" s="6" t="n">
        <v>1568</v>
      </c>
      <c r="O338" t="n">
        <v>2</v>
      </c>
      <c r="P338" s="21" t="n">
        <v>0.372425659632666</v>
      </c>
      <c r="Q338" t="inlineStr">
        <is>
          <t>EA</t>
        </is>
      </c>
      <c r="R338" t="inlineStr">
        <is>
          <t>М</t>
        </is>
      </c>
      <c r="S338" s="2">
        <f>HYPERLINK("https://yandex.ru/maps/?&amp;text=57.475157, 40.530494", "57.475157, 40.530494")</f>
        <v/>
      </c>
      <c r="T338" s="2">
        <f>HYPERLINK("D:\venv_torgi\env\cache\objs_in_district/57.475157_40.530494.json", "57.475157_40.530494.json")</f>
        <v/>
      </c>
      <c r="U338" t="inlineStr">
        <is>
          <t xml:space="preserve">44:13:060101:1673, </t>
        </is>
      </c>
      <c r="W338" s="20" t="n">
        <v>16222.56438392146</v>
      </c>
      <c r="X338" s="22" t="n">
        <v>4402.205102484328</v>
      </c>
      <c r="Y338" t="n">
        <v>0</v>
      </c>
    </row>
    <row r="339">
      <c r="A339" s="8" t="n">
        <v>337</v>
      </c>
      <c r="B339" t="n">
        <v>44</v>
      </c>
      <c r="C339" s="1" t="n">
        <v>170.2</v>
      </c>
      <c r="D339" s="2">
        <f>HYPERLINK("https://torgi.gov.ru/new/public/lots/lot/21000004310000000241_6/(lotInfo:info)", "21000004310000000241_6")</f>
        <v/>
      </c>
      <c r="E339" t="inlineStr">
        <is>
          <t>Нежилые помещения</t>
        </is>
      </c>
      <c r="F339" s="3" t="inlineStr">
        <is>
          <t>03.09.22 20:59</t>
        </is>
      </c>
      <c r="G339" t="inlineStr">
        <is>
          <t>г Кострома, ул Костромская, д 105</t>
        </is>
      </c>
      <c r="H339" s="4" t="n">
        <v>2040000</v>
      </c>
      <c r="I339" s="4" t="n">
        <v>11985.89894242068</v>
      </c>
      <c r="J339" t="inlineStr">
        <is>
          <t>мастерской</t>
        </is>
      </c>
      <c r="K339" s="5" t="n">
        <v>12.28</v>
      </c>
      <c r="L339" s="4" t="n">
        <v>2397</v>
      </c>
      <c r="M339" t="n">
        <v>976</v>
      </c>
      <c r="N339" s="6" t="n">
        <v>280466</v>
      </c>
      <c r="O339" t="n">
        <v>5</v>
      </c>
      <c r="Q339" t="inlineStr">
        <is>
          <t>EA</t>
        </is>
      </c>
      <c r="R339" t="inlineStr">
        <is>
          <t>Д</t>
        </is>
      </c>
      <c r="S339" s="2">
        <f>HYPERLINK("https://yandex.ru/maps/?&amp;text=57.8069838, 40.9995772", "57.8069838, 40.9995772")</f>
        <v/>
      </c>
      <c r="T339" s="2">
        <f>HYPERLINK("D:\venv_torgi\env\cache\objs_in_district/57.8069838_40.9995772.json", "57.8069838_40.9995772.json")</f>
        <v/>
      </c>
      <c r="U339" t="inlineStr">
        <is>
          <t xml:space="preserve">44:27:050404:686 </t>
        </is>
      </c>
      <c r="W339" s="20" t="n">
        <v>10184.55663459608</v>
      </c>
      <c r="X339" s="23" t="n">
        <v>-1801.342307824603</v>
      </c>
      <c r="Y339" t="n">
        <v>0</v>
      </c>
    </row>
    <row r="340">
      <c r="A340" s="8" t="n">
        <v>338</v>
      </c>
      <c r="B340" t="n">
        <v>44</v>
      </c>
      <c r="C340" s="1" t="n">
        <v>45.5</v>
      </c>
      <c r="D340" s="2">
        <f>HYPERLINK("https://torgi.gov.ru/new/public/lots/lot/22000003460000000008_5/(lotInfo:info)", "22000003460000000008_5")</f>
        <v/>
      </c>
      <c r="E340" t="inlineStr">
        <is>
          <t>Нежилое помещение, назначение: нежилое, общая площадь 45,5 кв.м, кадастровый номер 44:27:020111:78</t>
        </is>
      </c>
      <c r="F340" s="3" t="inlineStr">
        <is>
          <t>19.09.22 13:00</t>
        </is>
      </c>
      <c r="G340" t="inlineStr">
        <is>
          <t>г. Кострома, п. Волжский, квартал  3-й, д. 25, нежилое помещение № 53 (комн. №№ 9-14)</t>
        </is>
      </c>
      <c r="H340" s="4" t="n">
        <v>609837</v>
      </c>
      <c r="I340" s="4" t="n">
        <v>13403.01098901099</v>
      </c>
      <c r="J340" t="inlineStr">
        <is>
          <t>Нежилое помещение</t>
        </is>
      </c>
      <c r="K340" s="5" t="n">
        <v>20.31</v>
      </c>
      <c r="L340" s="4" t="n">
        <v>13403</v>
      </c>
      <c r="M340" t="n">
        <v>660</v>
      </c>
      <c r="O340" t="n">
        <v>1</v>
      </c>
      <c r="Q340" t="inlineStr">
        <is>
          <t>EA</t>
        </is>
      </c>
      <c r="R340" t="inlineStr">
        <is>
          <t>М</t>
        </is>
      </c>
      <c r="S340" s="2">
        <f>HYPERLINK("https://yandex.ru/maps/?&amp;text=57.824652, 40.8824", "57.824652, 40.8824")</f>
        <v/>
      </c>
      <c r="T340" s="2">
        <f>HYPERLINK("D:\venv_torgi\env\cache\objs_in_district/57.824652_40.8824.json", "57.824652_40.8824.json")</f>
        <v/>
      </c>
      <c r="U340" t="inlineStr">
        <is>
          <t>44:27:020111:78</t>
        </is>
      </c>
      <c r="Y340" t="n">
        <v>0</v>
      </c>
    </row>
    <row r="341">
      <c r="A341" s="8" t="n">
        <v>339</v>
      </c>
      <c r="B341" t="n">
        <v>45</v>
      </c>
      <c r="C341" s="1" t="n">
        <v>261.5</v>
      </c>
      <c r="D341" s="2">
        <f>HYPERLINK("https://torgi.gov.ru/new/public/lots/lot/21000009230000000139_1/(lotInfo:info)", "21000009230000000139_1")</f>
        <v/>
      </c>
      <c r="E341" t="inlineStr">
        <is>
          <t>Объект недвижимого имущества: помещения в здании заводоуправления 2, назначение: нежилое, кадастровый номер: 45:07:020403:207, площадь: 261,5 кв. м, номер, тип этажа, на котором расположено помещение, машино-место: этаж № 1, по адресу: Курганская область, г. Катайск, ул. Матросова, д. 1-а/1.</t>
        </is>
      </c>
      <c r="F341" s="3" t="inlineStr">
        <is>
          <t>04.09.22 11:00</t>
        </is>
      </c>
      <c r="G341" t="inlineStr">
        <is>
          <t>Курганская обл, г Катайск, ул Матросова</t>
        </is>
      </c>
      <c r="H341" s="4" t="n">
        <v>287000</v>
      </c>
      <c r="I341" s="4" t="n">
        <v>1097.514340344168</v>
      </c>
      <c r="J341" t="inlineStr">
        <is>
          <t>Нежилое помещение</t>
        </is>
      </c>
      <c r="K341" s="5" t="n">
        <v>0.77</v>
      </c>
      <c r="M341" t="n">
        <v>1419</v>
      </c>
      <c r="N341" s="6" t="n">
        <v>12398</v>
      </c>
      <c r="P341" s="21" t="n">
        <v>8.279657003299212</v>
      </c>
      <c r="Q341" t="inlineStr">
        <is>
          <t>EA</t>
        </is>
      </c>
      <c r="R341" t="inlineStr">
        <is>
          <t>М</t>
        </is>
      </c>
      <c r="S341" s="2">
        <f>HYPERLINK("https://yandex.ru/maps/?&amp;text=56.284104, 62.590216", "56.284104, 62.590216")</f>
        <v/>
      </c>
      <c r="U341" t="inlineStr">
        <is>
          <t xml:space="preserve">45:07:020403:207, </t>
        </is>
      </c>
      <c r="V341" s="7" t="inlineStr">
        <is>
          <t>1</t>
        </is>
      </c>
      <c r="W341" s="20" t="n">
        <v>10184.55663459608</v>
      </c>
      <c r="X341" s="22" t="n">
        <v>9087.042294251907</v>
      </c>
      <c r="Y341" t="n">
        <v>0</v>
      </c>
    </row>
    <row r="342">
      <c r="A342" s="8" t="n">
        <v>340</v>
      </c>
      <c r="B342" t="n">
        <v>45</v>
      </c>
      <c r="C342" s="1" t="n">
        <v>221.4</v>
      </c>
      <c r="D342" s="2">
        <f>HYPERLINK("https://torgi.gov.ru/new/public/lots/lot/21000009230000000140_1/(lotInfo:info)", "21000009230000000140_1")</f>
        <v/>
      </c>
      <c r="E342" t="inlineStr">
        <is>
          <t>Объект недвижимого имущества: помещение II, назначение: нежилое, кадастровый номер: 45:07:020403:209, площадь: 221,4 кв. м, номер, тип этажа, на котором расположено помещение, машино-место: этаж № 1, этаж № 2 по адресу: Курганская область, г. Катайск, ул. Матросова, д. 1а, помещение II.</t>
        </is>
      </c>
      <c r="F342" s="3" t="inlineStr">
        <is>
          <t>04.09.22 11:00</t>
        </is>
      </c>
      <c r="G342" t="inlineStr">
        <is>
          <t>Курганская обл, г Катайск, ул Матросова, д 1а</t>
        </is>
      </c>
      <c r="H342" s="4" t="n">
        <v>243000</v>
      </c>
      <c r="I342" s="4" t="n">
        <v>1097.560975609756</v>
      </c>
      <c r="J342" t="inlineStr">
        <is>
          <t>Нежилое помещение</t>
        </is>
      </c>
      <c r="K342" s="5" t="n">
        <v>1.14</v>
      </c>
      <c r="M342" t="n">
        <v>966</v>
      </c>
      <c r="N342" s="6" t="n">
        <v>12398</v>
      </c>
      <c r="P342" s="21" t="n">
        <v>8.27926271152087</v>
      </c>
      <c r="Q342" t="inlineStr">
        <is>
          <t>EA</t>
        </is>
      </c>
      <c r="R342" t="inlineStr">
        <is>
          <t>М</t>
        </is>
      </c>
      <c r="S342" s="2">
        <f>HYPERLINK("https://yandex.ru/maps/?&amp;text=56.291309, 62.575448", "56.291309, 62.575448")</f>
        <v/>
      </c>
      <c r="U342" t="inlineStr">
        <is>
          <t xml:space="preserve">45:07:020403:209, </t>
        </is>
      </c>
      <c r="V342" s="7" t="inlineStr">
        <is>
          <t>1</t>
        </is>
      </c>
      <c r="W342" s="20" t="n">
        <v>10184.55663459608</v>
      </c>
      <c r="X342" s="22" t="n">
        <v>9086.99565898632</v>
      </c>
      <c r="Y342" t="n">
        <v>0</v>
      </c>
    </row>
    <row r="343">
      <c r="A343" s="8" t="n">
        <v>341</v>
      </c>
      <c r="B343" t="n">
        <v>45</v>
      </c>
      <c r="C343" s="1" t="n">
        <v>74.7</v>
      </c>
      <c r="D343" s="2">
        <f>HYPERLINK("https://torgi.gov.ru/new/public/lots/lot/21000025240000000079_1/(lotInfo:info)", "21000025240000000079_1")</f>
        <v/>
      </c>
      <c r="E343" t="inlineStr">
        <is>
          <t>г. Курган, ул. Карельцева, д. 13, нежилое помещение, кадастровый номер: 45:25:070211:1874, общей площадью 74,7 кв.м.</t>
        </is>
      </c>
      <c r="F343" s="3" t="inlineStr">
        <is>
          <t>31.08.22 12:30</t>
        </is>
      </c>
      <c r="G343" t="inlineStr">
        <is>
          <t>г Курган, ул Карельцева, д 13</t>
        </is>
      </c>
      <c r="H343" s="4" t="n">
        <v>523722</v>
      </c>
      <c r="I343" s="4" t="n">
        <v>7011.004016064257</v>
      </c>
      <c r="J343" t="inlineStr">
        <is>
          <t>Нежилое помещение</t>
        </is>
      </c>
      <c r="K343" s="5" t="n">
        <v>1.85</v>
      </c>
      <c r="L343" s="4" t="n">
        <v>539.3099999999999</v>
      </c>
      <c r="M343" t="n">
        <v>3799</v>
      </c>
      <c r="N343" s="6" t="n">
        <v>477920</v>
      </c>
      <c r="O343" t="n">
        <v>13</v>
      </c>
      <c r="P343" s="21" t="n">
        <v>2.832015835148705</v>
      </c>
      <c r="Q343" t="inlineStr">
        <is>
          <t>EA</t>
        </is>
      </c>
      <c r="R343" t="inlineStr">
        <is>
          <t>М</t>
        </is>
      </c>
      <c r="S343" s="2">
        <f>HYPERLINK("https://yandex.ru/maps/?&amp;text=55.432903, 65.32936", "55.432903, 65.32936")</f>
        <v/>
      </c>
      <c r="T343" s="2">
        <f>HYPERLINK("D:\venv_torgi\env\cache\objs_in_district/55.432903_65.32936.json", "55.432903_65.32936.json")</f>
        <v/>
      </c>
      <c r="U343" t="inlineStr">
        <is>
          <t xml:space="preserve">45:25:070211:1874, </t>
        </is>
      </c>
      <c r="W343" s="20" t="n">
        <v>26866.27840984939</v>
      </c>
      <c r="X343" s="22" t="n">
        <v>19855.27439378514</v>
      </c>
      <c r="Y343" t="n">
        <v>0</v>
      </c>
    </row>
    <row r="344">
      <c r="A344" s="8" t="n">
        <v>342</v>
      </c>
      <c r="B344" t="n">
        <v>45</v>
      </c>
      <c r="C344" s="1" t="n">
        <v>84.90000000000001</v>
      </c>
      <c r="D344" s="2">
        <f>HYPERLINK("https://torgi.gov.ru/new/public/lots/lot/21000025240000000078_1/(lotInfo:info)", "21000025240000000078_1")</f>
        <v/>
      </c>
      <c r="E344" t="inlineStr">
        <is>
          <t>г. Курган, ул. Коли Мяготина, д. 143/I, нежилое помещение, кадастровый номер: 45:25:070305:2800, общей площадью 84,9 кв.м.</t>
        </is>
      </c>
      <c r="F344" s="3" t="inlineStr">
        <is>
          <t>31.08.22 12:30</t>
        </is>
      </c>
      <c r="G344" t="inlineStr">
        <is>
          <t>г. Курган, ул. Коли Мяготина, д. 143/I</t>
        </is>
      </c>
      <c r="H344" s="4" t="n">
        <v>770000</v>
      </c>
      <c r="I344" s="4" t="n">
        <v>9069.49352179034</v>
      </c>
      <c r="J344" t="inlineStr">
        <is>
          <t>Нежилое помещение</t>
        </is>
      </c>
      <c r="K344" s="5" t="n">
        <v>2.05</v>
      </c>
      <c r="L344" s="4" t="n">
        <v>412.23</v>
      </c>
      <c r="M344" t="n">
        <v>4425</v>
      </c>
      <c r="N344" s="6" t="n">
        <v>477920</v>
      </c>
      <c r="O344" t="n">
        <v>22</v>
      </c>
      <c r="P344" s="21" t="n">
        <v>1.962268879215862</v>
      </c>
      <c r="Q344" t="inlineStr">
        <is>
          <t>EA</t>
        </is>
      </c>
      <c r="R344" t="inlineStr">
        <is>
          <t>М</t>
        </is>
      </c>
      <c r="S344" s="2">
        <f>HYPERLINK("https://yandex.ru/maps/?&amp;text=55.442505, 65.338037", "55.442505, 65.338037")</f>
        <v/>
      </c>
      <c r="T344" s="2">
        <f>HYPERLINK("D:\venv_torgi\env\cache\objs_in_district/55.442505_65.338037.json", "55.442505_65.338037.json")</f>
        <v/>
      </c>
      <c r="U344" t="inlineStr">
        <is>
          <t xml:space="preserve">45:25:070305:2800, </t>
        </is>
      </c>
      <c r="W344" s="20" t="n">
        <v>26866.27840984939</v>
      </c>
      <c r="X344" s="22" t="n">
        <v>17796.78488805905</v>
      </c>
      <c r="Y344" t="n">
        <v>0</v>
      </c>
    </row>
    <row r="345">
      <c r="A345" s="8" t="n">
        <v>343</v>
      </c>
      <c r="B345" t="n">
        <v>46</v>
      </c>
      <c r="C345" s="1" t="n">
        <v>410.1</v>
      </c>
      <c r="D345" s="2">
        <f>HYPERLINK("https://torgi.gov.ru/new/public/lots/lot/21000010400000000015_1/(lotInfo:info)", "21000010400000000015_1")</f>
        <v/>
      </c>
      <c r="E345" t="inlineStr">
        <is>
          <t>Помещение, расположенное по адресу: Курская обл., г. Курчатов, коммунально – складская зона, ком. №№ 1-5, 10-12, 14, 17-38 площадь объекта 410,10 кв.м., кадастровый номер 46:31:010506:2393, запись регистрации № 46-46/013-46/013/006/2015-509/1 от 05.03.2015Характеристика объекта: назначение – нежилое помещение, год постройки – 1982, этажность: 1.Существующие ограничения (обременения) права: не зарегистрированы.</t>
        </is>
      </c>
      <c r="F345" s="3" t="inlineStr">
        <is>
          <t>31.08.22 14:00</t>
        </is>
      </c>
      <c r="G345" t="inlineStr">
        <is>
          <t>Курская обл., г. Курчатов, коммунально – складская зона</t>
        </is>
      </c>
      <c r="H345" s="4" t="n">
        <v>1120000</v>
      </c>
      <c r="I345" s="4" t="n">
        <v>2731.041209461107</v>
      </c>
      <c r="J345" t="inlineStr">
        <is>
          <t>Нежилое помещение</t>
        </is>
      </c>
      <c r="K345" s="5" t="n">
        <v>4.48</v>
      </c>
      <c r="L345" s="10" t="n"/>
      <c r="M345" t="n">
        <v>609</v>
      </c>
      <c r="N345" s="6" t="n">
        <v>38240</v>
      </c>
      <c r="O345" t="inlineStr">
        <is>
          <t>0</t>
        </is>
      </c>
      <c r="P345" s="21" t="n">
        <v>0.6459370764649667</v>
      </c>
      <c r="Q345" t="inlineStr">
        <is>
          <t>PP</t>
        </is>
      </c>
      <c r="R345" t="inlineStr">
        <is>
          <t>М</t>
        </is>
      </c>
      <c r="S345" s="2">
        <f>HYPERLINK("https://yandex.ru/maps/?&amp;text=51.649504, 35.600281", "51.649504, 35.600281")</f>
        <v/>
      </c>
      <c r="T345" s="11">
        <f>HYPERLINK("D:\venv_torgi\env\cache\objs_in_district/51.649504_35.600281.json", "51.649504_35.600281.json")</f>
        <v/>
      </c>
      <c r="U345" t="inlineStr">
        <is>
          <t xml:space="preserve">46:31:010506:2393, </t>
        </is>
      </c>
      <c r="V345" s="7" t="inlineStr">
        <is>
          <t>1</t>
        </is>
      </c>
      <c r="W345" s="20" t="n">
        <v>4495.121984005761</v>
      </c>
      <c r="X345" s="22" t="n">
        <v>1764.080774544654</v>
      </c>
      <c r="Y345" t="n">
        <v>0</v>
      </c>
    </row>
    <row r="346">
      <c r="A346" s="8" t="n">
        <v>344</v>
      </c>
      <c r="B346" t="n">
        <v>46</v>
      </c>
      <c r="C346" s="1" t="n">
        <v>71.59999999999999</v>
      </c>
      <c r="D346" s="2">
        <f>HYPERLINK("https://torgi.gov.ru/new/public/lots/lot/21000016220000000022_1/(lotInfo:info)", "21000016220000000022_1")</f>
        <v/>
      </c>
      <c r="E346" t="inlineStr">
        <is>
          <t>Нежилое помещение II 1-го этажа (кадастровый номер 46:29:103213:368)  площадью 71,6 кв.м., расположенное по адресу:  г. Курск,  пр-зд Магистральный, 16г.</t>
        </is>
      </c>
      <c r="F346" s="3" t="inlineStr">
        <is>
          <t>16.09.22 06:00</t>
        </is>
      </c>
      <c r="G346" t="inlineStr">
        <is>
          <t>г Курск, Магистральный проезд, зд 3А</t>
        </is>
      </c>
      <c r="H346" s="4" t="n">
        <v>1600000</v>
      </c>
      <c r="I346" s="4" t="n">
        <v>22346.3687150838</v>
      </c>
      <c r="J346" t="inlineStr">
        <is>
          <t>Нежилое помещение</t>
        </is>
      </c>
      <c r="K346" s="5" t="n">
        <v>4.8</v>
      </c>
      <c r="L346" s="4" t="n">
        <v>1015.73</v>
      </c>
      <c r="M346" t="n">
        <v>4653</v>
      </c>
      <c r="N346" s="6" t="n">
        <v>449556</v>
      </c>
      <c r="O346" t="n">
        <v>22</v>
      </c>
      <c r="P346" s="21" t="n">
        <v>0.2022659588407603</v>
      </c>
      <c r="Q346" t="inlineStr">
        <is>
          <t>EA</t>
        </is>
      </c>
      <c r="R346" t="inlineStr">
        <is>
          <t>М</t>
        </is>
      </c>
      <c r="S346" s="2">
        <f>HYPERLINK("https://yandex.ru/maps/?&amp;text=51.649142, 36.138353", "51.649142, 36.138353")</f>
        <v/>
      </c>
      <c r="T346" s="2">
        <f>HYPERLINK("D:\venv_torgi\env\cache\objs_in_district/51.649142_36.138353.json", "51.649142_36.138353.json")</f>
        <v/>
      </c>
      <c r="U346" t="inlineStr">
        <is>
          <t>46:29:103213:368</t>
        </is>
      </c>
      <c r="V346" s="7" t="inlineStr">
        <is>
          <t>1</t>
        </is>
      </c>
      <c r="W346" s="20" t="n">
        <v>26866.27840984939</v>
      </c>
      <c r="X346" s="22" t="n">
        <v>4519.909694765593</v>
      </c>
      <c r="Y346" t="n">
        <v>0</v>
      </c>
    </row>
    <row r="347">
      <c r="A347" s="8" t="n">
        <v>345</v>
      </c>
      <c r="B347" t="n">
        <v>46</v>
      </c>
      <c r="C347" s="1" t="n">
        <v>65.90000000000001</v>
      </c>
      <c r="D347" s="2">
        <f>HYPERLINK("https://torgi.gov.ru/new/public/lots/lot/22000035470000000004_1/(lotInfo:info)", "22000035470000000004_1")</f>
        <v/>
      </c>
      <c r="E347" t="inlineStr">
        <is>
          <t>Помещение, назначение: нежилое помещение (кадастровый номер 46:20:270207:988) и помещение, назначение: нежилое (кадастровый номер 46:20:270207:983), общей площадью 65,9 кв.м.. Этаж:1, расположенные по адресу: Курская область, Рыльский район, г. Рыльск, ул. К. Либкнехта, д.3, комнаты 10, 11, 12, 13, 14, 25</t>
        </is>
      </c>
      <c r="F347" s="3" t="inlineStr">
        <is>
          <t>04.09.22 21:00</t>
        </is>
      </c>
      <c r="G347" t="inlineStr">
        <is>
          <t>Курская обл, г Рыльск, ул К.Либкнехта, д 3</t>
        </is>
      </c>
      <c r="H347" s="4" t="n">
        <v>1854558</v>
      </c>
      <c r="I347" s="4" t="n">
        <v>28142.00303490137</v>
      </c>
      <c r="J347" t="inlineStr">
        <is>
          <t>Нежилое помещение</t>
        </is>
      </c>
      <c r="K347" s="5" t="n">
        <v>16.9</v>
      </c>
      <c r="L347" s="4" t="n">
        <v>14071</v>
      </c>
      <c r="M347" t="n">
        <v>1665</v>
      </c>
      <c r="N347" s="6" t="n">
        <v>16014</v>
      </c>
      <c r="O347" t="n">
        <v>2</v>
      </c>
      <c r="Q347" t="inlineStr">
        <is>
          <t>EA</t>
        </is>
      </c>
      <c r="R347" t="inlineStr">
        <is>
          <t>М</t>
        </is>
      </c>
      <c r="S347" s="2">
        <f>HYPERLINK("https://yandex.ru/maps/?&amp;text=51.571554, 34.672302", "51.571554, 34.672302")</f>
        <v/>
      </c>
      <c r="T347" s="2">
        <f>HYPERLINK("D:\venv_torgi\env\cache\objs_in_district/51.571554_34.672302.json", "51.571554_34.672302.json")</f>
        <v/>
      </c>
      <c r="U347" t="inlineStr">
        <is>
          <t>46:20:270207:988</t>
        </is>
      </c>
      <c r="V347" s="7" t="inlineStr">
        <is>
          <t>1</t>
        </is>
      </c>
      <c r="W347" s="20" t="n">
        <v>16222.56438392146</v>
      </c>
      <c r="X347" s="23" t="n">
        <v>-11919.43865097991</v>
      </c>
      <c r="Y347" t="n">
        <v>0</v>
      </c>
    </row>
    <row r="348">
      <c r="A348" s="8" t="n">
        <v>346</v>
      </c>
      <c r="B348" t="n">
        <v>46</v>
      </c>
      <c r="C348" s="1" t="n">
        <v>176</v>
      </c>
      <c r="D348" s="2">
        <f>HYPERLINK("https://torgi.gov.ru/new/public/lots/lot/22000035470000000003_1/(lotInfo:info)", "22000035470000000003_1")</f>
        <v/>
      </c>
      <c r="E348" t="inlineStr">
        <is>
          <t>Нежилое помещение №IХ с кадастровым номером 46:20:270206:506</t>
        </is>
      </c>
      <c r="F348" s="3" t="inlineStr">
        <is>
          <t>01.09.22 21:00</t>
        </is>
      </c>
      <c r="G348" t="inlineStr">
        <is>
          <t>Курская обл, г Рыльск, Советская пл, д 8</t>
        </is>
      </c>
      <c r="H348" s="4" t="n">
        <v>6374073</v>
      </c>
      <c r="I348" s="4" t="n">
        <v>36216.32386363636</v>
      </c>
      <c r="J348" t="inlineStr">
        <is>
          <t>Нежилое помещение</t>
        </is>
      </c>
      <c r="K348" s="5" t="n">
        <v>19.1</v>
      </c>
      <c r="L348" s="4" t="n">
        <v>1248.83</v>
      </c>
      <c r="M348" t="n">
        <v>1896</v>
      </c>
      <c r="N348" s="6" t="n">
        <v>16014</v>
      </c>
      <c r="O348" t="n">
        <v>29</v>
      </c>
      <c r="Q348" t="inlineStr">
        <is>
          <t>EA</t>
        </is>
      </c>
      <c r="R348" t="inlineStr">
        <is>
          <t>М</t>
        </is>
      </c>
      <c r="S348" s="2">
        <f>HYPERLINK("https://yandex.ru/maps/?&amp;text=51.57228, 34.686035", "51.57228, 34.686035")</f>
        <v/>
      </c>
      <c r="T348" s="2">
        <f>HYPERLINK("D:\venv_torgi\env\cache\objs_in_district/51.57228_34.686035.json", "51.57228_34.686035.json")</f>
        <v/>
      </c>
      <c r="U348" t="inlineStr">
        <is>
          <t>46:20:270206:506</t>
        </is>
      </c>
      <c r="W348" s="20" t="n">
        <v>16978.25983052898</v>
      </c>
      <c r="X348" s="23" t="n">
        <v>-19238.06403310738</v>
      </c>
      <c r="Y348" t="n">
        <v>0</v>
      </c>
    </row>
    <row r="349">
      <c r="A349" s="8" t="n">
        <v>347</v>
      </c>
      <c r="B349" t="n">
        <v>47</v>
      </c>
      <c r="C349" s="1" t="n">
        <v>47.1</v>
      </c>
      <c r="D349" s="2">
        <f>HYPERLINK("https://torgi.gov.ru/new/public/lots/lot/21000028000000000002_1/(lotInfo:info)", "21000028000000000002_1")</f>
        <v/>
      </c>
      <c r="E349" t="inlineStr">
        <is>
          <t>Земельный участок, категория земель: земли населенных пунктов, разрешенное использование: для ведения личного подсобного хозяйства, площадью 770 кв.м. Кадастровый номер земельного участка: 47:10:0202001:25. Нежилое помещение, площадью 47,1 кв.м., количество этажей: 1. Кадастровый номер нежилого помещения: 47:10:0202001:52.</t>
        </is>
      </c>
      <c r="F349" s="3" t="inlineStr">
        <is>
          <t>19.09.22 12:00</t>
        </is>
      </c>
      <c r="G349" t="inlineStr">
        <is>
          <t>Ленинградская обл, Волховский р-н, деревня Боргино, д 7</t>
        </is>
      </c>
      <c r="H349" s="4" t="n">
        <v>230000</v>
      </c>
      <c r="I349" s="4" t="n">
        <v>4883.227176220807</v>
      </c>
      <c r="J349" t="inlineStr">
        <is>
          <t>Нежилое помещение</t>
        </is>
      </c>
      <c r="K349" s="5" t="n">
        <v>30.71</v>
      </c>
      <c r="L349" s="10" t="n"/>
      <c r="M349" t="n">
        <v>159</v>
      </c>
      <c r="O349" t="inlineStr">
        <is>
          <t>0</t>
        </is>
      </c>
      <c r="Q349" t="inlineStr">
        <is>
          <t>PP</t>
        </is>
      </c>
      <c r="R349" t="inlineStr">
        <is>
          <t>М</t>
        </is>
      </c>
      <c r="S349" s="2">
        <f>HYPERLINK("https://yandex.ru/maps/?&amp;text=59.893078, 32.260406", "59.893078, 32.260406")</f>
        <v/>
      </c>
      <c r="T349" s="11">
        <f>HYPERLINK("D:\venv_torgi\env\cache\objs_in_district/59.893078_32.260406.json", "59.893078_32.260406.json")</f>
        <v/>
      </c>
      <c r="U349" t="inlineStr">
        <is>
          <t xml:space="preserve"> 47:10:0202001:25</t>
        </is>
      </c>
      <c r="V349" s="7" t="inlineStr">
        <is>
          <t>1</t>
        </is>
      </c>
      <c r="Y349" t="n">
        <v>0</v>
      </c>
    </row>
    <row r="350">
      <c r="A350" s="8" t="n">
        <v>348</v>
      </c>
      <c r="B350" t="n">
        <v>47</v>
      </c>
      <c r="C350" s="1" t="n">
        <v>44.5</v>
      </c>
      <c r="D350" s="2">
        <f>HYPERLINK("https://torgi.gov.ru/new/public/lots/lot/21000030700000000020_1/(lotInfo:info)", "21000030700000000020_1")</f>
        <v/>
      </c>
      <c r="E350" t="inlineStr">
        <is>
          <t>Встроенное нежилое помещение первого этажа общей площадью 44,5 кв.м, кадастровый номер 47:01:0000000:45402, расположенное по адресу: Ленинградская область, Выборгский район, г. Светогорск, ул. Красноармейская, д. 24</t>
        </is>
      </c>
      <c r="F350" s="3" t="inlineStr">
        <is>
          <t>30.08.22 20:00</t>
        </is>
      </c>
      <c r="G350" t="inlineStr">
        <is>
          <t>Ленинградская обл, Выборгский р-н, г Светогорск, ул Красноармейская, д 24</t>
        </is>
      </c>
      <c r="H350" s="4" t="n">
        <v>1960000</v>
      </c>
      <c r="I350" s="4" t="n">
        <v>44044.94382022472</v>
      </c>
      <c r="J350" t="inlineStr">
        <is>
          <t>Нежилое помещение</t>
        </is>
      </c>
      <c r="K350" s="5" t="n">
        <v>17.54</v>
      </c>
      <c r="L350" s="4" t="n">
        <v>8808.799999999999</v>
      </c>
      <c r="M350" t="n">
        <v>2511</v>
      </c>
      <c r="N350" s="6" t="n">
        <v>15721</v>
      </c>
      <c r="O350" t="n">
        <v>5</v>
      </c>
      <c r="Q350" t="inlineStr">
        <is>
          <t>EA</t>
        </is>
      </c>
      <c r="R350" t="inlineStr">
        <is>
          <t>М</t>
        </is>
      </c>
      <c r="S350" s="2">
        <f>HYPERLINK("https://yandex.ru/maps/?&amp;text=61.105963, 28.880306", "61.105963, 28.880306")</f>
        <v/>
      </c>
      <c r="T350" s="2">
        <f>HYPERLINK("D:\venv_torgi\env\cache\objs_in_district/61.105963_28.880306.json", "61.105963_28.880306.json")</f>
        <v/>
      </c>
      <c r="U350" t="inlineStr">
        <is>
          <t xml:space="preserve">47:01:0000000:45402, </t>
        </is>
      </c>
      <c r="V350" s="7" t="inlineStr">
        <is>
          <t>1</t>
        </is>
      </c>
      <c r="W350" s="20" t="n">
        <v>26866.27840984939</v>
      </c>
      <c r="X350" s="23" t="n">
        <v>-17178.66541037532</v>
      </c>
      <c r="Y350" t="n">
        <v>0</v>
      </c>
    </row>
    <row r="351">
      <c r="A351" s="8" t="n">
        <v>349</v>
      </c>
      <c r="B351" t="n">
        <v>47</v>
      </c>
      <c r="C351" s="1" t="n">
        <v>26.8</v>
      </c>
      <c r="D351" s="2">
        <f>HYPERLINK("https://torgi.gov.ru/new/public/lots/lot/22000092520000000004_1/(lotInfo:info)", "22000092520000000004_1")</f>
        <v/>
      </c>
      <c r="E351" t="inlineStr">
        <is>
          <t>Нежилое помещение общей площадью 26,80 кв.м., расположенное по адресу: Ленинградская область, Всеволожский район, г.п. им. Морозова, ул. Первомайская, д. 18, пом.1</t>
        </is>
      </c>
      <c r="F351" s="3" t="inlineStr">
        <is>
          <t>19.09.22 07:00</t>
        </is>
      </c>
      <c r="G351" t="inlineStr">
        <is>
          <t>Ленинградская обл, Всеволожский р-н, гп имени Морозова, ул Первомайская, д 18</t>
        </is>
      </c>
      <c r="H351" s="4" t="n">
        <v>1330000</v>
      </c>
      <c r="I351" s="4" t="n">
        <v>49626.86567164179</v>
      </c>
      <c r="J351" t="inlineStr">
        <is>
          <t>Нежилое помещение</t>
        </is>
      </c>
      <c r="K351" s="5" t="n">
        <v>16.27</v>
      </c>
      <c r="L351" s="4" t="n">
        <v>4962.6</v>
      </c>
      <c r="M351" t="n">
        <v>3051</v>
      </c>
      <c r="O351" t="n">
        <v>10</v>
      </c>
      <c r="Q351" t="inlineStr">
        <is>
          <t>EA</t>
        </is>
      </c>
      <c r="R351" t="inlineStr">
        <is>
          <t>М</t>
        </is>
      </c>
      <c r="S351" s="2">
        <f>HYPERLINK("https://yandex.ru/maps/?&amp;text=59.969979, 31.039758", "59.969979, 31.039758")</f>
        <v/>
      </c>
      <c r="T351" s="2">
        <f>HYPERLINK("D:\venv_torgi\env\cache\objs_in_district/59.969979_31.039758.json", "59.969979_31.039758.json")</f>
        <v/>
      </c>
      <c r="U351" t="inlineStr">
        <is>
          <t>47:07:1711010:1895</t>
        </is>
      </c>
      <c r="V351" s="7" t="inlineStr">
        <is>
          <t>1</t>
        </is>
      </c>
      <c r="Y351" t="n">
        <v>0</v>
      </c>
    </row>
    <row r="352">
      <c r="A352" s="8" t="n">
        <v>350</v>
      </c>
      <c r="B352" t="n">
        <v>49</v>
      </c>
      <c r="C352" s="1" t="n">
        <v>898.3</v>
      </c>
      <c r="D352" s="2">
        <f>HYPERLINK("https://torgi.gov.ru/new/public/lots/lot/22000028800000000029_1/(lotInfo:info)", "22000028800000000029_1")</f>
        <v/>
      </c>
      <c r="E352" t="inlineStr">
        <is>
          <t>Встроенное нежилое помещение, площадью 898,3 кв.м., с кадастровым номером 49:05:000000:2007, расположенное на первом этаже здания</t>
        </is>
      </c>
      <c r="F352" s="3" t="inlineStr">
        <is>
          <t>16.09.22 06:00</t>
        </is>
      </c>
      <c r="G352" t="inlineStr">
        <is>
          <t>Магаданская обл, Сусуманский р-н, пгт Мяунджа</t>
        </is>
      </c>
      <c r="H352" s="4" t="n">
        <v>4966000</v>
      </c>
      <c r="I352" s="4" t="n">
        <v>5528.21997105644</v>
      </c>
      <c r="J352" t="inlineStr">
        <is>
          <t>Нежилое помещение</t>
        </is>
      </c>
      <c r="K352" s="5" t="n">
        <v>2.61</v>
      </c>
      <c r="L352" s="10" t="n"/>
      <c r="M352" t="n">
        <v>2121</v>
      </c>
      <c r="N352" s="6" t="n">
        <v>1501</v>
      </c>
      <c r="O352" t="inlineStr">
        <is>
          <t>0</t>
        </is>
      </c>
      <c r="P352" s="21" t="n">
        <v>0.2200671592560188</v>
      </c>
      <c r="Q352" t="inlineStr">
        <is>
          <t>EA</t>
        </is>
      </c>
      <c r="R352" t="inlineStr">
        <is>
          <t>М</t>
        </is>
      </c>
      <c r="S352" s="2">
        <f>HYPERLINK("https://yandex.ru/maps/?&amp;text=63.051545, 147.181072", "63.051545, 147.181072")</f>
        <v/>
      </c>
      <c r="T352" s="11">
        <f>HYPERLINK("D:\venv_torgi\env\cache\objs_in_district/63.051545_147.181072.json", "63.051545_147.181072.json")</f>
        <v/>
      </c>
      <c r="U352" t="inlineStr">
        <is>
          <t xml:space="preserve">49:05:000000:2007, </t>
        </is>
      </c>
      <c r="V352" s="7" t="inlineStr">
        <is>
          <t>1</t>
        </is>
      </c>
      <c r="W352" s="20" t="n">
        <v>6744.799635829221</v>
      </c>
      <c r="X352" s="22" t="n">
        <v>1216.579664772781</v>
      </c>
      <c r="Y352" t="n">
        <v>0</v>
      </c>
    </row>
    <row r="353">
      <c r="A353" s="8" t="n">
        <v>351</v>
      </c>
      <c r="B353" t="n">
        <v>49</v>
      </c>
      <c r="C353" s="1" t="n">
        <v>330.4</v>
      </c>
      <c r="D353" s="2">
        <f>HYPERLINK("https://torgi.gov.ru/new/public/lots/lot/21000026950000000002_1/(lotInfo:info)", "21000026950000000002_1")</f>
        <v/>
      </c>
      <c r="E353" t="inlineStr">
        <is>
          <t>помещение расположено на первом этаже многоквартирного дома по адресу: Магаданская область, Тенькинский район, пос. Усть-Омчуг, ул. Победы, д.45, общая площадь 330,4кв.м. , кадастровый номер 49:06:030004:2226, оборудовано  централизованным теплоснабжением, холодным и горячим водоснабжением, водоотведением, электроснабжением</t>
        </is>
      </c>
      <c r="F353" s="3" t="inlineStr">
        <is>
          <t>18.09.22 22:00</t>
        </is>
      </c>
      <c r="G353" t="inlineStr">
        <is>
          <t>Тенькинский район, пос. Усть-Омчуг, ул. Победы, д.45</t>
        </is>
      </c>
      <c r="H353" s="4" t="n">
        <v>1914000</v>
      </c>
      <c r="I353" s="4" t="n">
        <v>5792.978208232445</v>
      </c>
      <c r="J353" t="inlineStr">
        <is>
          <t>Нежилое помещение</t>
        </is>
      </c>
      <c r="K353" s="5" t="n">
        <v>13.31</v>
      </c>
      <c r="L353" s="10" t="n"/>
      <c r="M353" t="n">
        <v>435</v>
      </c>
      <c r="O353" t="inlineStr">
        <is>
          <t>0</t>
        </is>
      </c>
      <c r="Q353" t="inlineStr">
        <is>
          <t>EA</t>
        </is>
      </c>
      <c r="R353" t="inlineStr">
        <is>
          <t>М</t>
        </is>
      </c>
      <c r="S353" s="2">
        <f>HYPERLINK("https://yandex.ru/maps/?&amp;text=61.137258, 149.628891", "61.137258, 149.628891")</f>
        <v/>
      </c>
      <c r="T353" s="11">
        <f>HYPERLINK("D:\venv_torgi\env\cache\objs_in_district/61.137258_149.628891.json", "61.137258_149.628891.json")</f>
        <v/>
      </c>
      <c r="U353" t="inlineStr">
        <is>
          <t xml:space="preserve">49:06:030004:2226, </t>
        </is>
      </c>
      <c r="V353" s="7" t="inlineStr">
        <is>
          <t>1</t>
        </is>
      </c>
      <c r="Y353" t="n">
        <v>0</v>
      </c>
    </row>
    <row r="354">
      <c r="A354" s="8" t="n">
        <v>352</v>
      </c>
      <c r="B354" t="n">
        <v>50</v>
      </c>
      <c r="C354" s="1" t="n">
        <v>1018.8</v>
      </c>
      <c r="D354" s="2">
        <f>HYPERLINK("https://torgi.gov.ru/new/public/lots/lot/21000004710000002630_1/(lotInfo:info)", "21000004710000002630_1")</f>
        <v/>
      </c>
      <c r="E354" t="inlineStr">
        <is>
          <t>Продажа нежилого помещения 1 018,8 кв,м. в Орехово-Зуевском г.о.</t>
        </is>
      </c>
      <c r="F354" s="3" t="inlineStr">
        <is>
          <t>23.09.22 15:00</t>
        </is>
      </c>
      <c r="G354" t="inlineStr">
        <is>
          <t>Московская область, Орехово-Зуевский р-н, г Ликино-Дулево, ул Коммунистическая, д 18</t>
        </is>
      </c>
      <c r="H354" s="4" t="n">
        <v>6923374.07</v>
      </c>
      <c r="I354" s="4" t="n">
        <v>6795.616480172753</v>
      </c>
      <c r="J354" t="inlineStr">
        <is>
          <t>Нежилое помещение</t>
        </is>
      </c>
      <c r="K354" s="5" t="n">
        <v>2.41</v>
      </c>
      <c r="L354" s="4" t="n">
        <v>199.85</v>
      </c>
      <c r="M354" t="n">
        <v>2817</v>
      </c>
      <c r="O354" t="n">
        <v>34</v>
      </c>
      <c r="P354" s="16" t="n">
        <v>0.6922603763725212</v>
      </c>
      <c r="Q354" t="inlineStr">
        <is>
          <t>EA</t>
        </is>
      </c>
      <c r="R354" t="inlineStr">
        <is>
          <t>М</t>
        </is>
      </c>
      <c r="S354" s="2">
        <f>HYPERLINK("https://yandex.ru/maps/?&amp;text=55.705092, 38.959781", "55.705092, 38.959781")</f>
        <v/>
      </c>
      <c r="T354" s="2">
        <f>HYPERLINK("D:\venv_torgi\env\cache\objs_in_district/55.705092_38.959781.json", "55.705092_38.959781.json")</f>
        <v/>
      </c>
      <c r="U354" t="inlineStr">
        <is>
          <t>50:24:0000000:77742</t>
        </is>
      </c>
      <c r="W354" s="17" t="n">
        <v>11499.95250242045</v>
      </c>
      <c r="X354" s="18" t="n">
        <v>4704.336022247698</v>
      </c>
      <c r="Y354" t="n">
        <v>0</v>
      </c>
    </row>
    <row r="355">
      <c r="A355" s="8" t="n">
        <v>353</v>
      </c>
      <c r="B355" t="n">
        <v>50</v>
      </c>
      <c r="C355" s="1" t="n">
        <v>694.3</v>
      </c>
      <c r="D355" s="2">
        <f>HYPERLINK("https://torgi.gov.ru/new/public/lots/lot/21000004710000002118_1/(lotInfo:info)", "21000004710000002118_1")</f>
        <v/>
      </c>
      <c r="E355" t="inlineStr">
        <is>
          <t>Продажа нежилого помещения 694,3 кв.м. в г.о. Луховицы</t>
        </is>
      </c>
      <c r="F355" s="3" t="inlineStr">
        <is>
          <t>07.09.22 15:00</t>
        </is>
      </c>
      <c r="G355" t="inlineStr">
        <is>
          <t>Московская обл, г Луховицы, поселок Орешково, ул Парковая, д 2</t>
        </is>
      </c>
      <c r="H355" s="4" t="n">
        <v>6250333.33</v>
      </c>
      <c r="I355" s="4" t="n">
        <v>9002.352484516779</v>
      </c>
      <c r="J355" t="inlineStr">
        <is>
          <t>Нежилое помещение</t>
        </is>
      </c>
      <c r="K355" s="5" t="n">
        <v>9.609999999999999</v>
      </c>
      <c r="L355" s="4" t="n">
        <v>3000.67</v>
      </c>
      <c r="M355" t="n">
        <v>937</v>
      </c>
      <c r="N355" s="6" t="n">
        <v>29850</v>
      </c>
      <c r="O355" t="n">
        <v>3</v>
      </c>
      <c r="P355" s="16" t="n">
        <v>0.2774385942118256</v>
      </c>
      <c r="Q355" t="inlineStr">
        <is>
          <t>EA</t>
        </is>
      </c>
      <c r="R355" t="inlineStr">
        <is>
          <t>М</t>
        </is>
      </c>
      <c r="S355" s="2">
        <f>HYPERLINK("https://yandex.ru/maps/?&amp;text=54.849313, 39.305731", "54.849313, 39.305731")</f>
        <v/>
      </c>
      <c r="T355" s="2">
        <f>HYPERLINK("D:\venv_torgi\env\cache\objs_in_district/54.849313_39.305731.json", "54.849313_39.305731.json")</f>
        <v/>
      </c>
      <c r="U355" t="inlineStr">
        <is>
          <t>50:35:0030405:1682</t>
        </is>
      </c>
      <c r="W355" s="17" t="n">
        <v>11499.95250242045</v>
      </c>
      <c r="X355" s="18" t="n">
        <v>2497.600017903671</v>
      </c>
      <c r="Y355" t="n">
        <v>0</v>
      </c>
    </row>
    <row r="356">
      <c r="A356" s="8" t="n">
        <v>354</v>
      </c>
      <c r="B356" t="n">
        <v>50</v>
      </c>
      <c r="C356" s="1" t="n">
        <v>335.2</v>
      </c>
      <c r="D356" s="2">
        <f>HYPERLINK("https://torgi.gov.ru/new/public/lots/lot/21000004710000001850_1/(lotInfo:info)", "21000004710000001850_1")</f>
        <v/>
      </c>
      <c r="E356" t="inlineStr">
        <is>
          <t>Продажа нежилого помещения 335,2 кв.м в г.о. Луховицы</t>
        </is>
      </c>
      <c r="F356" s="3" t="inlineStr">
        <is>
          <t>26.09.22 15:00</t>
        </is>
      </c>
      <c r="G356" t="inlineStr">
        <is>
          <t>Московская обл, г Луховицы, поселок Сельхозтехника, д 24</t>
        </is>
      </c>
      <c r="H356" s="4" t="n">
        <v>3308333.33</v>
      </c>
      <c r="I356" s="4" t="n">
        <v>9869.72950477327</v>
      </c>
      <c r="J356" t="inlineStr">
        <is>
          <t>Нежилое помещение</t>
        </is>
      </c>
      <c r="K356" s="5" t="n">
        <v>11.08</v>
      </c>
      <c r="L356" s="4" t="n">
        <v>4934.5</v>
      </c>
      <c r="M356" t="n">
        <v>891</v>
      </c>
      <c r="N356" s="6" t="n">
        <v>29850</v>
      </c>
      <c r="O356" t="n">
        <v>2</v>
      </c>
      <c r="P356" s="16" t="n">
        <v>0.1651740300338282</v>
      </c>
      <c r="Q356" t="inlineStr">
        <is>
          <t>EA</t>
        </is>
      </c>
      <c r="R356" t="inlineStr">
        <is>
          <t>М</t>
        </is>
      </c>
      <c r="S356" s="2">
        <f>HYPERLINK("https://yandex.ru/maps/?&amp;text=54.95581, 39.185681", "54.95581, 39.185681")</f>
        <v/>
      </c>
      <c r="T356" s="2">
        <f>HYPERLINK("D:\venv_torgi\env\cache\objs_in_district/54.95581_39.185681.json", "54.95581_39.185681.json")</f>
        <v/>
      </c>
      <c r="U356" t="inlineStr">
        <is>
          <t>50:35:0000000:20800</t>
        </is>
      </c>
      <c r="V356" s="7" t="inlineStr">
        <is>
          <t>1</t>
        </is>
      </c>
      <c r="W356" s="17" t="n">
        <v>11499.95250242045</v>
      </c>
      <c r="X356" s="18" t="n">
        <v>1630.222997647181</v>
      </c>
      <c r="Y356" t="n">
        <v>0</v>
      </c>
    </row>
    <row r="357">
      <c r="A357" s="8" t="n">
        <v>355</v>
      </c>
      <c r="B357" t="n">
        <v>50</v>
      </c>
      <c r="C357" s="1" t="n">
        <v>48.4</v>
      </c>
      <c r="D357" s="2">
        <f>HYPERLINK("https://torgi.gov.ru/new/public/lots/lot/21000004710000002172_1/(lotInfo:info)", "21000004710000002172_1")</f>
        <v/>
      </c>
      <c r="E357" t="inlineStr">
        <is>
          <t>Продажа нежилого помещения 48,4 кв.м в г.о. Лотошино</t>
        </is>
      </c>
      <c r="F357" s="3" t="inlineStr">
        <is>
          <t>15.09.22 15:00</t>
        </is>
      </c>
      <c r="G357" t="inlineStr">
        <is>
          <t>Московская обл, рп Лотошино, деревня Кульпино, д 1а, помещ 2</t>
        </is>
      </c>
      <c r="H357" s="4" t="n">
        <v>482000</v>
      </c>
      <c r="I357" s="4" t="n">
        <v>9958.677685950413</v>
      </c>
      <c r="J357" t="inlineStr">
        <is>
          <t>Нежилое помещение</t>
        </is>
      </c>
      <c r="K357" s="5" t="n">
        <v>153.2</v>
      </c>
      <c r="M357" t="n">
        <v>65</v>
      </c>
      <c r="N357" s="6" t="n">
        <v>5558</v>
      </c>
      <c r="P357" s="16" t="n">
        <v>3.594822627956659</v>
      </c>
      <c r="Q357" t="inlineStr">
        <is>
          <t>EA</t>
        </is>
      </c>
      <c r="R357" t="inlineStr">
        <is>
          <t>М</t>
        </is>
      </c>
      <c r="S357" s="2">
        <f>HYPERLINK("https://yandex.ru/maps/?&amp;text=56.161484, 35.643839", "56.161484, 35.643839")</f>
        <v/>
      </c>
      <c r="U357" t="inlineStr">
        <is>
          <t>50:02:0040505:355</t>
        </is>
      </c>
      <c r="W357" s="17" t="n">
        <v>45758.35757593202</v>
      </c>
      <c r="X357" s="18" t="n">
        <v>35799.67988998161</v>
      </c>
      <c r="Y357" t="n">
        <v>0</v>
      </c>
    </row>
    <row r="358">
      <c r="A358" s="8" t="n">
        <v>356</v>
      </c>
      <c r="B358" t="n">
        <v>50</v>
      </c>
      <c r="C358" s="1" t="n">
        <v>389.2</v>
      </c>
      <c r="D358" s="2">
        <f>HYPERLINK("https://torgi.gov.ru/new/public/lots/lot/21000004710000002657_1/(lotInfo:info)", "21000004710000002657_1")</f>
        <v/>
      </c>
      <c r="E358" t="inlineStr">
        <is>
          <t>Продажа нежилого помещения 389,2 кв.м. в г.о. Павловский Посад</t>
        </is>
      </c>
      <c r="F358" s="3" t="inlineStr">
        <is>
          <t>28.09.22 15:00</t>
        </is>
      </c>
      <c r="G358" t="inlineStr">
        <is>
          <t>Московская область, г.Павловский Посад, ул.Корневская, д.9а, аптека</t>
        </is>
      </c>
      <c r="H358" s="4" t="n">
        <v>4320000</v>
      </c>
      <c r="I358" s="4" t="n">
        <v>11099.69167523124</v>
      </c>
      <c r="J358" t="inlineStr">
        <is>
          <t>Нежилое помещение</t>
        </is>
      </c>
      <c r="K358" s="5" t="n">
        <v>12.33</v>
      </c>
      <c r="L358" s="4" t="n">
        <v>3699.67</v>
      </c>
      <c r="M358" t="n">
        <v>900</v>
      </c>
      <c r="N358" s="6" t="n">
        <v>63711</v>
      </c>
      <c r="O358" t="n">
        <v>3</v>
      </c>
      <c r="P358" s="16" t="n">
        <v>0.03606053563473156</v>
      </c>
      <c r="Q358" t="inlineStr">
        <is>
          <t>PP</t>
        </is>
      </c>
      <c r="R358" t="inlineStr">
        <is>
          <t>М</t>
        </is>
      </c>
      <c r="S358" s="2">
        <f>HYPERLINK("https://yandex.ru/maps/?&amp;text=55.779489, 38.705684", "55.779489, 38.705684")</f>
        <v/>
      </c>
      <c r="T358" s="2">
        <f>HYPERLINK("D:\venv_torgi\env\cache\objs_in_district/55.779489_38.705684.json", "55.779489_38.705684.json")</f>
        <v/>
      </c>
      <c r="U358" t="inlineStr">
        <is>
          <t>50:17:0021325:197</t>
        </is>
      </c>
      <c r="W358" s="17" t="n">
        <v>11499.95250242045</v>
      </c>
      <c r="X358" s="18" t="n">
        <v>400.2608271892095</v>
      </c>
      <c r="Y358" t="n">
        <v>0</v>
      </c>
    </row>
    <row r="359">
      <c r="A359" s="8" t="n">
        <v>357</v>
      </c>
      <c r="B359" t="n">
        <v>50</v>
      </c>
      <c r="C359" s="1" t="n">
        <v>258</v>
      </c>
      <c r="D359" s="2">
        <f>HYPERLINK("https://torgi.gov.ru/new/public/lots/lot/21000004710000001768_1/(lotInfo:info)", "21000004710000001768_1")</f>
        <v/>
      </c>
      <c r="E359" t="inlineStr">
        <is>
          <t>Продажа нежилого помещения 258 кв.м в г.о. Павловский Посад</t>
        </is>
      </c>
      <c r="F359" s="3" t="inlineStr">
        <is>
          <t>16.09.22 15:00</t>
        </is>
      </c>
      <c r="G359" t="inlineStr">
        <is>
          <t>Московская область, р-н Павлово-Посадский, г Павловский Посад, ул Орджоникидзе, д 3/1, пом II</t>
        </is>
      </c>
      <c r="H359" s="4" t="n">
        <v>3579000</v>
      </c>
      <c r="I359" s="4" t="n">
        <v>13872.09302325581</v>
      </c>
      <c r="J359" t="inlineStr">
        <is>
          <t>Нежилое помещение</t>
        </is>
      </c>
      <c r="K359" s="5" t="n">
        <v>8.33</v>
      </c>
      <c r="L359" s="4" t="n">
        <v>478.34</v>
      </c>
      <c r="M359" t="n">
        <v>1665</v>
      </c>
      <c r="N359" s="6" t="n">
        <v>63711</v>
      </c>
      <c r="O359" t="n">
        <v>29</v>
      </c>
      <c r="Q359" t="inlineStr">
        <is>
          <t>EA</t>
        </is>
      </c>
      <c r="R359" t="inlineStr">
        <is>
          <t>М</t>
        </is>
      </c>
      <c r="S359" s="2">
        <f>HYPERLINK("https://yandex.ru/maps/?&amp;text=55.770279, 38.652198", "55.770279, 38.652198")</f>
        <v/>
      </c>
      <c r="T359" s="2">
        <f>HYPERLINK("D:\venv_torgi\env\cache\objs_in_district/55.770279_38.652198.json", "55.770279_38.652198.json")</f>
        <v/>
      </c>
      <c r="U359" t="inlineStr">
        <is>
          <t>50:17:0021502:30</t>
        </is>
      </c>
      <c r="W359" s="17" t="n">
        <v>11499.95250242045</v>
      </c>
      <c r="X359" s="19" t="n">
        <v>-2372.140520835359</v>
      </c>
      <c r="Y359" t="n">
        <v>0</v>
      </c>
    </row>
    <row r="360">
      <c r="A360" s="8" t="n">
        <v>358</v>
      </c>
      <c r="B360" t="n">
        <v>50</v>
      </c>
      <c r="C360" s="1" t="n">
        <v>116.1</v>
      </c>
      <c r="D360" s="2">
        <f>HYPERLINK("https://torgi.gov.ru/new/public/lots/lot/21000004710000002538_1/(lotInfo:info)", "21000004710000002538_1")</f>
        <v/>
      </c>
      <c r="E360" t="inlineStr">
        <is>
          <t>Продажа нежилого помещения 116,1 кв.м. в г.о. Коломна</t>
        </is>
      </c>
      <c r="F360" s="3" t="inlineStr">
        <is>
          <t>21.09.22 15:00</t>
        </is>
      </c>
      <c r="G360" t="inlineStr">
        <is>
          <t>Московская область, р-н Коломенский, с Макшеево, д 44, пом 1</t>
        </is>
      </c>
      <c r="H360" s="4" t="n">
        <v>2418400</v>
      </c>
      <c r="I360" s="4" t="n">
        <v>20830.31869078381</v>
      </c>
      <c r="J360" t="inlineStr">
        <is>
          <t>Нежилое помещение</t>
        </is>
      </c>
      <c r="K360" s="5" t="n">
        <v>141.7</v>
      </c>
      <c r="L360" s="4" t="n">
        <v>10415</v>
      </c>
      <c r="M360" t="n">
        <v>147</v>
      </c>
      <c r="O360" t="n">
        <v>2</v>
      </c>
      <c r="P360" s="16" t="n">
        <v>0.2888205421152534</v>
      </c>
      <c r="Q360" t="inlineStr">
        <is>
          <t>EA</t>
        </is>
      </c>
      <c r="R360" t="inlineStr">
        <is>
          <t>М</t>
        </is>
      </c>
      <c r="S360" s="2">
        <f>HYPERLINK("https://yandex.ru/maps/?&amp;text=55.129798, 39.09252", "55.129798, 39.09252")</f>
        <v/>
      </c>
      <c r="T360" s="2">
        <f>HYPERLINK("D:\venv_torgi\env\cache\objs_in_district/55.129798_39.09252.json", "55.129798_39.09252.json")</f>
        <v/>
      </c>
      <c r="U360" t="inlineStr">
        <is>
          <t>50:34:0010808:481</t>
        </is>
      </c>
      <c r="W360" s="17" t="n">
        <v>26846.54262748949</v>
      </c>
      <c r="X360" s="18" t="n">
        <v>6016.223936705675</v>
      </c>
      <c r="Y360" t="n">
        <v>0</v>
      </c>
    </row>
    <row r="361">
      <c r="A361" s="8" t="n">
        <v>359</v>
      </c>
      <c r="B361" t="n">
        <v>50</v>
      </c>
      <c r="C361" s="1" t="n">
        <v>165.5</v>
      </c>
      <c r="D361" s="2">
        <f>HYPERLINK("https://torgi.gov.ru/new/public/lots/lot/21000004710000000785_1/(lotInfo:info)", "21000004710000000785_1")</f>
        <v/>
      </c>
      <c r="E361" t="inlineStr">
        <is>
          <t>Продажа нежилого помещения 165,5 кв.м в г.о. Серпухов</t>
        </is>
      </c>
      <c r="F361" s="3" t="inlineStr">
        <is>
          <t>02.09.22 15:00</t>
        </is>
      </c>
      <c r="G361" t="inlineStr">
        <is>
          <t>Московская обл, г Серпухов, ул Крюкова, д 1, помещ 3</t>
        </is>
      </c>
      <c r="H361" s="4" t="n">
        <v>3525000</v>
      </c>
      <c r="I361" s="4" t="n">
        <v>21299.09365558912</v>
      </c>
      <c r="J361" t="inlineStr">
        <is>
          <t>Нежилое помещение</t>
        </is>
      </c>
      <c r="K361" s="5" t="n">
        <v>13.42</v>
      </c>
      <c r="L361" s="4" t="n">
        <v>2129.9</v>
      </c>
      <c r="M361" t="n">
        <v>1587</v>
      </c>
      <c r="N361" s="6" t="n">
        <v>127041</v>
      </c>
      <c r="O361" t="n">
        <v>10</v>
      </c>
      <c r="P361" s="16" t="n">
        <v>0.2604546964112086</v>
      </c>
      <c r="Q361" t="inlineStr">
        <is>
          <t>EA</t>
        </is>
      </c>
      <c r="R361" t="inlineStr">
        <is>
          <t>М</t>
        </is>
      </c>
      <c r="S361" s="2">
        <f>HYPERLINK("https://yandex.ru/maps/?&amp;text=54.933, 37.37951", "54.933, 37.37951")</f>
        <v/>
      </c>
      <c r="T361" s="2">
        <f>HYPERLINK("D:\venv_torgi\env\cache\objs_in_district/54.933_37.37951.json", "54.933_37.37951.json")</f>
        <v/>
      </c>
      <c r="U361" t="inlineStr">
        <is>
          <t>50:58:0020101:155</t>
        </is>
      </c>
      <c r="V361" s="7" t="inlineStr">
        <is>
          <t>1</t>
        </is>
      </c>
      <c r="W361" s="17" t="n">
        <v>26846.54262748949</v>
      </c>
      <c r="X361" s="18" t="n">
        <v>5547.448971900365</v>
      </c>
      <c r="Y361" t="n">
        <v>0</v>
      </c>
    </row>
    <row r="362">
      <c r="A362" s="8" t="n">
        <v>360</v>
      </c>
      <c r="B362" t="n">
        <v>50</v>
      </c>
      <c r="C362" s="1" t="n">
        <v>358.4</v>
      </c>
      <c r="D362" s="2">
        <f>HYPERLINK("https://torgi.gov.ru/new/public/lots/lot/21000002210000000691_1/(lotInfo:info)", "21000002210000000691_1")</f>
        <v/>
      </c>
      <c r="E362" t="inlineStr">
        <is>
          <t>Помещение, назначение: нежилое, наименование: спортзал, площадью 358,4 кв.м, номер, тип этажа, на котором расположено помещение, машино-место: № 1, адрес объекта: Московская область, г. Зарайск, ул. К. Маркса д. 37, кадастровый номер: 50:38:0070121:129, находящееся в собственности Московской области, о чем в Едином государственном реестре недвижимости 24 сентября 2010 года сделана запись о регистрации №50-50-38/014/2010-200.</t>
        </is>
      </c>
      <c r="F362" s="3" t="inlineStr">
        <is>
          <t>23.09.22 14:00</t>
        </is>
      </c>
      <c r="G362" t="inlineStr">
        <is>
          <t>Московская обл, г Зарайск, ул К.Маркса, д 37</t>
        </is>
      </c>
      <c r="H362" s="4" t="n">
        <v>8135000</v>
      </c>
      <c r="I362" s="4" t="n">
        <v>22698.10267857143</v>
      </c>
      <c r="J362" t="inlineStr">
        <is>
          <t>Нежилое помещение</t>
        </is>
      </c>
      <c r="K362" s="5" t="n">
        <v>12.95</v>
      </c>
      <c r="L362" s="4" t="n">
        <v>310.93</v>
      </c>
      <c r="M362" t="n">
        <v>1753</v>
      </c>
      <c r="N362" s="6" t="n">
        <v>24645</v>
      </c>
      <c r="O362" t="n">
        <v>73</v>
      </c>
      <c r="Q362" t="inlineStr">
        <is>
          <t>PP</t>
        </is>
      </c>
      <c r="R362" t="inlineStr">
        <is>
          <t>М</t>
        </is>
      </c>
      <c r="S362" s="2">
        <f>HYPERLINK("https://yandex.ru/maps/?&amp;text=54.759628, 38.879472", "54.759628, 38.879472")</f>
        <v/>
      </c>
      <c r="T362" s="2">
        <f>HYPERLINK("D:\venv_torgi\env\cache\objs_in_district/54.759628_38.879472.json", "54.759628_38.879472.json")</f>
        <v/>
      </c>
      <c r="U362" t="inlineStr">
        <is>
          <t xml:space="preserve">50:38:0070121:129, </t>
        </is>
      </c>
      <c r="W362" s="17" t="n">
        <v>22194.03728148775</v>
      </c>
      <c r="X362" s="19" t="n">
        <v>-504.0653970836829</v>
      </c>
      <c r="Y362" t="n">
        <v>0</v>
      </c>
    </row>
    <row r="363">
      <c r="A363" s="8" t="n">
        <v>361</v>
      </c>
      <c r="B363" t="n">
        <v>50</v>
      </c>
      <c r="C363" s="1" t="n">
        <v>171.8</v>
      </c>
      <c r="D363" s="2">
        <f>HYPERLINK("https://torgi.gov.ru/new/public/lots/lot/21000004710000002151_1/(lotInfo:info)", "21000004710000002151_1")</f>
        <v/>
      </c>
      <c r="E363" t="inlineStr">
        <is>
          <t>Продажа нежилого помещения 171,8 кв.м. в г.о. Коломна</t>
        </is>
      </c>
      <c r="F363" s="3" t="inlineStr">
        <is>
          <t>15.09.22 15:00</t>
        </is>
      </c>
      <c r="G363" t="inlineStr">
        <is>
          <t>Московская область, р-н. Коломенский, д. Подлужье, ул. Луговая, д. 3, пом. 28</t>
        </is>
      </c>
      <c r="H363" s="4" t="n">
        <v>3975570</v>
      </c>
      <c r="I363" s="4" t="n">
        <v>23140.6868451688</v>
      </c>
      <c r="J363" t="inlineStr">
        <is>
          <t>Нежилое помещение</t>
        </is>
      </c>
      <c r="K363" s="5" t="n">
        <v>122.43</v>
      </c>
      <c r="L363" s="10" t="n"/>
      <c r="M363" t="n">
        <v>189</v>
      </c>
      <c r="N363" s="6" t="n">
        <v>111</v>
      </c>
      <c r="O363" t="inlineStr">
        <is>
          <t>0</t>
        </is>
      </c>
      <c r="P363" s="16" t="n">
        <v>0.1601445889275485</v>
      </c>
      <c r="Q363" t="inlineStr">
        <is>
          <t>EA</t>
        </is>
      </c>
      <c r="R363" t="inlineStr">
        <is>
          <t>М</t>
        </is>
      </c>
      <c r="S363" s="2">
        <f>HYPERLINK("https://yandex.ru/maps/?&amp;text=55.179987, 38.745605", "55.179987, 38.745605")</f>
        <v/>
      </c>
      <c r="T363" s="11">
        <f>HYPERLINK("D:\venv_torgi\env\cache\objs_in_district/55.179987_38.745605.json", "55.179987_38.745605.json")</f>
        <v/>
      </c>
      <c r="U363" t="inlineStr">
        <is>
          <t>50:34:0050113:518</t>
        </is>
      </c>
      <c r="W363" s="17" t="n">
        <v>26846.54262748949</v>
      </c>
      <c r="X363" s="18" t="n">
        <v>3705.855782320687</v>
      </c>
      <c r="Y363" t="n">
        <v>0</v>
      </c>
    </row>
    <row r="364">
      <c r="A364" s="8" t="n">
        <v>362</v>
      </c>
      <c r="B364" t="n">
        <v>50</v>
      </c>
      <c r="C364" s="1" t="n">
        <v>99.2</v>
      </c>
      <c r="D364" s="2">
        <f>HYPERLINK("https://torgi.gov.ru/new/public/lots/lot/21000004710000001785_1/(lotInfo:info)", "21000004710000001785_1")</f>
        <v/>
      </c>
      <c r="E364" t="inlineStr">
        <is>
          <t>Продажа нежилого помещения 99,2 кв.м в г.о. Электросталь</t>
        </is>
      </c>
      <c r="F364" s="3" t="inlineStr">
        <is>
          <t>22.09.22 15:00</t>
        </is>
      </c>
      <c r="G364" t="inlineStr">
        <is>
          <t>Московская обл, г Электросталь, ул Карла Маркса, д 26, помещ 05</t>
        </is>
      </c>
      <c r="H364" s="4" t="n">
        <v>2450000</v>
      </c>
      <c r="I364" s="4" t="n">
        <v>24697.58064516129</v>
      </c>
      <c r="J364" t="inlineStr">
        <is>
          <t>Нежилое помещение</t>
        </is>
      </c>
      <c r="K364" s="5" t="n">
        <v>5.36</v>
      </c>
      <c r="L364" s="4" t="n">
        <v>484.25</v>
      </c>
      <c r="M364" t="n">
        <v>4607</v>
      </c>
      <c r="N364" s="6" t="n">
        <v>161941</v>
      </c>
      <c r="O364" t="n">
        <v>51</v>
      </c>
      <c r="P364" s="16" t="n">
        <v>0.08701103210079869</v>
      </c>
      <c r="Q364" t="inlineStr">
        <is>
          <t>PP</t>
        </is>
      </c>
      <c r="R364" t="inlineStr">
        <is>
          <t>М</t>
        </is>
      </c>
      <c r="S364" s="2">
        <f>HYPERLINK("https://yandex.ru/maps/?&amp;text=55.79628, 38.466183", "55.79628, 38.466183")</f>
        <v/>
      </c>
      <c r="T364" s="2">
        <f>HYPERLINK("D:\venv_torgi\env\cache\objs_in_district/55.79628_38.466183.json", "55.79628_38.466183.json")</f>
        <v/>
      </c>
      <c r="U364" t="inlineStr">
        <is>
          <t>50:46:0000000:5133</t>
        </is>
      </c>
      <c r="W364" s="17" t="n">
        <v>26846.54262748949</v>
      </c>
      <c r="X364" s="18" t="n">
        <v>2148.961982328194</v>
      </c>
      <c r="Y364" t="n">
        <v>0</v>
      </c>
    </row>
    <row r="365">
      <c r="A365" s="8" t="n">
        <v>363</v>
      </c>
      <c r="B365" t="n">
        <v>50</v>
      </c>
      <c r="C365" s="1" t="n">
        <v>154.8</v>
      </c>
      <c r="D365" s="2">
        <f>HYPERLINK("https://torgi.gov.ru/new/public/lots/lot/21000004710000001786_1/(lotInfo:info)", "21000004710000001786_1")</f>
        <v/>
      </c>
      <c r="E365" t="inlineStr">
        <is>
          <t>Продажа нежилого помещения 154,8 кв.м в г.о. Электросталь</t>
        </is>
      </c>
      <c r="F365" s="3" t="inlineStr">
        <is>
          <t>22.09.22 15:00</t>
        </is>
      </c>
      <c r="G365" t="inlineStr">
        <is>
          <t>Московская обл, г Электросталь, ул Первомайская, д 28, помещ 3</t>
        </is>
      </c>
      <c r="H365" s="4" t="n">
        <v>4136000</v>
      </c>
      <c r="I365" s="4" t="n">
        <v>26718.34625322997</v>
      </c>
      <c r="J365" t="inlineStr">
        <is>
          <t>Нежилое помещение</t>
        </is>
      </c>
      <c r="K365" s="5" t="n">
        <v>6.01</v>
      </c>
      <c r="L365" s="4" t="n">
        <v>742.17</v>
      </c>
      <c r="M365" t="n">
        <v>4449</v>
      </c>
      <c r="N365" s="6" t="n">
        <v>161941</v>
      </c>
      <c r="O365" t="n">
        <v>36</v>
      </c>
      <c r="P365" s="16" t="n">
        <v>0.00479806545826229</v>
      </c>
      <c r="Q365" t="inlineStr">
        <is>
          <t>PP</t>
        </is>
      </c>
      <c r="R365" t="inlineStr">
        <is>
          <t>М</t>
        </is>
      </c>
      <c r="S365" s="2">
        <f>HYPERLINK("https://yandex.ru/maps/?&amp;text=55.796005, 38.443806", "55.796005, 38.443806")</f>
        <v/>
      </c>
      <c r="T365" s="2">
        <f>HYPERLINK("D:\venv_torgi\env\cache\objs_in_district/55.796005_38.443806.json", "55.796005_38.443806.json")</f>
        <v/>
      </c>
      <c r="U365" t="inlineStr">
        <is>
          <t>50:46:0010502:1775</t>
        </is>
      </c>
      <c r="W365" s="17" t="n">
        <v>26846.54262748949</v>
      </c>
      <c r="X365" s="18" t="n">
        <v>128.1963742595144</v>
      </c>
      <c r="Y365" t="n">
        <v>0</v>
      </c>
    </row>
    <row r="366">
      <c r="A366" s="8" t="n">
        <v>364</v>
      </c>
      <c r="B366" t="n">
        <v>50</v>
      </c>
      <c r="C366" s="1" t="n">
        <v>283.7</v>
      </c>
      <c r="D366" s="2">
        <f>HYPERLINK("https://torgi.gov.ru/new/public/lots/lot/21000004710000002478_1/(lotInfo:info)", "21000004710000002478_1")</f>
        <v/>
      </c>
      <c r="E366" t="inlineStr">
        <is>
          <t>Продажа нежилого помещения 283,7 кв.м. в г.о. Долгопрудный</t>
        </is>
      </c>
      <c r="F366" s="3" t="inlineStr">
        <is>
          <t>12.09.22 15:00</t>
        </is>
      </c>
      <c r="G366" t="inlineStr">
        <is>
          <t>Московская обл, г Долгопрудный, ул Дирижабельная, д 26</t>
        </is>
      </c>
      <c r="H366" s="4" t="n">
        <v>7981330</v>
      </c>
      <c r="I366" s="4" t="n">
        <v>28132.99259781459</v>
      </c>
      <c r="J366" t="inlineStr">
        <is>
          <t>Нежилое помещение</t>
        </is>
      </c>
      <c r="K366" s="5" t="n">
        <v>4.04</v>
      </c>
      <c r="L366" s="4" t="n">
        <v>370.16</v>
      </c>
      <c r="M366" t="n">
        <v>6966</v>
      </c>
      <c r="N366" s="6" t="n">
        <v>90956</v>
      </c>
      <c r="O366" t="n">
        <v>76</v>
      </c>
      <c r="Q366" t="inlineStr">
        <is>
          <t>PP</t>
        </is>
      </c>
      <c r="R366" t="inlineStr">
        <is>
          <t>М</t>
        </is>
      </c>
      <c r="S366" s="2">
        <f>HYPERLINK("https://yandex.ru/maps/?&amp;text=55.945473, 37.50796", "55.945473, 37.50796")</f>
        <v/>
      </c>
      <c r="T366" s="2">
        <f>HYPERLINK("D:\venv_torgi\env\cache\objs_in_district/55.945473_37.50796.json", "55.945473_37.50796.json")</f>
        <v/>
      </c>
      <c r="U366" t="inlineStr">
        <is>
          <t>50:42:0000000:39346</t>
        </is>
      </c>
      <c r="W366" s="17" t="n">
        <v>22194.03728148775</v>
      </c>
      <c r="X366" s="19" t="n">
        <v>-5938.955316326843</v>
      </c>
      <c r="Y366" t="n">
        <v>0</v>
      </c>
    </row>
    <row r="367">
      <c r="A367" s="8" t="n">
        <v>365</v>
      </c>
      <c r="B367" t="n">
        <v>50</v>
      </c>
      <c r="C367" s="1" t="n">
        <v>101.6</v>
      </c>
      <c r="D367" s="2">
        <f>HYPERLINK("https://torgi.gov.ru/new/public/lots/lot/21000004710000002557_1/(lotInfo:info)", "21000004710000002557_1")</f>
        <v/>
      </c>
      <c r="E367" t="inlineStr">
        <is>
          <t>Продажа нежилого помещения 101,6 кв.м. в г.о. Домодедово</t>
        </is>
      </c>
      <c r="F367" s="3" t="inlineStr">
        <is>
          <t>19.09.22 15:00</t>
        </is>
      </c>
      <c r="G367" t="inlineStr">
        <is>
          <t>Московская область, город Домодедово, микрорайон Белые Столбы, улица Проспект Госфильмофонда, д. ИТР, пом. 01</t>
        </is>
      </c>
      <c r="H367" s="4" t="n">
        <v>2887200</v>
      </c>
      <c r="I367" s="4" t="n">
        <v>28417.32283464567</v>
      </c>
      <c r="J367" t="inlineStr">
        <is>
          <t>Нежилое помещение</t>
        </is>
      </c>
      <c r="K367" s="5" t="n">
        <v>86.64</v>
      </c>
      <c r="L367" s="10" t="n"/>
      <c r="M367" t="n">
        <v>328</v>
      </c>
      <c r="N367" s="6" t="n">
        <v>132754</v>
      </c>
      <c r="O367" t="inlineStr">
        <is>
          <t>0</t>
        </is>
      </c>
      <c r="Q367" t="inlineStr">
        <is>
          <t>EA</t>
        </is>
      </c>
      <c r="R367" t="inlineStr">
        <is>
          <t>М</t>
        </is>
      </c>
      <c r="S367" s="2">
        <f>HYPERLINK("https://yandex.ru/maps/?&amp;text=55.322787, 37.82956", "55.322787, 37.82956")</f>
        <v/>
      </c>
      <c r="T367" s="11">
        <f>HYPERLINK("D:\venv_torgi\env\cache\objs_in_district/55.322787_37.82956.json", "55.322787_37.82956.json")</f>
        <v/>
      </c>
      <c r="U367" t="inlineStr">
        <is>
          <t>50:28:0030241:93</t>
        </is>
      </c>
      <c r="W367" s="17" t="n">
        <v>26846.54262748949</v>
      </c>
      <c r="X367" s="19" t="n">
        <v>-1570.780207156185</v>
      </c>
      <c r="Y367" t="n">
        <v>0</v>
      </c>
    </row>
    <row r="368">
      <c r="A368" s="8" t="n">
        <v>366</v>
      </c>
      <c r="B368" t="n">
        <v>50</v>
      </c>
      <c r="C368" s="1" t="n">
        <v>64.8</v>
      </c>
      <c r="D368" s="2">
        <f>HYPERLINK("https://torgi.gov.ru/new/public/lots/lot/21000004710000002063_1/(lotInfo:info)", "21000004710000002063_1")</f>
        <v/>
      </c>
      <c r="E368" t="inlineStr">
        <is>
          <t>Продажа нежилого помещения 64,8 кв.м. в г.о. Пушкинский</t>
        </is>
      </c>
      <c r="F368" s="3" t="inlineStr">
        <is>
          <t>08.09.22 15:00</t>
        </is>
      </c>
      <c r="G368" t="inlineStr">
        <is>
          <t>Московская обл, г Пушкино, г Ивантеевка, Детский проезд, д 24, помещ 001</t>
        </is>
      </c>
      <c r="H368" s="4" t="n">
        <v>1842000</v>
      </c>
      <c r="I368" s="4" t="n">
        <v>28425.92592592593</v>
      </c>
      <c r="J368" t="inlineStr">
        <is>
          <t>Нежилое помещение</t>
        </is>
      </c>
      <c r="K368" s="5" t="n">
        <v>7.09</v>
      </c>
      <c r="L368" s="4" t="n">
        <v>768.24</v>
      </c>
      <c r="M368" t="n">
        <v>4008</v>
      </c>
      <c r="N368" s="6" t="n">
        <v>58626</v>
      </c>
      <c r="O368" t="n">
        <v>37</v>
      </c>
      <c r="Q368" t="inlineStr">
        <is>
          <t>EA</t>
        </is>
      </c>
      <c r="R368" t="inlineStr">
        <is>
          <t>М</t>
        </is>
      </c>
      <c r="S368" s="2">
        <f>HYPERLINK("https://yandex.ru/maps/?&amp;text=55.97189, 37.9131", "55.97189, 37.9131")</f>
        <v/>
      </c>
      <c r="T368" s="2">
        <f>HYPERLINK("D:\venv_torgi\env\cache\objs_in_district/55.97189_37.9131.json", "55.97189_37.9131.json")</f>
        <v/>
      </c>
      <c r="U368" t="inlineStr">
        <is>
          <t>50:43:0030304:1156</t>
        </is>
      </c>
      <c r="V368" s="7" t="inlineStr">
        <is>
          <t>1</t>
        </is>
      </c>
      <c r="W368" s="17" t="n">
        <v>26846.54262748949</v>
      </c>
      <c r="X368" s="19" t="n">
        <v>-1579.383298436445</v>
      </c>
      <c r="Y368" t="n">
        <v>0</v>
      </c>
    </row>
    <row r="369">
      <c r="A369" s="8" t="n">
        <v>367</v>
      </c>
      <c r="B369" t="n">
        <v>50</v>
      </c>
      <c r="C369" s="1" t="n">
        <v>228.3</v>
      </c>
      <c r="D369" s="2">
        <f>HYPERLINK("https://torgi.gov.ru/new/public/lots/lot/21000004710000002477_1/(lotInfo:info)", "21000004710000002477_1")</f>
        <v/>
      </c>
      <c r="E369" t="inlineStr">
        <is>
          <t>Продажа нежилого помещения 228,3 кв.м. в г.о. Долгопрудный</t>
        </is>
      </c>
      <c r="F369" s="3" t="inlineStr">
        <is>
          <t>12.09.22 15:00</t>
        </is>
      </c>
      <c r="G369" t="inlineStr">
        <is>
          <t>Московская обл, г Долгопрудный, ул Дирижабельная, д 24</t>
        </is>
      </c>
      <c r="H369" s="4" t="n">
        <v>6642850</v>
      </c>
      <c r="I369" s="4" t="n">
        <v>29097.0214629873</v>
      </c>
      <c r="J369" t="inlineStr">
        <is>
          <t>Нежилое помещение</t>
        </is>
      </c>
      <c r="K369" s="5" t="n">
        <v>4.27</v>
      </c>
      <c r="L369" s="4" t="n">
        <v>398.59</v>
      </c>
      <c r="M369" t="n">
        <v>6822</v>
      </c>
      <c r="N369" s="6" t="n">
        <v>90956</v>
      </c>
      <c r="O369" t="n">
        <v>73</v>
      </c>
      <c r="Q369" t="inlineStr">
        <is>
          <t>PP</t>
        </is>
      </c>
      <c r="R369" t="inlineStr">
        <is>
          <t>М</t>
        </is>
      </c>
      <c r="S369" s="2">
        <f>HYPERLINK("https://yandex.ru/maps/?&amp;text=55.94495, 37.508247", "55.94495, 37.508247")</f>
        <v/>
      </c>
      <c r="T369" s="2">
        <f>HYPERLINK("D:\venv_torgi\env\cache\objs_in_district/55.94495_37.508247.json", "55.94495_37.508247.json")</f>
        <v/>
      </c>
      <c r="U369" t="inlineStr">
        <is>
          <t>50:42:0000000:37694</t>
        </is>
      </c>
      <c r="W369" s="17" t="n">
        <v>26846.54262748949</v>
      </c>
      <c r="X369" s="19" t="n">
        <v>-2250.478835497815</v>
      </c>
      <c r="Y369" t="n">
        <v>0</v>
      </c>
    </row>
    <row r="370">
      <c r="A370" s="8" t="n">
        <v>368</v>
      </c>
      <c r="B370" t="n">
        <v>50</v>
      </c>
      <c r="C370" s="1" t="n">
        <v>243.8</v>
      </c>
      <c r="D370" s="2">
        <f>HYPERLINK("https://torgi.gov.ru/new/public/lots/lot/21000004710000001886_1/(lotInfo:info)", "21000004710000001886_1")</f>
        <v/>
      </c>
      <c r="E370" t="inlineStr">
        <is>
          <t>Продажа нежилого помещения 243,8 кв.м. в Богородском г.о.</t>
        </is>
      </c>
      <c r="F370" s="3" t="inlineStr">
        <is>
          <t>27.09.22 15:00</t>
        </is>
      </c>
      <c r="G370" t="inlineStr">
        <is>
          <t>Московская обл, г Ногинск, г Старая Купавна, проезд Текстильщиков, д 3/4, помещ 2</t>
        </is>
      </c>
      <c r="H370" s="4" t="n">
        <v>7520000</v>
      </c>
      <c r="I370" s="4" t="n">
        <v>30844.95488105004</v>
      </c>
      <c r="J370" t="inlineStr">
        <is>
          <t>Нежилое помещение</t>
        </is>
      </c>
      <c r="K370" s="5" t="n">
        <v>10.11</v>
      </c>
      <c r="L370" s="4" t="n">
        <v>642.58</v>
      </c>
      <c r="M370" t="n">
        <v>3051</v>
      </c>
      <c r="N370" s="6" t="n">
        <v>21811</v>
      </c>
      <c r="O370" t="n">
        <v>48</v>
      </c>
      <c r="Q370" t="inlineStr">
        <is>
          <t>EA</t>
        </is>
      </c>
      <c r="R370" t="inlineStr">
        <is>
          <t>М</t>
        </is>
      </c>
      <c r="S370" s="2">
        <f>HYPERLINK("https://yandex.ru/maps/?&amp;text=55.807157, 38.166847", "55.807157, 38.166847")</f>
        <v/>
      </c>
      <c r="T370" s="2">
        <f>HYPERLINK("D:\venv_torgi\env\cache\objs_in_district/55.807157_38.166847.json", "55.807157_38.166847.json")</f>
        <v/>
      </c>
      <c r="U370" t="inlineStr">
        <is>
          <t>50:16:0602003:7604</t>
        </is>
      </c>
      <c r="W370" s="17" t="n">
        <v>26846.54262748949</v>
      </c>
      <c r="X370" s="19" t="n">
        <v>-3998.412253560553</v>
      </c>
      <c r="Y370" t="n">
        <v>0</v>
      </c>
    </row>
    <row r="371">
      <c r="A371" s="8" t="n">
        <v>369</v>
      </c>
      <c r="B371" t="n">
        <v>50</v>
      </c>
      <c r="C371" s="1" t="n">
        <v>30.9</v>
      </c>
      <c r="D371" s="2">
        <f>HYPERLINK("https://torgi.gov.ru/new/public/lots/lot/21000004710000002100_1/(lotInfo:info)", "21000004710000002100_1")</f>
        <v/>
      </c>
      <c r="E371" t="inlineStr">
        <is>
          <t>Продажа нежилого помещения 30,9 кв.м в г.о. Коломна</t>
        </is>
      </c>
      <c r="F371" s="3" t="inlineStr">
        <is>
          <t>05.09.22 15:00</t>
        </is>
      </c>
      <c r="G371" t="inlineStr">
        <is>
          <t>Московская обл, г Коломна, ул Октябрьской революции, д 154, кв 2</t>
        </is>
      </c>
      <c r="H371" s="4" t="n">
        <v>974675</v>
      </c>
      <c r="I371" s="4" t="n">
        <v>31542.88025889968</v>
      </c>
      <c r="J371" t="inlineStr">
        <is>
          <t>Нежилое помещение</t>
        </is>
      </c>
      <c r="K371" s="5" t="n">
        <v>13.88</v>
      </c>
      <c r="L371" s="4" t="n">
        <v>3942.75</v>
      </c>
      <c r="M371" t="n">
        <v>2272</v>
      </c>
      <c r="N371" s="6" t="n">
        <v>144589</v>
      </c>
      <c r="O371" t="n">
        <v>8</v>
      </c>
      <c r="P371" s="16" t="n">
        <v>0.4506715049593961</v>
      </c>
      <c r="Q371" t="inlineStr">
        <is>
          <t>EA</t>
        </is>
      </c>
      <c r="R371" t="inlineStr">
        <is>
          <t>М</t>
        </is>
      </c>
      <c r="S371" s="2">
        <f>HYPERLINK("https://yandex.ru/maps/?&amp;text=55.107061, 38.743359", "55.107061, 38.743359")</f>
        <v/>
      </c>
      <c r="T371" s="2">
        <f>HYPERLINK("D:\venv_torgi\env\cache\objs_in_district/55.107061_38.743359.json", "55.107061_38.743359.json")</f>
        <v/>
      </c>
      <c r="U371" t="inlineStr">
        <is>
          <t>50:57:0000000:7243</t>
        </is>
      </c>
      <c r="W371" s="17" t="n">
        <v>45758.35757593202</v>
      </c>
      <c r="X371" s="18" t="n">
        <v>14215.47731703234</v>
      </c>
      <c r="Y371" t="n">
        <v>0</v>
      </c>
    </row>
    <row r="372">
      <c r="A372" s="8" t="n">
        <v>370</v>
      </c>
      <c r="B372" t="n">
        <v>50</v>
      </c>
      <c r="C372" s="1" t="n">
        <v>149.9</v>
      </c>
      <c r="D372" s="2">
        <f>HYPERLINK("https://torgi.gov.ru/new/public/lots/lot/21000004710000001893_1/(lotInfo:info)", "21000004710000001893_1")</f>
        <v/>
      </c>
      <c r="E372" t="inlineStr">
        <is>
          <t>Продажа нежилого помещения 149,9 кв.м в Богородском г.о.</t>
        </is>
      </c>
      <c r="F372" s="3" t="inlineStr">
        <is>
          <t>27.09.22 15:00</t>
        </is>
      </c>
      <c r="G372" t="inlineStr">
        <is>
          <t>Московская обл, г Ногинск, ул Радченко, д 15, помещ 1</t>
        </is>
      </c>
      <c r="H372" s="4" t="n">
        <v>4860000</v>
      </c>
      <c r="I372" s="4" t="n">
        <v>32421.6144096064</v>
      </c>
      <c r="J372" t="inlineStr">
        <is>
          <t>Нежилое помещение</t>
        </is>
      </c>
      <c r="K372" s="5" t="n">
        <v>17.59</v>
      </c>
      <c r="L372" s="4" t="n">
        <v>1907.12</v>
      </c>
      <c r="M372" t="n">
        <v>1843</v>
      </c>
      <c r="N372" s="6" t="n">
        <v>100072</v>
      </c>
      <c r="O372" t="n">
        <v>17</v>
      </c>
      <c r="Q372" t="inlineStr">
        <is>
          <t>EA</t>
        </is>
      </c>
      <c r="R372" t="inlineStr">
        <is>
          <t>М</t>
        </is>
      </c>
      <c r="S372" s="2">
        <f>HYPERLINK("https://yandex.ru/maps/?&amp;text=55.844337, 38.414143", "55.844337, 38.414143")</f>
        <v/>
      </c>
      <c r="T372" s="2">
        <f>HYPERLINK("D:\venv_torgi\env\cache\objs_in_district/55.844337_38.414143.json", "55.844337_38.414143.json")</f>
        <v/>
      </c>
      <c r="U372" t="inlineStr">
        <is>
          <t>50:16:0302008:3674</t>
        </is>
      </c>
      <c r="W372" s="17" t="n">
        <v>26846.54262748949</v>
      </c>
      <c r="X372" s="19" t="n">
        <v>-5575.071782116916</v>
      </c>
      <c r="Y372" t="n">
        <v>0</v>
      </c>
    </row>
    <row r="373">
      <c r="A373" s="8" t="n">
        <v>371</v>
      </c>
      <c r="B373" t="n">
        <v>50</v>
      </c>
      <c r="C373" s="1" t="n">
        <v>156.6</v>
      </c>
      <c r="D373" s="2">
        <f>HYPERLINK("https://torgi.gov.ru/new/public/lots/lot/21000004710000000858_1/(lotInfo:info)", "21000004710000000858_1")</f>
        <v/>
      </c>
      <c r="E373" t="inlineStr">
        <is>
          <t>Продажа нежилого помещения 156,6 кв.м в г.о. Серпухов</t>
        </is>
      </c>
      <c r="F373" s="3" t="inlineStr">
        <is>
          <t>02.09.22 15:00</t>
        </is>
      </c>
      <c r="G373" t="inlineStr">
        <is>
          <t>Московская обл, г Серпухов, ул Революции, д 21/67</t>
        </is>
      </c>
      <c r="H373" s="4" t="n">
        <v>5149000</v>
      </c>
      <c r="I373" s="4" t="n">
        <v>32879.94891443168</v>
      </c>
      <c r="J373" t="inlineStr">
        <is>
          <t>Нежилое помещение</t>
        </is>
      </c>
      <c r="K373" s="5" t="n">
        <v>8.630000000000001</v>
      </c>
      <c r="L373" s="4" t="n">
        <v>557.27</v>
      </c>
      <c r="M373" t="n">
        <v>3810</v>
      </c>
      <c r="N373" s="6" t="n">
        <v>127041</v>
      </c>
      <c r="O373" t="n">
        <v>59</v>
      </c>
      <c r="Q373" t="inlineStr">
        <is>
          <t>EA</t>
        </is>
      </c>
      <c r="R373" t="inlineStr">
        <is>
          <t>М</t>
        </is>
      </c>
      <c r="S373" s="2">
        <f>HYPERLINK("https://yandex.ru/maps/?&amp;text=54.915839, 37.421874", "54.915839, 37.421874")</f>
        <v/>
      </c>
      <c r="T373" s="2">
        <f>HYPERLINK("D:\venv_torgi\env\cache\objs_in_district/54.915839_37.421874.json", "54.915839_37.421874.json")</f>
        <v/>
      </c>
      <c r="U373" t="inlineStr">
        <is>
          <t>50:58:0100402:377</t>
        </is>
      </c>
      <c r="W373" s="17" t="n">
        <v>26846.54262748949</v>
      </c>
      <c r="X373" s="19" t="n">
        <v>-6033.406286942198</v>
      </c>
      <c r="Y373" t="n">
        <v>0</v>
      </c>
    </row>
    <row r="374">
      <c r="A374" s="8" t="n">
        <v>372</v>
      </c>
      <c r="B374" t="n">
        <v>50</v>
      </c>
      <c r="C374" s="1" t="n">
        <v>82.90000000000001</v>
      </c>
      <c r="D374" s="2">
        <f>HYPERLINK("https://torgi.gov.ru/new/public/lots/lot/21000004710000002573_1/(lotInfo:info)", "21000004710000002573_1")</f>
        <v/>
      </c>
      <c r="E374" t="inlineStr">
        <is>
          <t>Продажа нежилого помещения 82,9 кв.м в Богородском г.о.</t>
        </is>
      </c>
      <c r="F374" s="3" t="inlineStr">
        <is>
          <t>20.09.22 15:00</t>
        </is>
      </c>
      <c r="G374" t="inlineStr">
        <is>
          <t>Московская обл, г Ногинск, ул Октябрьская, д 85</t>
        </is>
      </c>
      <c r="H374" s="4" t="n">
        <v>2750000</v>
      </c>
      <c r="I374" s="4" t="n">
        <v>33172.49698431845</v>
      </c>
      <c r="J374" t="inlineStr">
        <is>
          <t>Нежилое помещение</t>
        </is>
      </c>
      <c r="K374" s="5" t="n">
        <v>45.82</v>
      </c>
      <c r="L374" s="4" t="n">
        <v>3015.64</v>
      </c>
      <c r="M374" t="n">
        <v>724</v>
      </c>
      <c r="N374" s="6" t="n">
        <v>100072</v>
      </c>
      <c r="O374" t="n">
        <v>11</v>
      </c>
      <c r="Q374" t="inlineStr">
        <is>
          <t>EA</t>
        </is>
      </c>
      <c r="R374" t="inlineStr">
        <is>
          <t>М</t>
        </is>
      </c>
      <c r="S374" s="2">
        <f>HYPERLINK("https://yandex.ru/maps/?&amp;text=55.852077, 38.494938", "55.852077, 38.494938")</f>
        <v/>
      </c>
      <c r="T374" s="2">
        <f>HYPERLINK("D:\venv_torgi\env\cache\objs_in_district/55.852077_38.494938.json", "55.852077_38.494938.json")</f>
        <v/>
      </c>
      <c r="U374" t="inlineStr">
        <is>
          <t>50:16:0302020:3410</t>
        </is>
      </c>
      <c r="W374" s="17" t="n">
        <v>26846.54262748949</v>
      </c>
      <c r="X374" s="19" t="n">
        <v>-6325.954356828966</v>
      </c>
      <c r="Y374" t="n">
        <v>0</v>
      </c>
    </row>
    <row r="375">
      <c r="A375" s="8" t="n">
        <v>373</v>
      </c>
      <c r="B375" t="n">
        <v>50</v>
      </c>
      <c r="C375" s="1" t="n">
        <v>74.2</v>
      </c>
      <c r="D375" s="2">
        <f>HYPERLINK("https://torgi.gov.ru/new/public/lots/lot/21000004710000001885_1/(lotInfo:info)", "21000004710000001885_1")</f>
        <v/>
      </c>
      <c r="E375" t="inlineStr">
        <is>
          <t>Продажа нежилого помещения 74,2 кв.м. в Богородском г.о.</t>
        </is>
      </c>
      <c r="F375" s="3" t="inlineStr">
        <is>
          <t>27.09.22 15:00</t>
        </is>
      </c>
      <c r="G375" t="inlineStr">
        <is>
          <t>Московская обл, г Ногинск, ул Декабристов, д 108</t>
        </is>
      </c>
      <c r="H375" s="4" t="n">
        <v>2640000</v>
      </c>
      <c r="I375" s="4" t="n">
        <v>35579.51482479784</v>
      </c>
      <c r="J375" t="inlineStr">
        <is>
          <t>Нежилое помещение</t>
        </is>
      </c>
      <c r="K375" s="5" t="n">
        <v>11.37</v>
      </c>
      <c r="L375" s="4" t="n">
        <v>2371.93</v>
      </c>
      <c r="M375" t="n">
        <v>3129</v>
      </c>
      <c r="N375" s="6" t="n">
        <v>100072</v>
      </c>
      <c r="O375" t="n">
        <v>15</v>
      </c>
      <c r="Q375" t="inlineStr">
        <is>
          <t>EA</t>
        </is>
      </c>
      <c r="R375" t="inlineStr">
        <is>
          <t>М</t>
        </is>
      </c>
      <c r="S375" s="2">
        <f>HYPERLINK("https://yandex.ru/maps/?&amp;text=55.877705, 38.431175", "55.877705, 38.431175")</f>
        <v/>
      </c>
      <c r="T375" s="2">
        <f>HYPERLINK("D:\venv_torgi\env\cache\objs_in_district/55.877705_38.431175.json", "55.877705_38.431175.json")</f>
        <v/>
      </c>
      <c r="U375" t="inlineStr">
        <is>
          <t>50:16:0000000:66901</t>
        </is>
      </c>
      <c r="W375" s="17" t="n">
        <v>26846.54262748949</v>
      </c>
      <c r="X375" s="19" t="n">
        <v>-8732.972197308358</v>
      </c>
      <c r="Y375" t="n">
        <v>0</v>
      </c>
    </row>
    <row r="376">
      <c r="A376" s="8" t="n">
        <v>374</v>
      </c>
      <c r="B376" t="n">
        <v>50</v>
      </c>
      <c r="C376" s="1" t="n">
        <v>48.6</v>
      </c>
      <c r="D376" s="2">
        <f>HYPERLINK("https://torgi.gov.ru/new/public/lots/lot/21000004710000002219_1/(lotInfo:info)", "21000004710000002219_1")</f>
        <v/>
      </c>
      <c r="E376" t="inlineStr">
        <is>
          <t>Продажа нежилого помещения 48,6 кв.м в г.о. Пушкинский</t>
        </is>
      </c>
      <c r="F376" s="3" t="inlineStr">
        <is>
          <t>15.09.22 15:00</t>
        </is>
      </c>
      <c r="G376" t="inlineStr">
        <is>
          <t>Московская обл, г Пушкино, г Ивантеевка, ул Карла Маркса, д 1, помещ 197</t>
        </is>
      </c>
      <c r="H376" s="4" t="n">
        <v>1885500</v>
      </c>
      <c r="I376" s="4" t="n">
        <v>38796.29629629629</v>
      </c>
      <c r="J376" t="inlineStr">
        <is>
          <t>Нежилое помещение</t>
        </is>
      </c>
      <c r="K376" s="5" t="n">
        <v>9.449999999999999</v>
      </c>
      <c r="L376" s="4" t="n">
        <v>881.73</v>
      </c>
      <c r="M376" t="n">
        <v>4104</v>
      </c>
      <c r="N376" s="6" t="n">
        <v>58626</v>
      </c>
      <c r="O376" t="n">
        <v>44</v>
      </c>
      <c r="P376" s="16" t="n">
        <v>0.1794516988545725</v>
      </c>
      <c r="Q376" t="inlineStr">
        <is>
          <t>EA</t>
        </is>
      </c>
      <c r="R376" t="inlineStr">
        <is>
          <t>М</t>
        </is>
      </c>
      <c r="S376" s="2">
        <f>HYPERLINK("https://yandex.ru/maps/?&amp;text=55.967567, 37.916163", "55.967567, 37.916163")</f>
        <v/>
      </c>
      <c r="T376" s="2">
        <f>HYPERLINK("D:\venv_torgi\env\cache\objs_in_district/55.967567_37.916163.json", "55.967567_37.916163.json")</f>
        <v/>
      </c>
      <c r="U376" t="inlineStr">
        <is>
          <t>50:43:0020301:649</t>
        </is>
      </c>
      <c r="W376" s="17" t="n">
        <v>45758.35757593202</v>
      </c>
      <c r="X376" s="18" t="n">
        <v>6962.061279635731</v>
      </c>
      <c r="Y376" t="n">
        <v>0</v>
      </c>
    </row>
    <row r="377">
      <c r="A377" s="8" t="n">
        <v>375</v>
      </c>
      <c r="B377" t="n">
        <v>50</v>
      </c>
      <c r="C377" s="1" t="n">
        <v>74.59999999999999</v>
      </c>
      <c r="D377" s="2">
        <f>HYPERLINK("https://torgi.gov.ru/new/public/lots/lot/21000004710000001510_1/(lotInfo:info)", "21000004710000001510_1")</f>
        <v/>
      </c>
      <c r="E377" t="inlineStr">
        <is>
          <t>Продажа нежилого помещения 74,6 кв.м. в г.о. Электрогорск</t>
        </is>
      </c>
      <c r="F377" s="3" t="inlineStr">
        <is>
          <t>02.09.22 15:00</t>
        </is>
      </c>
      <c r="G377" t="inlineStr">
        <is>
          <t>Московская обл, г Электрогорск, ул Советская, д 35, помещ 8</t>
        </is>
      </c>
      <c r="H377" s="4" t="n">
        <v>3044600</v>
      </c>
      <c r="I377" s="4" t="n">
        <v>40812.33243967828</v>
      </c>
      <c r="J377" t="inlineStr">
        <is>
          <t>Нежилое помещение</t>
        </is>
      </c>
      <c r="K377" s="5" t="n">
        <v>15.02</v>
      </c>
      <c r="L377" s="4" t="n">
        <v>1700.5</v>
      </c>
      <c r="M377" t="n">
        <v>2718</v>
      </c>
      <c r="N377" s="6" t="n">
        <v>22480</v>
      </c>
      <c r="O377" t="n">
        <v>24</v>
      </c>
      <c r="Q377" t="inlineStr">
        <is>
          <t>EA</t>
        </is>
      </c>
      <c r="R377" t="inlineStr">
        <is>
          <t>М</t>
        </is>
      </c>
      <c r="S377" s="2">
        <f>HYPERLINK("https://yandex.ru/maps/?&amp;text=55.868945, 38.782292", "55.868945, 38.782292")</f>
        <v/>
      </c>
      <c r="T377" s="2">
        <f>HYPERLINK("D:\venv_torgi\env\cache\objs_in_district/55.868945_38.782292.json", "55.868945_38.782292.json")</f>
        <v/>
      </c>
      <c r="U377" t="inlineStr">
        <is>
          <t>50:17:0011505:498</t>
        </is>
      </c>
      <c r="W377" s="17" t="n">
        <v>26846.54262748949</v>
      </c>
      <c r="X377" s="19" t="n">
        <v>-13965.78981218879</v>
      </c>
      <c r="Y377" t="n">
        <v>0</v>
      </c>
    </row>
    <row r="378">
      <c r="A378" s="8" t="n">
        <v>376</v>
      </c>
      <c r="B378" t="n">
        <v>50</v>
      </c>
      <c r="C378" s="1" t="n">
        <v>19.9</v>
      </c>
      <c r="D378" s="2">
        <f>HYPERLINK("https://torgi.gov.ru/new/public/lots/lot/21000004710000002479_1/(lotInfo:info)", "21000004710000002479_1")</f>
        <v/>
      </c>
      <c r="E378" t="inlineStr">
        <is>
          <t>Продажа нежилого помещения 19,9 кв.м. в  г.о. Химки</t>
        </is>
      </c>
      <c r="F378" s="3" t="inlineStr">
        <is>
          <t>12.09.22 15:00</t>
        </is>
      </c>
      <c r="G378" t="inlineStr">
        <is>
          <t>Московская обл, г Химки, ул Союзная, д 4</t>
        </is>
      </c>
      <c r="H378" s="4" t="n">
        <v>824917</v>
      </c>
      <c r="I378" s="4" t="n">
        <v>41453.11557788945</v>
      </c>
      <c r="J378" t="inlineStr">
        <is>
          <t>Нежилое помещение</t>
        </is>
      </c>
      <c r="K378" s="5" t="n">
        <v>15.4</v>
      </c>
      <c r="L378" s="4" t="n">
        <v>829.0599999999999</v>
      </c>
      <c r="M378" t="n">
        <v>2691</v>
      </c>
      <c r="N378" s="6" t="n">
        <v>207425</v>
      </c>
      <c r="O378" t="n">
        <v>50</v>
      </c>
      <c r="P378" s="16" t="n">
        <v>0.1038581042226638</v>
      </c>
      <c r="Q378" t="inlineStr">
        <is>
          <t>EA</t>
        </is>
      </c>
      <c r="R378" t="inlineStr">
        <is>
          <t>М</t>
        </is>
      </c>
      <c r="S378" s="2">
        <f>HYPERLINK("https://yandex.ru/maps/?&amp;text=55.895358, 37.436319", "55.895358, 37.436319")</f>
        <v/>
      </c>
      <c r="T378" s="2">
        <f>HYPERLINK("D:\venv_torgi\env\cache\objs_in_district/55.895358_37.436319.json", "55.895358_37.436319.json")</f>
        <v/>
      </c>
      <c r="U378" t="inlineStr">
        <is>
          <t>50:10:0000000:9894</t>
        </is>
      </c>
      <c r="W378" s="17" t="n">
        <v>45758.35757593202</v>
      </c>
      <c r="X378" s="18" t="n">
        <v>4305.241998042569</v>
      </c>
      <c r="Y378" t="n">
        <v>0</v>
      </c>
    </row>
    <row r="379">
      <c r="A379" s="8" t="n">
        <v>377</v>
      </c>
      <c r="B379" t="n">
        <v>50</v>
      </c>
      <c r="C379" s="1" t="n">
        <v>19.3</v>
      </c>
      <c r="D379" s="2">
        <f>HYPERLINK("https://torgi.gov.ru/new/public/lots/lot/21000004710000002481_1/(lotInfo:info)", "21000004710000002481_1")</f>
        <v/>
      </c>
      <c r="E379" t="inlineStr">
        <is>
          <t>Продажа нежилого помещения 19,3 кв.м. в г.о. Химки</t>
        </is>
      </c>
      <c r="F379" s="3" t="inlineStr">
        <is>
          <t>12.09.22 15:00</t>
        </is>
      </c>
      <c r="G379" t="inlineStr">
        <is>
          <t>Московская обл, г Химки, ул Союзная, стр 4, помещ 152</t>
        </is>
      </c>
      <c r="H379" s="4" t="n">
        <v>824917</v>
      </c>
      <c r="I379" s="4" t="n">
        <v>42741.81347150259</v>
      </c>
      <c r="J379" t="inlineStr">
        <is>
          <t>Нежилое помещение</t>
        </is>
      </c>
      <c r="K379" s="5" t="n">
        <v>15.23</v>
      </c>
      <c r="L379" s="4" t="n">
        <v>777.11</v>
      </c>
      <c r="M379" t="n">
        <v>2806</v>
      </c>
      <c r="N379" s="6" t="n">
        <v>207425</v>
      </c>
      <c r="O379" t="n">
        <v>55</v>
      </c>
      <c r="P379" s="16" t="n">
        <v>0.07057595032650327</v>
      </c>
      <c r="Q379" t="inlineStr">
        <is>
          <t>EA</t>
        </is>
      </c>
      <c r="R379" t="inlineStr">
        <is>
          <t>М</t>
        </is>
      </c>
      <c r="S379" s="2">
        <f>HYPERLINK("https://yandex.ru/maps/?&amp;text=55.896731, 37.444665", "55.896731, 37.444665")</f>
        <v/>
      </c>
      <c r="T379" s="2">
        <f>HYPERLINK("D:\venv_torgi\env\cache\objs_in_district/55.896731_37.444665.json", "55.896731_37.444665.json")</f>
        <v/>
      </c>
      <c r="U379" t="inlineStr">
        <is>
          <t>50:10:0000000:9893</t>
        </is>
      </c>
      <c r="W379" s="17" t="n">
        <v>45758.35757593202</v>
      </c>
      <c r="X379" s="18" t="n">
        <v>3016.544104429435</v>
      </c>
      <c r="Y379" t="n">
        <v>0</v>
      </c>
    </row>
    <row r="380">
      <c r="A380" s="8" t="n">
        <v>378</v>
      </c>
      <c r="B380" t="n">
        <v>50</v>
      </c>
      <c r="C380" s="1" t="n">
        <v>12.6</v>
      </c>
      <c r="D380" s="2">
        <f>HYPERLINK("https://torgi.gov.ru/new/public/lots/lot/21000004710000001878_1/(lotInfo:info)", "21000004710000001878_1")</f>
        <v/>
      </c>
      <c r="E380" t="inlineStr">
        <is>
          <t>Продажа нежилого помещения (машино-место) 12,6 кв.м. в г.о. Подольск</t>
        </is>
      </c>
      <c r="F380" s="3" t="inlineStr">
        <is>
          <t>29.09.22 15:00</t>
        </is>
      </c>
      <c r="G380" t="inlineStr">
        <is>
          <t>Московская область, город Подольск, улица Рабочая, дом 4</t>
        </is>
      </c>
      <c r="H380" s="4" t="n">
        <v>588000</v>
      </c>
      <c r="I380" s="4" t="n">
        <v>46666.66666666667</v>
      </c>
      <c r="J380" t="inlineStr">
        <is>
          <t>Нежилое помещение</t>
        </is>
      </c>
      <c r="K380" s="5" t="n">
        <v>8.56</v>
      </c>
      <c r="L380" s="4" t="n">
        <v>536.39</v>
      </c>
      <c r="M380" t="n">
        <v>5454</v>
      </c>
      <c r="N380" s="6" t="n">
        <v>279085</v>
      </c>
      <c r="O380" t="n">
        <v>87</v>
      </c>
      <c r="Q380" t="inlineStr">
        <is>
          <t>EA</t>
        </is>
      </c>
      <c r="R380" t="inlineStr">
        <is>
          <t>М</t>
        </is>
      </c>
      <c r="S380" s="2">
        <f>HYPERLINK("https://yandex.ru/maps/?&amp;text=55.429175, 37.553513", "55.429175, 37.553513")</f>
        <v/>
      </c>
      <c r="T380" s="2">
        <f>HYPERLINK("D:\venv_torgi\env\cache\objs_in_district/55.429175_37.553513.json", "55.429175_37.553513.json")</f>
        <v/>
      </c>
      <c r="U380" t="inlineStr">
        <is>
          <t>50:55:0030321:581</t>
        </is>
      </c>
      <c r="W380" s="17" t="n">
        <v>45758.35757593202</v>
      </c>
      <c r="X380" s="19" t="n">
        <v>-908.3090907346486</v>
      </c>
      <c r="Y380" t="n">
        <v>0</v>
      </c>
    </row>
    <row r="381">
      <c r="A381" s="8" t="n">
        <v>379</v>
      </c>
      <c r="B381" t="n">
        <v>50</v>
      </c>
      <c r="C381" s="1" t="n">
        <v>12.6</v>
      </c>
      <c r="D381" s="2">
        <f>HYPERLINK("https://torgi.gov.ru/new/public/lots/lot/21000004710000001872_1/(lotInfo:info)", "21000004710000001872_1")</f>
        <v/>
      </c>
      <c r="E381" t="inlineStr">
        <is>
          <t>Продажа нежилого помещения (машино-место) 12,6 кв.м в г.о. Подольск</t>
        </is>
      </c>
      <c r="F381" s="3" t="inlineStr">
        <is>
          <t>29.09.22 15:00</t>
        </is>
      </c>
      <c r="G381" t="inlineStr">
        <is>
          <t>Московская область, город Подольск, улица Рабочая, дом 4</t>
        </is>
      </c>
      <c r="H381" s="4" t="n">
        <v>588000</v>
      </c>
      <c r="I381" s="4" t="n">
        <v>46666.66666666667</v>
      </c>
      <c r="J381" t="inlineStr">
        <is>
          <t>Нежилое помещение</t>
        </is>
      </c>
      <c r="K381" s="5" t="n">
        <v>8.56</v>
      </c>
      <c r="L381" s="4" t="n">
        <v>536.39</v>
      </c>
      <c r="M381" t="n">
        <v>5454</v>
      </c>
      <c r="N381" s="6" t="n">
        <v>279085</v>
      </c>
      <c r="O381" t="n">
        <v>87</v>
      </c>
      <c r="Q381" t="inlineStr">
        <is>
          <t>EA</t>
        </is>
      </c>
      <c r="R381" t="inlineStr">
        <is>
          <t>М</t>
        </is>
      </c>
      <c r="S381" s="2">
        <f>HYPERLINK("https://yandex.ru/maps/?&amp;text=55.429175, 37.553513", "55.429175, 37.553513")</f>
        <v/>
      </c>
      <c r="T381" s="2">
        <f>HYPERLINK("D:\venv_torgi\env\cache\objs_in_district/55.429175_37.553513.json", "55.429175_37.553513.json")</f>
        <v/>
      </c>
      <c r="U381" t="inlineStr">
        <is>
          <t>50:55:0030321:582</t>
        </is>
      </c>
      <c r="W381" s="17" t="n">
        <v>45758.35757593202</v>
      </c>
      <c r="X381" s="19" t="n">
        <v>-908.3090907346486</v>
      </c>
      <c r="Y381" t="n">
        <v>0</v>
      </c>
    </row>
    <row r="382">
      <c r="A382" s="8" t="n">
        <v>380</v>
      </c>
      <c r="B382" t="n">
        <v>50</v>
      </c>
      <c r="C382" s="1" t="n">
        <v>12.8</v>
      </c>
      <c r="D382" s="2">
        <f>HYPERLINK("https://torgi.gov.ru/new/public/lots/lot/21000004710000002049_1/(lotInfo:info)", "21000004710000002049_1")</f>
        <v/>
      </c>
      <c r="E382" t="inlineStr">
        <is>
          <t>Продажа нежилого помещения (машино-место) 12,8 кв.м в г.о. Подольск</t>
        </is>
      </c>
      <c r="F382" s="3" t="inlineStr">
        <is>
          <t>05.10.22 15:00</t>
        </is>
      </c>
      <c r="G382" t="inlineStr">
        <is>
          <t>Московская область, город Подольск, улица Рабочая, дом 4</t>
        </is>
      </c>
      <c r="H382" s="4" t="n">
        <v>598000</v>
      </c>
      <c r="I382" s="4" t="n">
        <v>46718.75</v>
      </c>
      <c r="J382" t="inlineStr">
        <is>
          <t>Нежилое помещение</t>
        </is>
      </c>
      <c r="K382" s="5" t="n">
        <v>8.57</v>
      </c>
      <c r="L382" s="4" t="n">
        <v>536.99</v>
      </c>
      <c r="M382" t="n">
        <v>5454</v>
      </c>
      <c r="N382" s="6" t="n">
        <v>279085</v>
      </c>
      <c r="O382" t="n">
        <v>87</v>
      </c>
      <c r="Q382" t="inlineStr">
        <is>
          <t>EA</t>
        </is>
      </c>
      <c r="R382" t="inlineStr">
        <is>
          <t>М</t>
        </is>
      </c>
      <c r="S382" s="2">
        <f>HYPERLINK("https://yandex.ru/maps/?&amp;text=55.429175, 37.553513", "55.429175, 37.553513")</f>
        <v/>
      </c>
      <c r="T382" s="2">
        <f>HYPERLINK("D:\venv_torgi\env\cache\objs_in_district/55.429175_37.553513.json", "55.429175_37.553513.json")</f>
        <v/>
      </c>
      <c r="U382" t="inlineStr">
        <is>
          <t>50:55:0030321:588</t>
        </is>
      </c>
      <c r="W382" s="17" t="n">
        <v>45758.35757593202</v>
      </c>
      <c r="X382" s="19" t="n">
        <v>-960.3924240679771</v>
      </c>
      <c r="Y382" t="n">
        <v>0</v>
      </c>
    </row>
    <row r="383">
      <c r="A383" s="8" t="n">
        <v>381</v>
      </c>
      <c r="B383" t="n">
        <v>50</v>
      </c>
      <c r="C383" s="1" t="n">
        <v>12.8</v>
      </c>
      <c r="D383" s="2">
        <f>HYPERLINK("https://torgi.gov.ru/new/public/lots/lot/21000004710000002047_1/(lotInfo:info)", "21000004710000002047_1")</f>
        <v/>
      </c>
      <c r="E383" t="inlineStr">
        <is>
          <t>Продажа нежилого помещения (машино-место) 12,8 кв.м в г.о. Подольск</t>
        </is>
      </c>
      <c r="F383" s="3" t="inlineStr">
        <is>
          <t>05.10.22 15:00</t>
        </is>
      </c>
      <c r="G383" t="inlineStr">
        <is>
          <t>Московская область, город Подольск, улица Рабочая, дом 4</t>
        </is>
      </c>
      <c r="H383" s="4" t="n">
        <v>598000</v>
      </c>
      <c r="I383" s="4" t="n">
        <v>46718.75</v>
      </c>
      <c r="J383" t="inlineStr">
        <is>
          <t>Нежилое помещение</t>
        </is>
      </c>
      <c r="K383" s="5" t="n">
        <v>8.57</v>
      </c>
      <c r="L383" s="4" t="n">
        <v>536.99</v>
      </c>
      <c r="M383" t="n">
        <v>5454</v>
      </c>
      <c r="N383" s="6" t="n">
        <v>279085</v>
      </c>
      <c r="O383" t="n">
        <v>87</v>
      </c>
      <c r="Q383" t="inlineStr">
        <is>
          <t>EA</t>
        </is>
      </c>
      <c r="R383" t="inlineStr">
        <is>
          <t>М</t>
        </is>
      </c>
      <c r="S383" s="2">
        <f>HYPERLINK("https://yandex.ru/maps/?&amp;text=55.429175, 37.553513", "55.429175, 37.553513")</f>
        <v/>
      </c>
      <c r="T383" s="2">
        <f>HYPERLINK("D:\venv_torgi\env\cache\objs_in_district/55.429175_37.553513.json", "55.429175_37.553513.json")</f>
        <v/>
      </c>
      <c r="U383" t="inlineStr">
        <is>
          <t>50:55:0030321:587</t>
        </is>
      </c>
      <c r="W383" s="17" t="n">
        <v>45758.35757593202</v>
      </c>
      <c r="X383" s="19" t="n">
        <v>-960.3924240679771</v>
      </c>
      <c r="Y383" t="n">
        <v>0</v>
      </c>
    </row>
    <row r="384">
      <c r="A384" s="8" t="n">
        <v>382</v>
      </c>
      <c r="B384" t="n">
        <v>50</v>
      </c>
      <c r="C384" s="1" t="n">
        <v>12.8</v>
      </c>
      <c r="D384" s="2">
        <f>HYPERLINK("https://torgi.gov.ru/new/public/lots/lot/21000004710000001975_1/(lotInfo:info)", "21000004710000001975_1")</f>
        <v/>
      </c>
      <c r="E384" t="inlineStr">
        <is>
          <t>Продажа нежилого помещения (машино-место) 12,8 кв.м в г.о. Подольск</t>
        </is>
      </c>
      <c r="F384" s="3" t="inlineStr">
        <is>
          <t>05.10.22 15:00</t>
        </is>
      </c>
      <c r="G384" t="inlineStr">
        <is>
          <t>Московская область, город Подольск, улица Рабочая, дом 4</t>
        </is>
      </c>
      <c r="H384" s="4" t="n">
        <v>598000</v>
      </c>
      <c r="I384" s="4" t="n">
        <v>46718.75</v>
      </c>
      <c r="J384" t="inlineStr">
        <is>
          <t>Нежилое помещение</t>
        </is>
      </c>
      <c r="K384" s="5" t="n">
        <v>8.57</v>
      </c>
      <c r="L384" s="4" t="n">
        <v>536.99</v>
      </c>
      <c r="M384" t="n">
        <v>5454</v>
      </c>
      <c r="N384" s="6" t="n">
        <v>279085</v>
      </c>
      <c r="O384" t="n">
        <v>87</v>
      </c>
      <c r="Q384" t="inlineStr">
        <is>
          <t>EA</t>
        </is>
      </c>
      <c r="R384" t="inlineStr">
        <is>
          <t>М</t>
        </is>
      </c>
      <c r="S384" s="2">
        <f>HYPERLINK("https://yandex.ru/maps/?&amp;text=55.429175, 37.553513", "55.429175, 37.553513")</f>
        <v/>
      </c>
      <c r="T384" s="2">
        <f>HYPERLINK("D:\venv_torgi\env\cache\objs_in_district/55.429175_37.553513.json", "55.429175_37.553513.json")</f>
        <v/>
      </c>
      <c r="U384" t="inlineStr">
        <is>
          <t>50:55:0030321:584</t>
        </is>
      </c>
      <c r="W384" s="17" t="n">
        <v>45758.35757593202</v>
      </c>
      <c r="X384" s="19" t="n">
        <v>-960.3924240679771</v>
      </c>
      <c r="Y384" t="n">
        <v>0</v>
      </c>
    </row>
    <row r="385">
      <c r="A385" s="8" t="n">
        <v>383</v>
      </c>
      <c r="B385" t="n">
        <v>50</v>
      </c>
      <c r="C385" s="1" t="n">
        <v>29.6</v>
      </c>
      <c r="D385" s="2">
        <f>HYPERLINK("https://torgi.gov.ru/new/public/lots/lot/21000004710000001894_1/(lotInfo:info)", "21000004710000001894_1")</f>
        <v/>
      </c>
      <c r="E385" t="inlineStr">
        <is>
          <t>Продажа нежилого помещения 29,6 кв.м в Богородском г.о.</t>
        </is>
      </c>
      <c r="F385" s="3" t="inlineStr">
        <is>
          <t>27.09.22 15:00</t>
        </is>
      </c>
      <c r="G385" t="inlineStr">
        <is>
          <t>Московская обл, г Ногинск, ул Московская, д 3</t>
        </is>
      </c>
      <c r="H385" s="4" t="n">
        <v>1600000</v>
      </c>
      <c r="I385" s="4" t="n">
        <v>54054.05405405405</v>
      </c>
      <c r="J385" t="inlineStr">
        <is>
          <t>Нежилое помещение</t>
        </is>
      </c>
      <c r="K385" s="5" t="n">
        <v>62.56</v>
      </c>
      <c r="L385" s="4" t="n">
        <v>3003</v>
      </c>
      <c r="M385" t="n">
        <v>864</v>
      </c>
      <c r="N385" s="6" t="n">
        <v>100072</v>
      </c>
      <c r="O385" t="n">
        <v>18</v>
      </c>
      <c r="Q385" t="inlineStr">
        <is>
          <t>EA</t>
        </is>
      </c>
      <c r="R385" t="inlineStr">
        <is>
          <t>М</t>
        </is>
      </c>
      <c r="S385" s="2">
        <f>HYPERLINK("https://yandex.ru/maps/?&amp;text=55.83291, 38.478302", "55.83291, 38.478302")</f>
        <v/>
      </c>
      <c r="T385" s="2">
        <f>HYPERLINK("D:\venv_torgi\env\cache\objs_in_district/55.83291_38.478302.json", "55.83291_38.478302.json")</f>
        <v/>
      </c>
      <c r="U385" t="inlineStr">
        <is>
          <t>50:16:0402019:595</t>
        </is>
      </c>
      <c r="W385" s="17" t="n">
        <v>45758.35757593202</v>
      </c>
      <c r="X385" s="19" t="n">
        <v>-8295.69647812203</v>
      </c>
      <c r="Y385" t="n">
        <v>0</v>
      </c>
    </row>
    <row r="386">
      <c r="A386" s="8" t="n">
        <v>384</v>
      </c>
      <c r="B386" t="n">
        <v>50</v>
      </c>
      <c r="C386" s="1" t="n">
        <v>26.6</v>
      </c>
      <c r="D386" s="2">
        <f>HYPERLINK("https://torgi.gov.ru/new/public/lots/lot/21000004710000001892_1/(lotInfo:info)", "21000004710000001892_1")</f>
        <v/>
      </c>
      <c r="E386" t="inlineStr">
        <is>
          <t>Продажа нежилого помещения 26,6 кв.м в Богородском г.о.</t>
        </is>
      </c>
      <c r="F386" s="3" t="inlineStr">
        <is>
          <t>27.09.22 15:00</t>
        </is>
      </c>
      <c r="G386" t="inlineStr">
        <is>
          <t>Московская обл, г Ногинск, Рузинский проезд, д 4</t>
        </is>
      </c>
      <c r="H386" s="4" t="n">
        <v>1470000</v>
      </c>
      <c r="I386" s="4" t="n">
        <v>55263.15789473684</v>
      </c>
      <c r="J386" t="inlineStr">
        <is>
          <t>Нежилое помещение</t>
        </is>
      </c>
      <c r="K386" s="5" t="n">
        <v>22.81</v>
      </c>
      <c r="L386" s="4" t="n">
        <v>4251</v>
      </c>
      <c r="M386" t="n">
        <v>2423</v>
      </c>
      <c r="N386" s="6" t="n">
        <v>100072</v>
      </c>
      <c r="O386" t="n">
        <v>13</v>
      </c>
      <c r="Q386" t="inlineStr">
        <is>
          <t>EA</t>
        </is>
      </c>
      <c r="R386" t="inlineStr">
        <is>
          <t>М</t>
        </is>
      </c>
      <c r="S386" s="2">
        <f>HYPERLINK("https://yandex.ru/maps/?&amp;text=55.889523, 38.48255", "55.889523, 38.48255")</f>
        <v/>
      </c>
      <c r="T386" s="2">
        <f>HYPERLINK("D:\venv_torgi\env\cache\objs_in_district/55.889523_38.48255.json", "55.889523_38.48255.json")</f>
        <v/>
      </c>
      <c r="U386" t="inlineStr">
        <is>
          <t>50:16:0301004:2950</t>
        </is>
      </c>
      <c r="W386" s="17" t="n">
        <v>45758.35757593202</v>
      </c>
      <c r="X386" s="19" t="n">
        <v>-9504.800318804817</v>
      </c>
      <c r="Y386" t="n">
        <v>0</v>
      </c>
    </row>
    <row r="387">
      <c r="A387" s="8" t="n">
        <v>385</v>
      </c>
      <c r="B387" t="n">
        <v>50</v>
      </c>
      <c r="C387" s="1" t="n">
        <v>35.4</v>
      </c>
      <c r="D387" s="2">
        <f>HYPERLINK("https://torgi.gov.ru/new/public/lots/lot/21000004710000001895_1/(lotInfo:info)", "21000004710000001895_1")</f>
        <v/>
      </c>
      <c r="E387" t="inlineStr">
        <is>
          <t>Продажа нежилого помещения 35,4 кв.м в г.о. Лыткарино</t>
        </is>
      </c>
      <c r="F387" s="3" t="inlineStr">
        <is>
          <t>28.09.22 15:00</t>
        </is>
      </c>
      <c r="G387" t="inlineStr">
        <is>
          <t>Московская область, городской округ Лыткарино, город Лыткарино, ул. Октябрьская, дом 12 помещение II-I</t>
        </is>
      </c>
      <c r="H387" s="4" t="n">
        <v>2000000</v>
      </c>
      <c r="I387" s="4" t="n">
        <v>56497.17514124294</v>
      </c>
      <c r="J387" t="inlineStr">
        <is>
          <t>Нежилое помещение</t>
        </is>
      </c>
      <c r="K387" s="5" t="n">
        <v>9.77</v>
      </c>
      <c r="L387" s="4" t="n">
        <v>957.58</v>
      </c>
      <c r="M387" t="n">
        <v>5784</v>
      </c>
      <c r="N387" s="6" t="n">
        <v>55237</v>
      </c>
      <c r="O387" t="n">
        <v>59</v>
      </c>
      <c r="Q387" t="inlineStr">
        <is>
          <t>EA</t>
        </is>
      </c>
      <c r="R387" t="inlineStr">
        <is>
          <t>М</t>
        </is>
      </c>
      <c r="S387" s="2">
        <f>HYPERLINK("https://yandex.ru/maps/?&amp;text=55.576793, 37.908267", "55.576793, 37.908267")</f>
        <v/>
      </c>
      <c r="T387" s="2">
        <f>HYPERLINK("D:\venv_torgi\env\cache\objs_in_district/55.576793_37.908267.json", "55.576793_37.908267.json")</f>
        <v/>
      </c>
      <c r="U387" t="inlineStr">
        <is>
          <t>50:53:0010107:1524</t>
        </is>
      </c>
      <c r="W387" s="17" t="n">
        <v>45758.35757593202</v>
      </c>
      <c r="X387" s="19" t="n">
        <v>-10738.81756531091</v>
      </c>
      <c r="Y387" t="n">
        <v>0</v>
      </c>
    </row>
    <row r="388">
      <c r="A388" s="8" t="n">
        <v>386</v>
      </c>
      <c r="B388" t="n">
        <v>50</v>
      </c>
      <c r="C388" s="1" t="n">
        <v>11.9</v>
      </c>
      <c r="D388" s="2">
        <f>HYPERLINK("https://torgi.gov.ru/new/public/lots/lot/21000004710000002631_1/(lotInfo:info)", "21000004710000002631_1")</f>
        <v/>
      </c>
      <c r="E388" t="inlineStr">
        <is>
          <t>Продажа нежилого помещения 11,9 кв.м. в г.о. Пушкинский</t>
        </is>
      </c>
      <c r="F388" s="3" t="inlineStr">
        <is>
          <t>27.09.22 15:00</t>
        </is>
      </c>
      <c r="G388" t="inlineStr">
        <is>
          <t>Московская область, Пушкинский район, город Пушкино, проезд Чапаева, дом 9/11, пом.1.0</t>
        </is>
      </c>
      <c r="H388" s="4" t="n">
        <v>831322</v>
      </c>
      <c r="I388" s="4" t="n">
        <v>69858.99159663865</v>
      </c>
      <c r="J388" t="inlineStr">
        <is>
          <t>Нежилое помещение</t>
        </is>
      </c>
      <c r="K388" s="5" t="n">
        <v>43.77</v>
      </c>
      <c r="L388" s="4" t="n">
        <v>6985.8</v>
      </c>
      <c r="M388" t="n">
        <v>1596</v>
      </c>
      <c r="N388" s="6" t="n">
        <v>102874</v>
      </c>
      <c r="O388" t="n">
        <v>10</v>
      </c>
      <c r="Q388" t="inlineStr">
        <is>
          <t>PP</t>
        </is>
      </c>
      <c r="R388" t="inlineStr">
        <is>
          <t>М</t>
        </is>
      </c>
      <c r="S388" s="2">
        <f>HYPERLINK("https://yandex.ru/maps/?&amp;text=55.988485, 37.852266", "55.988485, 37.852266")</f>
        <v/>
      </c>
      <c r="T388" s="2">
        <f>HYPERLINK("D:\venv_torgi\env\cache\objs_in_district/55.988485_37.852266.json", "55.988485_37.852266.json")</f>
        <v/>
      </c>
      <c r="U388" t="inlineStr">
        <is>
          <t>50:13:0000000:81393</t>
        </is>
      </c>
      <c r="W388" s="17" t="n">
        <v>45758.35757593202</v>
      </c>
      <c r="X388" s="19" t="n">
        <v>-24100.63402070662</v>
      </c>
      <c r="Y388" t="n">
        <v>0</v>
      </c>
    </row>
    <row r="389">
      <c r="A389" s="8" t="n">
        <v>387</v>
      </c>
      <c r="B389" t="n">
        <v>50</v>
      </c>
      <c r="C389" s="1" t="n">
        <v>20.1</v>
      </c>
      <c r="D389" s="2">
        <f>HYPERLINK("https://torgi.gov.ru/new/public/lots/lot/21000004710000002480_1/(lotInfo:info)", "21000004710000002480_1")</f>
        <v/>
      </c>
      <c r="E389" t="inlineStr">
        <is>
          <t>Продажа нежилого помещения 20,1 кв.м. в г.о. Долгопрудный</t>
        </is>
      </c>
      <c r="F389" s="3" t="inlineStr">
        <is>
          <t>12.09.22 15:00</t>
        </is>
      </c>
      <c r="G389" t="inlineStr">
        <is>
          <t>Московская обл, г Долгопрудный, ул Циолковского, д 32/12</t>
        </is>
      </c>
      <c r="H389" s="4" t="n">
        <v>2668380</v>
      </c>
      <c r="I389" s="4" t="n">
        <v>132755.223880597</v>
      </c>
      <c r="J389" t="inlineStr">
        <is>
          <t>Нежилое помещение</t>
        </is>
      </c>
      <c r="K389" s="5" t="n">
        <v>15.25</v>
      </c>
      <c r="L389" s="4" t="n">
        <v>829.72</v>
      </c>
      <c r="M389" t="n">
        <v>8704</v>
      </c>
      <c r="N389" s="6" t="n">
        <v>90956</v>
      </c>
      <c r="O389" t="n">
        <v>160</v>
      </c>
      <c r="P389" s="16" t="n">
        <v>0.01855140725145301</v>
      </c>
      <c r="Q389" t="inlineStr">
        <is>
          <t>PP</t>
        </is>
      </c>
      <c r="R389" t="inlineStr">
        <is>
          <t>М</t>
        </is>
      </c>
      <c r="S389" s="2">
        <f>HYPERLINK("https://yandex.ru/maps/?&amp;text=55.93974, 37.51289", "55.93974, 37.51289")</f>
        <v/>
      </c>
      <c r="T389" s="2">
        <f>HYPERLINK("D:\venv_torgi\env\cache\objs_in_district/55.93974_37.51289.json", "55.93974_37.51289.json")</f>
        <v/>
      </c>
      <c r="U389" t="inlineStr">
        <is>
          <t>50:42:0010218:531</t>
        </is>
      </c>
      <c r="W389" s="17" t="n">
        <v>135218.0201035638</v>
      </c>
      <c r="X389" s="18" t="n">
        <v>2462.796222966776</v>
      </c>
      <c r="Y389" t="n">
        <v>0</v>
      </c>
    </row>
    <row r="390">
      <c r="A390" s="8" t="n">
        <v>388</v>
      </c>
      <c r="B390" t="n">
        <v>51</v>
      </c>
      <c r="C390" s="1" t="n">
        <v>39.3</v>
      </c>
      <c r="D390" s="2">
        <f>HYPERLINK("https://torgi.gov.ru/new/public/lots/lot/21000027500000000002_2/(lotInfo:info)", "21000027500000000002_2")</f>
        <v/>
      </c>
      <c r="E390" t="inlineStr">
        <is>
          <t>Техническое состояние удовлетворительное</t>
        </is>
      </c>
      <c r="F390" s="3" t="inlineStr">
        <is>
          <t>09.09.22 20:59</t>
        </is>
      </c>
      <c r="G390" t="inlineStr">
        <is>
          <t>Мурманская область, Печенгский район, п.г.т. Никель, улица 14 Армии, д. 13</t>
        </is>
      </c>
      <c r="H390" s="4" t="n">
        <v>144000</v>
      </c>
      <c r="I390" s="4" t="n">
        <v>3664.12213740458</v>
      </c>
      <c r="J390" t="inlineStr">
        <is>
          <t>Нежилое помещение</t>
        </is>
      </c>
      <c r="Q390" t="inlineStr">
        <is>
          <t>PP</t>
        </is>
      </c>
      <c r="R390" t="inlineStr">
        <is>
          <t>М</t>
        </is>
      </c>
      <c r="U390" t="inlineStr">
        <is>
          <t>51:03:0080309:194</t>
        </is>
      </c>
      <c r="Y390" t="n">
        <v>0</v>
      </c>
    </row>
    <row r="391">
      <c r="A391" s="8" t="n">
        <v>389</v>
      </c>
      <c r="B391" t="n">
        <v>51</v>
      </c>
      <c r="C391" s="1" t="n">
        <v>70.8</v>
      </c>
      <c r="D391" s="2">
        <f>HYPERLINK("https://torgi.gov.ru/new/public/lots/lot/21000007760000000016_2/(lotInfo:info)", "21000007760000000016_2")</f>
        <v/>
      </c>
      <c r="E391" t="inlineStr">
        <is>
          <t>Нежилое помещение по улице Печенгской, дом 7б, 1 этаж, площадь 70,8 кв.м, кадастровый номер 51:20:0002021:2545, номера на поэтажном плане: А/1/1(1-5)</t>
        </is>
      </c>
      <c r="F391" s="3" t="inlineStr">
        <is>
          <t>05.09.22 20:00</t>
        </is>
      </c>
      <c r="G391" t="inlineStr">
        <is>
          <t>г Мурманск, ул Печенгская, д 7б</t>
        </is>
      </c>
      <c r="H391" s="4" t="n">
        <v>289000</v>
      </c>
      <c r="I391" s="4" t="n">
        <v>4081.920903954802</v>
      </c>
      <c r="J391" t="inlineStr">
        <is>
          <t>Нежилое помещение</t>
        </is>
      </c>
      <c r="K391" s="5" t="n">
        <v>1.36</v>
      </c>
      <c r="M391" t="n">
        <v>2997</v>
      </c>
      <c r="N391" s="6" t="n">
        <v>298096</v>
      </c>
      <c r="P391" s="21" t="n">
        <v>5.581773395907741</v>
      </c>
      <c r="Q391" t="inlineStr">
        <is>
          <t>EA</t>
        </is>
      </c>
      <c r="R391" t="inlineStr">
        <is>
          <t>М</t>
        </is>
      </c>
      <c r="S391" s="2">
        <f>HYPERLINK("https://yandex.ru/maps/?&amp;text=68.949036, 33.051167", "68.949036, 33.051167")</f>
        <v/>
      </c>
      <c r="U391" t="inlineStr">
        <is>
          <t xml:space="preserve">51:20:0002021:2545, </t>
        </is>
      </c>
      <c r="V391" s="7" t="inlineStr">
        <is>
          <t>1</t>
        </is>
      </c>
      <c r="W391" s="20" t="n">
        <v>26866.27840984939</v>
      </c>
      <c r="X391" s="22" t="n">
        <v>22784.35750589459</v>
      </c>
      <c r="Y391" t="n">
        <v>0</v>
      </c>
    </row>
    <row r="392">
      <c r="A392" s="8" t="n">
        <v>390</v>
      </c>
      <c r="B392" t="n">
        <v>51</v>
      </c>
      <c r="C392" s="1" t="n">
        <v>180.1</v>
      </c>
      <c r="D392" s="2">
        <f>HYPERLINK("https://torgi.gov.ru/new/public/lots/lot/21000027500000000002_1/(lotInfo:info)", "21000027500000000002_1")</f>
        <v/>
      </c>
      <c r="E392" t="inlineStr">
        <is>
          <t>Техническое состояние удовлетворительное</t>
        </is>
      </c>
      <c r="F392" s="3" t="inlineStr">
        <is>
          <t>09.09.22 20:59</t>
        </is>
      </c>
      <c r="G392" t="inlineStr">
        <is>
          <t>Печенгский район, п.г.т. Никель, улица 14 Армии, д. 13, пом. II</t>
        </is>
      </c>
      <c r="H392" s="4" t="n">
        <v>787000</v>
      </c>
      <c r="I392" s="4" t="n">
        <v>4369.794558578567</v>
      </c>
      <c r="J392" t="inlineStr">
        <is>
          <t>Нежилое помещение</t>
        </is>
      </c>
      <c r="K392" s="5" t="n">
        <v>2.49</v>
      </c>
      <c r="L392" s="4" t="n">
        <v>189.96</v>
      </c>
      <c r="M392" t="n">
        <v>1752</v>
      </c>
      <c r="O392" t="n">
        <v>23</v>
      </c>
      <c r="Q392" t="inlineStr">
        <is>
          <t>PP</t>
        </is>
      </c>
      <c r="R392" t="inlineStr">
        <is>
          <t>М</t>
        </is>
      </c>
      <c r="S392" s="2">
        <f>HYPERLINK("https://yandex.ru/maps/?&amp;text=69.410772, 30.215993", "69.410772, 30.215993")</f>
        <v/>
      </c>
      <c r="T392" s="2">
        <f>HYPERLINK("D:\venv_torgi\env\cache\objs_in_district/69.410772_30.215993.json", "69.410772_30.215993.json")</f>
        <v/>
      </c>
      <c r="U392" t="inlineStr">
        <is>
          <t>51:03:0080309:93</t>
        </is>
      </c>
      <c r="V392" s="7" t="inlineStr">
        <is>
          <t>1</t>
        </is>
      </c>
      <c r="Y392" t="n">
        <v>0</v>
      </c>
    </row>
    <row r="393">
      <c r="A393" s="8" t="n">
        <v>391</v>
      </c>
      <c r="B393" t="n">
        <v>51</v>
      </c>
      <c r="C393" s="1" t="n">
        <v>292.4</v>
      </c>
      <c r="D393" s="2">
        <f>HYPERLINK("https://torgi.gov.ru/new/public/lots/lot/22000077810000000003_4/(lotInfo:info)", "22000077810000000003_4")</f>
        <v/>
      </c>
      <c r="E393" t="inlineStr">
        <is>
          <t>Нежилое помещение (часть здания склада), площадь 292.40 кв. м, кадастровый № 51:20:0003048:360, адрес:  г. Мурманск, ул. Карла Либкнехта, д.54, цокольный этаж. Вид права: собственность. Ограничение (обременение) права: запрещение регистрации. По итогам торгов по данному лоту победитель производит оплату за имущество по цене, увеличенной на сумму НДС (20 %). Должник ООО "Шип-Мастер".</t>
        </is>
      </c>
      <c r="F393" s="3" t="inlineStr">
        <is>
          <t>31.08.22 07:00</t>
        </is>
      </c>
      <c r="G393" t="inlineStr">
        <is>
          <t>г Мурманск, ул Карла Либкнехта, д 54</t>
        </is>
      </c>
      <c r="H393" s="4" t="n">
        <v>2026000</v>
      </c>
      <c r="I393" s="4" t="n">
        <v>6928.864569083448</v>
      </c>
      <c r="J393" t="inlineStr">
        <is>
          <t>Нежилое помещение</t>
        </is>
      </c>
      <c r="K393" s="5" t="n">
        <v>2.27</v>
      </c>
      <c r="L393" s="4" t="n">
        <v>577.33</v>
      </c>
      <c r="M393" t="n">
        <v>3053</v>
      </c>
      <c r="N393" s="6" t="n">
        <v>298096</v>
      </c>
      <c r="O393" t="n">
        <v>12</v>
      </c>
      <c r="P393" s="21" t="n">
        <v>0.4698738203138659</v>
      </c>
      <c r="Q393" t="inlineStr">
        <is>
          <t>EA</t>
        </is>
      </c>
      <c r="R393" t="inlineStr">
        <is>
          <t>Д</t>
        </is>
      </c>
      <c r="S393" s="2">
        <f>HYPERLINK("https://yandex.ru/maps/?&amp;text=68.98518, 33.078297", "68.98518, 33.078297")</f>
        <v/>
      </c>
      <c r="T393" s="2">
        <f>HYPERLINK("D:\venv_torgi\env\cache\objs_in_district/68.98518_33.078297.json", "68.98518_33.078297.json")</f>
        <v/>
      </c>
      <c r="U393" t="inlineStr">
        <is>
          <t xml:space="preserve">51:20:0003048:360, </t>
        </is>
      </c>
      <c r="V393" s="7" t="inlineStr">
        <is>
          <t>0</t>
        </is>
      </c>
      <c r="W393" s="20" t="n">
        <v>10184.55663459608</v>
      </c>
      <c r="X393" s="22" t="n">
        <v>3255.692065512628</v>
      </c>
      <c r="Y393" t="n">
        <v>0</v>
      </c>
    </row>
    <row r="394">
      <c r="A394" s="8" t="n">
        <v>392</v>
      </c>
      <c r="B394" t="n">
        <v>51</v>
      </c>
      <c r="C394" s="1" t="n">
        <v>339.4</v>
      </c>
      <c r="D394" s="2">
        <f>HYPERLINK("https://torgi.gov.ru/new/public/lots/lot/22000077810000000007_6/(lotInfo:info)", "22000077810000000007_6")</f>
        <v/>
      </c>
      <c r="E394" t="inlineStr">
        <is>
          <t>Нежилое помещение, площадь 339.40 кв. м, кадастровый № 51:14:0030303:56, адрес: Мурманская обл., г.Апатиты, ул. Ленина, д.33, пом.1. Вид права: собственность. Ограничение (обременение) права: запрещение регистрации, арест. Должник ООО "Эверест".</t>
        </is>
      </c>
      <c r="F394" s="3" t="inlineStr">
        <is>
          <t>14.09.22 07:00</t>
        </is>
      </c>
      <c r="G394" t="inlineStr">
        <is>
          <t>Мурманская обл, г Апатиты, ул Ленина, д 33</t>
        </is>
      </c>
      <c r="H394" s="4" t="n">
        <v>2439100</v>
      </c>
      <c r="I394" s="4" t="n">
        <v>7186.50559811432</v>
      </c>
      <c r="J394" t="inlineStr">
        <is>
          <t>Нежилое помещение</t>
        </is>
      </c>
      <c r="K394" s="5" t="n">
        <v>1.89</v>
      </c>
      <c r="L394" s="4" t="n">
        <v>211.35</v>
      </c>
      <c r="M394" t="n">
        <v>3795</v>
      </c>
      <c r="N394" s="6" t="n">
        <v>56730</v>
      </c>
      <c r="O394" t="n">
        <v>34</v>
      </c>
      <c r="P394" s="21" t="n">
        <v>0.561556645338783</v>
      </c>
      <c r="Q394" t="inlineStr">
        <is>
          <t>EA</t>
        </is>
      </c>
      <c r="R394" t="inlineStr">
        <is>
          <t>Д</t>
        </is>
      </c>
      <c r="S394" s="2">
        <f>HYPERLINK("https://yandex.ru/maps/?&amp;text=67.56306, 33.427612", "67.56306, 33.427612")</f>
        <v/>
      </c>
      <c r="T394" s="2">
        <f>HYPERLINK("D:\venv_torgi\env\cache\objs_in_district/67.56306_33.427612.json", "67.56306_33.427612.json")</f>
        <v/>
      </c>
      <c r="U394" t="inlineStr">
        <is>
          <t xml:space="preserve">51:14:0030303:56, </t>
        </is>
      </c>
      <c r="W394" s="20" t="n">
        <v>11222.13557349978</v>
      </c>
      <c r="X394" s="22" t="n">
        <v>4035.629975385462</v>
      </c>
      <c r="Y394" t="n">
        <v>0</v>
      </c>
    </row>
    <row r="395">
      <c r="A395" s="8" t="n">
        <v>393</v>
      </c>
      <c r="B395" t="n">
        <v>51</v>
      </c>
      <c r="C395" s="1" t="n">
        <v>211.9</v>
      </c>
      <c r="D395" s="2">
        <f>HYPERLINK("https://torgi.gov.ru/new/public/lots/lot/21000007760000000017_2/(lotInfo:info)", "21000007760000000017_2")</f>
        <v/>
      </c>
      <c r="E395" t="inlineStr">
        <is>
          <t>Нежилое помещение по проезду Молодежному, дом 11, цоколь, площадь 211,9 кв.м, кадастровый номер 51:20:0001007:1460, номера на поэтажном плане: А/цоколь/1а(1-15)</t>
        </is>
      </c>
      <c r="F395" s="3" t="inlineStr">
        <is>
          <t>16.09.22 20:00</t>
        </is>
      </c>
      <c r="G395" t="inlineStr">
        <is>
          <t>г Мурманск, Молодежный проезд, д 11</t>
        </is>
      </c>
      <c r="H395" s="4" t="n">
        <v>2441000</v>
      </c>
      <c r="I395" s="4" t="n">
        <v>11519.58470976876</v>
      </c>
      <c r="J395" t="inlineStr">
        <is>
          <t>Нежилое помещение</t>
        </is>
      </c>
      <c r="K395" s="5" t="n">
        <v>1.76</v>
      </c>
      <c r="L395" s="4" t="n">
        <v>1439.88</v>
      </c>
      <c r="M395" t="n">
        <v>6540</v>
      </c>
      <c r="N395" s="6" t="n">
        <v>298096</v>
      </c>
      <c r="O395" t="n">
        <v>8</v>
      </c>
      <c r="Q395" t="inlineStr">
        <is>
          <t>EA</t>
        </is>
      </c>
      <c r="R395" t="inlineStr">
        <is>
          <t>М</t>
        </is>
      </c>
      <c r="S395" s="2">
        <f>HYPERLINK("https://yandex.ru/maps/?&amp;text=68.93317, 33.119663", "68.93317, 33.119663")</f>
        <v/>
      </c>
      <c r="T395" s="2">
        <f>HYPERLINK("D:\venv_torgi\env\cache\objs_in_district/68.93317_33.119663.json", "68.93317_33.119663.json")</f>
        <v/>
      </c>
      <c r="U395" t="inlineStr">
        <is>
          <t xml:space="preserve">51:20:0001007:1460, </t>
        </is>
      </c>
      <c r="W395" s="20" t="n">
        <v>10184.55663459608</v>
      </c>
      <c r="X395" s="23" t="n">
        <v>-1335.028075172684</v>
      </c>
      <c r="Y395" t="n">
        <v>0</v>
      </c>
    </row>
    <row r="396">
      <c r="A396" s="8" t="n">
        <v>394</v>
      </c>
      <c r="B396" t="n">
        <v>51</v>
      </c>
      <c r="C396" s="1" t="n">
        <v>173.7</v>
      </c>
      <c r="D396" s="2">
        <f>HYPERLINK("https://torgi.gov.ru/new/public/lots/lot/21000007760000000016_3/(lotInfo:info)", "21000007760000000016_3")</f>
        <v/>
      </c>
      <c r="E396" t="inlineStr">
        <is>
          <t>Нежилое помещение по улице Крупской, дом 40а, цоколь, площадь 173,7 кв.м, кадастровый номер 51:20:0001313:2483, номера на поэтажном плане: А/цоколь/VI(1-5,5а,6-11)</t>
        </is>
      </c>
      <c r="F396" s="3" t="inlineStr">
        <is>
          <t>05.09.22 20:00</t>
        </is>
      </c>
      <c r="G396" t="inlineStr">
        <is>
          <t>г Мурманск, ул Крупской, д 40а</t>
        </is>
      </c>
      <c r="H396" s="4" t="n">
        <v>2133000</v>
      </c>
      <c r="I396" s="4" t="n">
        <v>12279.79274611399</v>
      </c>
      <c r="J396" t="inlineStr">
        <is>
          <t>Нежилое помещение</t>
        </is>
      </c>
      <c r="K396" s="5" t="n">
        <v>1.89</v>
      </c>
      <c r="L396" s="4" t="n">
        <v>1023.25</v>
      </c>
      <c r="M396" t="n">
        <v>6492</v>
      </c>
      <c r="N396" s="6" t="n">
        <v>298096</v>
      </c>
      <c r="O396" t="n">
        <v>12</v>
      </c>
      <c r="Q396" t="inlineStr">
        <is>
          <t>EA</t>
        </is>
      </c>
      <c r="R396" t="inlineStr">
        <is>
          <t>М</t>
        </is>
      </c>
      <c r="S396" s="2">
        <f>HYPERLINK("https://yandex.ru/maps/?&amp;text=68.886856, 33.08595", "68.886856, 33.08595")</f>
        <v/>
      </c>
      <c r="T396" s="2">
        <f>HYPERLINK("D:\venv_torgi\env\cache\objs_in_district/68.886856_33.08595.json", "68.886856_33.08595.json")</f>
        <v/>
      </c>
      <c r="U396" t="inlineStr">
        <is>
          <t xml:space="preserve">51:20:0001313:2483, </t>
        </is>
      </c>
      <c r="W396" s="20" t="n">
        <v>10184.55663459608</v>
      </c>
      <c r="X396" s="23" t="n">
        <v>-2095.236111517914</v>
      </c>
      <c r="Y396" t="n">
        <v>0</v>
      </c>
    </row>
    <row r="397">
      <c r="A397" s="8" t="n">
        <v>395</v>
      </c>
      <c r="B397" t="n">
        <v>51</v>
      </c>
      <c r="C397" s="1" t="n">
        <v>387.6</v>
      </c>
      <c r="D397" s="2">
        <f>HYPERLINK("https://torgi.gov.ru/new/public/lots/lot/22000077810000000003_1/(lotInfo:info)", "22000077810000000003_1")</f>
        <v/>
      </c>
      <c r="E397" t="inlineStr">
        <is>
          <t>Нежилое помещение (гостиница), площадь 387.60 кв. м, кадастровый № 51:28:0040003:1004, адрес: Мурманская обл., МО г. Полярные Зори, ул. Ломоносова, д.16. Вид права: собственность. Ограничение (обременение) права: запрещение регистрации, ипотека в силу закона.  Должник Крепель Н.А.</t>
        </is>
      </c>
      <c r="F397" s="3" t="inlineStr">
        <is>
          <t>31.08.22 07:00</t>
        </is>
      </c>
      <c r="G397" t="inlineStr">
        <is>
          <t>Мурманская обл., МО г. Полярные Зори, ул. Ломоносова, д.16.</t>
        </is>
      </c>
      <c r="H397" s="4" t="n">
        <v>6573000</v>
      </c>
      <c r="I397" s="4" t="n">
        <v>16958.20433436532</v>
      </c>
      <c r="J397" t="inlineStr">
        <is>
          <t>Нежилое помещение</t>
        </is>
      </c>
      <c r="K397" s="5" t="n">
        <v>2.73</v>
      </c>
      <c r="L397" s="4" t="n">
        <v>565.27</v>
      </c>
      <c r="M397" t="n">
        <v>6201</v>
      </c>
      <c r="N397" s="6" t="n">
        <v>16956</v>
      </c>
      <c r="O397" t="n">
        <v>30</v>
      </c>
      <c r="Q397" t="inlineStr">
        <is>
          <t>EA</t>
        </is>
      </c>
      <c r="R397" t="inlineStr">
        <is>
          <t>Д</t>
        </is>
      </c>
      <c r="S397" s="2">
        <f>HYPERLINK("https://yandex.ru/maps/?&amp;text=67.368951, 32.49139", "67.368951, 32.49139")</f>
        <v/>
      </c>
      <c r="T397" s="2">
        <f>HYPERLINK("D:\venv_torgi\env\cache\objs_in_district/67.368951_32.49139.json", "67.368951_32.49139.json")</f>
        <v/>
      </c>
      <c r="U397" t="inlineStr">
        <is>
          <t xml:space="preserve">51:28:0040003:1004, </t>
        </is>
      </c>
      <c r="W397" s="20" t="n">
        <v>11222.13557349978</v>
      </c>
      <c r="X397" s="23" t="n">
        <v>-5736.068760865539</v>
      </c>
      <c r="Y397" t="n">
        <v>0</v>
      </c>
    </row>
    <row r="398">
      <c r="A398" s="8" t="n">
        <v>396</v>
      </c>
      <c r="B398" t="n">
        <v>51</v>
      </c>
      <c r="C398" s="1" t="n">
        <v>33.1</v>
      </c>
      <c r="D398" s="2">
        <f>HYPERLINK("https://torgi.gov.ru/new/public/lots/lot/22000077810000000007_2/(lotInfo:info)", "22000077810000000007_2")</f>
        <v/>
      </c>
      <c r="E398" t="inlineStr">
        <is>
          <t>Нежилое помещение, площадь 33.10 кв. м, кадастровый № 51:20:0002125:2444, адрес: г. Мурманск, проспект Ленина, д.72. Вид права: собственность. Ограничение (обременение) права: запрещение регистрации. Должник ООО "ПКМС".</t>
        </is>
      </c>
      <c r="F398" s="3" t="inlineStr">
        <is>
          <t>14.09.22 07:00</t>
        </is>
      </c>
      <c r="G398" t="inlineStr">
        <is>
          <t>г Мурманск, пр-кт Ленина, д 72</t>
        </is>
      </c>
      <c r="H398" s="4" t="n">
        <v>733000</v>
      </c>
      <c r="I398" s="4" t="n">
        <v>22145.01510574018</v>
      </c>
      <c r="J398" t="inlineStr">
        <is>
          <t>Нежилое помещение</t>
        </is>
      </c>
      <c r="K398" s="5" t="n">
        <v>3.68</v>
      </c>
      <c r="L398" s="4" t="n">
        <v>194.25</v>
      </c>
      <c r="M398" t="n">
        <v>6021</v>
      </c>
      <c r="N398" s="6" t="n">
        <v>298096</v>
      </c>
      <c r="O398" t="n">
        <v>114</v>
      </c>
      <c r="P398" s="21" t="n">
        <v>0.213197565301521</v>
      </c>
      <c r="Q398" t="inlineStr">
        <is>
          <t>EA</t>
        </is>
      </c>
      <c r="R398" t="inlineStr">
        <is>
          <t>Д</t>
        </is>
      </c>
      <c r="S398" s="2">
        <f>HYPERLINK("https://yandex.ru/maps/?&amp;text=68.9654, 33.071657", "68.9654, 33.071657")</f>
        <v/>
      </c>
      <c r="T398" s="2">
        <f>HYPERLINK("D:\venv_torgi\env\cache\objs_in_district/68.9654_33.071657.json", "68.9654_33.071657.json")</f>
        <v/>
      </c>
      <c r="U398" t="inlineStr">
        <is>
          <t xml:space="preserve">51:20:0002125:2444, </t>
        </is>
      </c>
      <c r="W398" s="20" t="n">
        <v>26866.27840984939</v>
      </c>
      <c r="X398" s="22" t="n">
        <v>4721.263304109212</v>
      </c>
      <c r="Y398" t="n">
        <v>0</v>
      </c>
    </row>
    <row r="399">
      <c r="A399" s="8" t="n">
        <v>397</v>
      </c>
      <c r="B399" t="n">
        <v>51</v>
      </c>
      <c r="C399" s="1" t="n">
        <v>79.59999999999999</v>
      </c>
      <c r="D399" s="2">
        <f>HYPERLINK("https://torgi.gov.ru/new/public/lots/lot/21000032630000000004_1/(lotInfo:info)", "21000032630000000004_1")</f>
        <v/>
      </c>
      <c r="E399" t="inlineStr">
        <is>
          <t>наименование: «Помещение офиса» кадастровый номер: 51:05:0010203:3055,адрес (местоположение) объекта: Мурманская обл., МО Ковдорский р-н, г. Ковдор, ул. Кошица, д. 24,площадь объекта: 79,6 кв. мхарактеристика объекта: - нежилое;- год постройки: 1983;- этажность: 1;- фундаменты: сборные железобетонные блоки;- стены: сборные железобетонные панели заводского изготовления;- перегородки: гипсолитовые;- перекрытия: сборные железобетонные панели;- крыша: совмещенная рулонная;- полы: дощатые, окрашенные, покрытие линолеум, в санузлах плиточные;- дверные проемы: филенчатые; - оконные проемы: переплеты двойные створные;- внутренняя отделка: оклейка стен обоями, в санузлах керамическая плитка, окраска масляной краской; - отопление: централизованное;- водопровод: трубы стальные;- канализация: трубы чугунные;- горячее водоснабжение: централизованное; - электроосвещение: проводка скрытая.Правообладатель, вид права: Мурманская область, собственность</t>
        </is>
      </c>
      <c r="F399" s="3" t="inlineStr">
        <is>
          <t>14.09.22 07:00</t>
        </is>
      </c>
      <c r="G399" t="inlineStr">
        <is>
          <t>Мурманская обл, г Ковдор, ул Кошица, д 24</t>
        </is>
      </c>
      <c r="H399" s="4" t="n">
        <v>1777800</v>
      </c>
      <c r="I399" s="4" t="n">
        <v>22334.17085427136</v>
      </c>
      <c r="J399" t="inlineStr">
        <is>
          <t>офиса</t>
        </is>
      </c>
      <c r="K399" s="5" t="n">
        <v>81.51000000000001</v>
      </c>
      <c r="L399" s="4" t="n">
        <v>676.79</v>
      </c>
      <c r="M399" t="n">
        <v>274</v>
      </c>
      <c r="N399" s="6" t="n">
        <v>16892</v>
      </c>
      <c r="O399" t="n">
        <v>33</v>
      </c>
      <c r="Q399" t="inlineStr">
        <is>
          <t>PP</t>
        </is>
      </c>
      <c r="R399" t="inlineStr">
        <is>
          <t>М</t>
        </is>
      </c>
      <c r="S399" s="2">
        <f>HYPERLINK("https://yandex.ru/maps/?&amp;text=67.56472, 30.486898", "67.56472, 30.486898")</f>
        <v/>
      </c>
      <c r="T399" s="2">
        <f>HYPERLINK("D:\venv_torgi\env\cache\objs_in_district/67.56472_30.486898.json", "67.56472_30.486898.json")</f>
        <v/>
      </c>
      <c r="U399" t="inlineStr">
        <is>
          <t>51:05:0010203:3055,</t>
        </is>
      </c>
      <c r="V399" s="7" t="inlineStr">
        <is>
          <t>1</t>
        </is>
      </c>
      <c r="W399" s="20" t="n">
        <v>16222.56438392146</v>
      </c>
      <c r="X399" s="23" t="n">
        <v>-6111.606470349903</v>
      </c>
      <c r="Y399" t="n">
        <v>0</v>
      </c>
    </row>
    <row r="400">
      <c r="A400" s="8" t="n">
        <v>398</v>
      </c>
      <c r="B400" t="n">
        <v>51</v>
      </c>
      <c r="C400" s="1" t="n">
        <v>120</v>
      </c>
      <c r="D400" s="2">
        <f>HYPERLINK("https://torgi.gov.ru/new/public/lots/lot/22000077810000000006_5/(lotInfo:info)", "22000077810000000006_5")</f>
        <v/>
      </c>
      <c r="E400" t="inlineStr">
        <is>
          <t>Нежилое помещение, площадь 120.00 кв.м, кадастровый № 51:23:0010101:98, адрес: Мурманская обл., МО ЗАТО Александровск, г. Гаджиево, ул. Ленина, д. 56/1, этаж 1. Вид права: собственность. Ограничение (обременение) права: запрещение регистрации. Должник ООО "Лео".</t>
        </is>
      </c>
      <c r="F400" s="3" t="inlineStr">
        <is>
          <t>09.09.22 07:00</t>
        </is>
      </c>
      <c r="G400" t="inlineStr">
        <is>
          <t>Мурманская обл, г Гаджиево, ул Ленина, д 56 стр 1</t>
        </is>
      </c>
      <c r="H400" s="4" t="n">
        <v>3189000</v>
      </c>
      <c r="I400" s="4" t="n">
        <v>26575</v>
      </c>
      <c r="J400" t="inlineStr">
        <is>
          <t>Нежилое помещение</t>
        </is>
      </c>
      <c r="K400" s="5" t="n">
        <v>26.34</v>
      </c>
      <c r="L400" s="4" t="n">
        <v>984.26</v>
      </c>
      <c r="M400" t="n">
        <v>1009</v>
      </c>
      <c r="N400" s="6" t="n">
        <v>9694</v>
      </c>
      <c r="O400" t="n">
        <v>27</v>
      </c>
      <c r="Q400" t="inlineStr">
        <is>
          <t>EA</t>
        </is>
      </c>
      <c r="R400" t="inlineStr">
        <is>
          <t>Д</t>
        </is>
      </c>
      <c r="S400" s="2">
        <f>HYPERLINK("https://yandex.ru/maps/?&amp;text=69.248836, 33.314804", "69.248836, 33.314804")</f>
        <v/>
      </c>
      <c r="T400" s="2">
        <f>HYPERLINK("D:\venv_torgi\env\cache\objs_in_district/69.248836_33.314804.json", "69.248836_33.314804.json")</f>
        <v/>
      </c>
      <c r="U400" t="inlineStr">
        <is>
          <t xml:space="preserve">51:23:0010101:98, </t>
        </is>
      </c>
      <c r="V400" s="7" t="inlineStr">
        <is>
          <t>1</t>
        </is>
      </c>
      <c r="W400" s="20" t="n">
        <v>16222.56438392146</v>
      </c>
      <c r="X400" s="23" t="n">
        <v>-10352.43561607854</v>
      </c>
      <c r="Y400" t="n">
        <v>0</v>
      </c>
    </row>
    <row r="401">
      <c r="A401" s="8" t="n">
        <v>399</v>
      </c>
      <c r="B401" t="n">
        <v>52</v>
      </c>
      <c r="C401" s="1" t="n">
        <v>237.8</v>
      </c>
      <c r="D401" s="2">
        <f>HYPERLINK("https://torgi.gov.ru/new/public/lots/lot/21000008350000000003_1/(lotInfo:info)", "21000008350000000003_1")</f>
        <v/>
      </c>
      <c r="E401" t="inlineStr">
        <is>
          <t>общей площадью 237,8 кв.м.</t>
        </is>
      </c>
      <c r="F401" s="3" t="inlineStr">
        <is>
          <t>16.09.22 13:00</t>
        </is>
      </c>
      <c r="G401" t="inlineStr">
        <is>
          <t>Нижегородская обл, г Шахунья, деревня Туманино, ул Центральная, д 24</t>
        </is>
      </c>
      <c r="H401" s="4" t="n">
        <v>443000</v>
      </c>
      <c r="I401" s="4" t="n">
        <v>1862.910008410429</v>
      </c>
      <c r="J401" t="inlineStr">
        <is>
          <t>Нежилое помещение</t>
        </is>
      </c>
      <c r="K401" s="5" t="n">
        <v>10.7</v>
      </c>
      <c r="M401" t="n">
        <v>174</v>
      </c>
      <c r="N401" s="6" t="n">
        <v>35089</v>
      </c>
      <c r="P401" s="21" t="n">
        <v>4.467014825523583</v>
      </c>
      <c r="Q401" t="inlineStr">
        <is>
          <t>EA</t>
        </is>
      </c>
      <c r="R401" t="inlineStr">
        <is>
          <t>М</t>
        </is>
      </c>
      <c r="S401" s="2">
        <f>HYPERLINK("https://yandex.ru/maps/?&amp;text=57.7201, 46.616768", "57.7201, 46.616768")</f>
        <v/>
      </c>
      <c r="U401" t="inlineStr">
        <is>
          <t>52:03:0070001:435</t>
        </is>
      </c>
      <c r="W401" s="20" t="n">
        <v>10184.55663459608</v>
      </c>
      <c r="X401" s="22" t="n">
        <v>8321.646626185648</v>
      </c>
      <c r="Y401" t="n">
        <v>0</v>
      </c>
    </row>
    <row r="402">
      <c r="A402" s="8" t="n">
        <v>400</v>
      </c>
      <c r="B402" t="n">
        <v>52</v>
      </c>
      <c r="C402" s="1" t="n">
        <v>286.3</v>
      </c>
      <c r="D402" s="2">
        <f>HYPERLINK("https://torgi.gov.ru/new/public/lots/lot/21000008350000000003_2/(lotInfo:info)", "21000008350000000003_2")</f>
        <v/>
      </c>
      <c r="E402" t="inlineStr">
        <is>
          <t>общей площадью 286,3 кв.м.</t>
        </is>
      </c>
      <c r="F402" s="3" t="inlineStr">
        <is>
          <t>16.09.22 13:00</t>
        </is>
      </c>
      <c r="G402" t="inlineStr">
        <is>
          <t>Нижегородская обл, г Шахунья, ул Гагарина, д 15</t>
        </is>
      </c>
      <c r="H402" s="4" t="n">
        <v>1463000</v>
      </c>
      <c r="I402" s="4" t="n">
        <v>5110.02444987775</v>
      </c>
      <c r="J402" t="inlineStr">
        <is>
          <t>Нежилое помещение</t>
        </is>
      </c>
      <c r="K402" s="5" t="n">
        <v>1.38</v>
      </c>
      <c r="L402" s="4" t="n">
        <v>96.42</v>
      </c>
      <c r="M402" t="n">
        <v>3693</v>
      </c>
      <c r="N402" s="6" t="n">
        <v>35089</v>
      </c>
      <c r="O402" t="n">
        <v>53</v>
      </c>
      <c r="P402" s="21" t="n">
        <v>2.322539842433661</v>
      </c>
      <c r="Q402" t="inlineStr">
        <is>
          <t>EA</t>
        </is>
      </c>
      <c r="R402" t="inlineStr">
        <is>
          <t>М</t>
        </is>
      </c>
      <c r="S402" s="2">
        <f>HYPERLINK("https://yandex.ru/maps/?&amp;text=57.675003, 46.61227", "57.675003, 46.61227")</f>
        <v/>
      </c>
      <c r="T402" s="2">
        <f>HYPERLINK("D:\venv_torgi\env\cache\objs_in_district/57.675003_46.61227.json", "57.675003_46.61227.json")</f>
        <v/>
      </c>
      <c r="U402" t="inlineStr">
        <is>
          <t>52:03:0120002:529</t>
        </is>
      </c>
      <c r="W402" s="20" t="n">
        <v>16978.25983052898</v>
      </c>
      <c r="X402" s="22" t="n">
        <v>11868.23538065123</v>
      </c>
      <c r="Y402" t="n">
        <v>0</v>
      </c>
    </row>
    <row r="403">
      <c r="A403" s="8" t="n">
        <v>401</v>
      </c>
      <c r="B403" t="n">
        <v>52</v>
      </c>
      <c r="C403" s="1" t="n">
        <v>61.6</v>
      </c>
      <c r="D403" s="2">
        <f>HYPERLINK("https://torgi.gov.ru/new/public/lots/lot/22000025870000000003_1/(lotInfo:info)", "22000025870000000003_1")</f>
        <v/>
      </c>
      <c r="E403" t="inlineStr">
        <is>
          <t>Общая площадь 61,6 кв.м., этажность-1, год постройки - 1979, с кадастровым номером 52:12:1800321:11875</t>
        </is>
      </c>
      <c r="F403" s="3" t="inlineStr">
        <is>
          <t>06.09.22 20:59</t>
        </is>
      </c>
      <c r="G403" t="inlineStr">
        <is>
          <t>Нижегородская обл, г Семенов, ул Тельмана, д 7/1, помещ 4</t>
        </is>
      </c>
      <c r="H403" s="4" t="n">
        <v>512500</v>
      </c>
      <c r="I403" s="4" t="n">
        <v>8319.805194805194</v>
      </c>
      <c r="J403" t="inlineStr">
        <is>
          <t>Нежилое помещение</t>
        </is>
      </c>
      <c r="K403" s="5" t="n">
        <v>6.3</v>
      </c>
      <c r="L403" s="4" t="n">
        <v>831.9</v>
      </c>
      <c r="M403" t="n">
        <v>1320</v>
      </c>
      <c r="N403" s="6" t="n">
        <v>26856</v>
      </c>
      <c r="O403" t="n">
        <v>10</v>
      </c>
      <c r="P403" s="21" t="n">
        <v>0.9498731044869498</v>
      </c>
      <c r="Q403" t="inlineStr">
        <is>
          <t>EA</t>
        </is>
      </c>
      <c r="R403" t="inlineStr">
        <is>
          <t>М</t>
        </is>
      </c>
      <c r="S403" s="2">
        <f>HYPERLINK("https://yandex.ru/maps/?&amp;text=56.789969, 44.487986", "56.789969, 44.487986")</f>
        <v/>
      </c>
      <c r="T403" s="2">
        <f>HYPERLINK("D:\venv_torgi\env\cache\objs_in_district/56.789969_44.487986.json", "56.789969_44.487986.json")</f>
        <v/>
      </c>
      <c r="U403" t="inlineStr">
        <is>
          <t>52:12:1800321:11875</t>
        </is>
      </c>
      <c r="W403" s="20" t="n">
        <v>16222.56438392146</v>
      </c>
      <c r="X403" s="22" t="n">
        <v>7902.759189116263</v>
      </c>
      <c r="Y403" t="n">
        <v>0</v>
      </c>
    </row>
    <row r="404">
      <c r="A404" s="8" t="n">
        <v>402</v>
      </c>
      <c r="B404" t="n">
        <v>52</v>
      </c>
      <c r="C404" s="1" t="n">
        <v>61.7</v>
      </c>
      <c r="D404" s="2">
        <f>HYPERLINK("https://torgi.gov.ru/new/public/lots/lot/22000106140000000001_2/(lotInfo:info)", "22000106140000000001_2")</f>
        <v/>
      </c>
      <c r="E404" t="inlineStr">
        <is>
          <t>Помещение, наименование: нежилое помещение, назначение: нежилое помещение, площадь: 61,7 кв.м, цокольный этаж, кадастровый номер: 52:25:0010809:444. Адрес: Нижегородская область, р-н Кстовский, г.Кстово, пл. Мира, д. 6</t>
        </is>
      </c>
      <c r="F404" s="3" t="inlineStr">
        <is>
          <t>05.09.22 14:00</t>
        </is>
      </c>
      <c r="G404" t="inlineStr">
        <is>
          <t>Нижегородская обл, г Кстово, пл Мира, д 6</t>
        </is>
      </c>
      <c r="H404" s="4" t="n">
        <v>1810000</v>
      </c>
      <c r="I404" s="4" t="n">
        <v>29335.4943273906</v>
      </c>
      <c r="J404" t="inlineStr">
        <is>
          <t>Нежилое помещение</t>
        </is>
      </c>
      <c r="K404" s="5" t="n">
        <v>4.51</v>
      </c>
      <c r="L404" s="4" t="n">
        <v>325.94</v>
      </c>
      <c r="M404" t="n">
        <v>6507</v>
      </c>
      <c r="N404" s="6" t="n">
        <v>67439</v>
      </c>
      <c r="O404" t="n">
        <v>90</v>
      </c>
      <c r="Q404" t="inlineStr">
        <is>
          <t>EA</t>
        </is>
      </c>
      <c r="R404" t="inlineStr">
        <is>
          <t>М</t>
        </is>
      </c>
      <c r="S404" s="2">
        <f>HYPERLINK("https://yandex.ru/maps/?&amp;text=56.144695, 44.198467", "56.144695, 44.198467")</f>
        <v/>
      </c>
      <c r="T404" s="2">
        <f>HYPERLINK("D:\venv_torgi\env\cache\objs_in_district/56.144695_44.198467.json", "56.144695_44.198467.json")</f>
        <v/>
      </c>
      <c r="U404" t="inlineStr">
        <is>
          <t>52:25:0010809:444</t>
        </is>
      </c>
      <c r="V404" s="7" t="inlineStr">
        <is>
          <t>0</t>
        </is>
      </c>
      <c r="W404" s="20" t="n">
        <v>26866.27840984939</v>
      </c>
      <c r="X404" s="23" t="n">
        <v>-2469.215917541205</v>
      </c>
      <c r="Y404" t="n">
        <v>0</v>
      </c>
    </row>
    <row r="405">
      <c r="A405" s="8" t="n">
        <v>403</v>
      </c>
      <c r="B405" t="n">
        <v>52</v>
      </c>
      <c r="C405" s="1" t="n">
        <v>73.90000000000001</v>
      </c>
      <c r="D405" s="2">
        <f>HYPERLINK("https://torgi.gov.ru/new/public/lots/lot/21000032000000000031_15/(lotInfo:info)", "21000032000000000031_15")</f>
        <v/>
      </c>
      <c r="E405" t="inlineStr">
        <is>
          <t>Помещение (нежилое) общей площадью 73,9 кв.м, этаж – 1, кадастровый (или условный) номер 52:18:0010091:879. Адрес: г. Нижний Новгород, ул. Культуры, д. 6, пом П3. Должник – Капринин А.В.</t>
        </is>
      </c>
      <c r="F405" s="3" t="inlineStr">
        <is>
          <t>07.09.22 20:59</t>
        </is>
      </c>
      <c r="G405" t="inlineStr">
        <is>
          <t>г Нижний Новгород, ул Культуры, д 6, помещ П3</t>
        </is>
      </c>
      <c r="H405" s="4" t="n">
        <v>4170950</v>
      </c>
      <c r="I405" s="4" t="n">
        <v>56440.46008119079</v>
      </c>
      <c r="J405" t="inlineStr">
        <is>
          <t>Нежилое помещение</t>
        </is>
      </c>
      <c r="K405" s="5" t="n">
        <v>8.279999999999999</v>
      </c>
      <c r="L405" s="4" t="n">
        <v>2090.37</v>
      </c>
      <c r="M405" t="n">
        <v>6816</v>
      </c>
      <c r="N405" s="6" t="n">
        <v>1276560</v>
      </c>
      <c r="O405" t="n">
        <v>27</v>
      </c>
      <c r="P405" s="16" t="n">
        <v>0.1361635081088795</v>
      </c>
      <c r="Q405" t="inlineStr">
        <is>
          <t>EA</t>
        </is>
      </c>
      <c r="R405" t="inlineStr">
        <is>
          <t>Д</t>
        </is>
      </c>
      <c r="S405" s="2">
        <f>HYPERLINK("https://yandex.ru/maps/?&amp;text=56.348686, 43.860874", "56.348686, 43.860874")</f>
        <v/>
      </c>
      <c r="T405" s="2">
        <f>HYPERLINK("D:\venv_torgi\env\cache\objs_in_district/56.348686_43.860874.json", "56.348686_43.860874.json")</f>
        <v/>
      </c>
      <c r="U405" t="inlineStr">
        <is>
          <t>52:18:0010091:879</t>
        </is>
      </c>
      <c r="V405" s="7" t="inlineStr">
        <is>
          <t>1</t>
        </is>
      </c>
      <c r="W405" s="17" t="n">
        <v>64125.5911251249</v>
      </c>
      <c r="X405" s="18" t="n">
        <v>7685.13104393411</v>
      </c>
      <c r="Y405" t="n">
        <v>0</v>
      </c>
    </row>
    <row r="406">
      <c r="A406" s="8" t="n">
        <v>404</v>
      </c>
      <c r="B406" t="n">
        <v>53</v>
      </c>
      <c r="C406" s="1" t="n">
        <v>61.5</v>
      </c>
      <c r="D406" s="2">
        <f>HYPERLINK("https://torgi.gov.ru/new/public/lots/lot/21000023400000000003_1/(lotInfo:info)", "21000023400000000003_1")</f>
        <v/>
      </c>
      <c r="E406" t="inlineStr">
        <is>
          <t>Встроенное помещение, назначение: нежилое помещение, расположено на 1-этаже нежилого здания, общей площадью 61,5 кв.м, по адресу: Новгородская область, Валдайский район, д. Ивантеево, ул. Озерная, д. 21, пом. № 2, кадастровый номер 53:03:0000000:13285, является собственностью Ивантеевского сельского поселения, запись государственной регистрации права 53:03:0000000:13285-53/037/2021-1 от 23.04.2021</t>
        </is>
      </c>
      <c r="F406" s="3" t="inlineStr">
        <is>
          <t>09.09.22 13:00</t>
        </is>
      </c>
      <c r="G406" t="inlineStr">
        <is>
          <t>Новгородская обл, Валдайский р-н, деревня Ивантеево, ул Озерная, д 21</t>
        </is>
      </c>
      <c r="H406" s="4" t="n">
        <v>157000</v>
      </c>
      <c r="I406" s="4" t="n">
        <v>2552.845528455285</v>
      </c>
      <c r="J406" t="inlineStr">
        <is>
          <t>Нежилое помещение</t>
        </is>
      </c>
      <c r="K406" s="5" t="n">
        <v>60.76</v>
      </c>
      <c r="M406" t="n">
        <v>42</v>
      </c>
      <c r="N406" s="6" t="n">
        <v>731</v>
      </c>
      <c r="P406" s="21" t="n">
        <v>5.35469878733229</v>
      </c>
      <c r="Q406" t="inlineStr">
        <is>
          <t>EA</t>
        </is>
      </c>
      <c r="R406" t="inlineStr">
        <is>
          <t>М</t>
        </is>
      </c>
      <c r="S406" s="2">
        <f>HYPERLINK("https://yandex.ru/maps/?&amp;text=57.786563, 33.151921", "57.786563, 33.151921")</f>
        <v/>
      </c>
      <c r="U406" t="inlineStr">
        <is>
          <t xml:space="preserve">53:03:0000000:13285, </t>
        </is>
      </c>
      <c r="V406" s="7" t="inlineStr">
        <is>
          <t>1</t>
        </is>
      </c>
      <c r="W406" s="20" t="n">
        <v>16222.56438392146</v>
      </c>
      <c r="X406" s="22" t="n">
        <v>13669.71885546617</v>
      </c>
      <c r="Y406" t="n">
        <v>0</v>
      </c>
    </row>
    <row r="407">
      <c r="A407" s="8" t="n">
        <v>405</v>
      </c>
      <c r="B407" t="n">
        <v>53</v>
      </c>
      <c r="C407" s="1" t="n">
        <v>34.8</v>
      </c>
      <c r="D407" s="2">
        <f>HYPERLINK("https://torgi.gov.ru/new/public/lots/lot/22000034000000000012_2/(lotInfo:info)", "22000034000000000012_2")</f>
        <v/>
      </c>
      <c r="E407" t="inlineStr">
        <is>
          <t>Нежилое помещение, площадью 34,8 кв.м., с кадастровым номером 53:22:000652:229, расположенное в здании, являющемся объектом культурного наследия, по адресу: Новгородская обл, г. Боровичи, пл. Володарского, д. 7 помещение 11Н/1</t>
        </is>
      </c>
      <c r="F407" s="3" t="inlineStr">
        <is>
          <t>08.09.22 21:00</t>
        </is>
      </c>
      <c r="G407" t="inlineStr">
        <is>
          <t>Новгородская обл, г Боровичи, пл Володарского, д 7</t>
        </is>
      </c>
      <c r="H407" s="4" t="n">
        <v>150360</v>
      </c>
      <c r="I407" s="4" t="n">
        <v>4320.689655172414</v>
      </c>
      <c r="J407" t="inlineStr">
        <is>
          <t>Нежилое помещение</t>
        </is>
      </c>
      <c r="K407" s="5" t="n">
        <v>4.72</v>
      </c>
      <c r="M407" t="n">
        <v>915</v>
      </c>
      <c r="N407" s="6" t="n">
        <v>50144</v>
      </c>
      <c r="P407" s="21" t="n">
        <v>5.017536376741174</v>
      </c>
      <c r="Q407" t="inlineStr">
        <is>
          <t>PP</t>
        </is>
      </c>
      <c r="R407" t="inlineStr">
        <is>
          <t>М</t>
        </is>
      </c>
      <c r="S407" s="2">
        <f>HYPERLINK("https://yandex.ru/maps/?&amp;text=58.391172, 33.907422", "58.391172, 33.907422")</f>
        <v/>
      </c>
      <c r="U407" t="inlineStr">
        <is>
          <t xml:space="preserve">53:22:000652:229, </t>
        </is>
      </c>
      <c r="W407" s="20" t="n">
        <v>25999.90717260928</v>
      </c>
      <c r="X407" s="22" t="n">
        <v>21679.21751743687</v>
      </c>
      <c r="Y407" t="n">
        <v>0</v>
      </c>
      <c r="Z407" t="n">
        <v>1</v>
      </c>
    </row>
    <row r="408">
      <c r="A408" s="8" t="n">
        <v>406</v>
      </c>
      <c r="B408" t="n">
        <v>53</v>
      </c>
      <c r="C408" s="1" t="n">
        <v>23.4</v>
      </c>
      <c r="D408" s="2">
        <f>HYPERLINK("https://torgi.gov.ru/new/public/lots/lot/22000034000000000012_4/(lotInfo:info)", "22000034000000000012_4")</f>
        <v/>
      </c>
      <c r="E408" t="inlineStr">
        <is>
          <t>Нежилое помещение, площадью 23,4 кв.м., с кадастровым номером 53:22:0000000:12699 расположенное на 1 этаже здания, по адресу: Новгородская обл., г. Боровичи, ул. Физкультуры, д. 27, помещение 1Н</t>
        </is>
      </c>
      <c r="F408" s="3" t="inlineStr">
        <is>
          <t>08.09.22 21:00</t>
        </is>
      </c>
      <c r="G408" t="inlineStr">
        <is>
          <t>Новгородская обл, г Боровичи, ул Физкультуры, д 27</t>
        </is>
      </c>
      <c r="H408" s="4" t="n">
        <v>103920</v>
      </c>
      <c r="I408" s="4" t="n">
        <v>4441.025641025642</v>
      </c>
      <c r="J408" t="inlineStr">
        <is>
          <t>Нежилое помещение</t>
        </is>
      </c>
      <c r="K408" s="5" t="n">
        <v>4.66</v>
      </c>
      <c r="M408" t="n">
        <v>954</v>
      </c>
      <c r="N408" s="6" t="n">
        <v>50144</v>
      </c>
      <c r="P408" s="21" t="n">
        <v>4.854482561961674</v>
      </c>
      <c r="Q408" t="inlineStr">
        <is>
          <t>PP</t>
        </is>
      </c>
      <c r="R408" t="inlineStr">
        <is>
          <t>М</t>
        </is>
      </c>
      <c r="S408" s="2">
        <f>HYPERLINK("https://yandex.ru/maps/?&amp;text=58.39406, 33.912266", "58.39406, 33.912266")</f>
        <v/>
      </c>
      <c r="U408" t="inlineStr">
        <is>
          <t xml:space="preserve">53:22:0000000:12699 </t>
        </is>
      </c>
      <c r="V408" s="7" t="inlineStr">
        <is>
          <t>1</t>
        </is>
      </c>
      <c r="W408" s="20" t="n">
        <v>25999.90717260928</v>
      </c>
      <c r="X408" s="22" t="n">
        <v>21558.88153158364</v>
      </c>
      <c r="Y408" t="n">
        <v>0</v>
      </c>
    </row>
    <row r="409">
      <c r="A409" s="8" t="n">
        <v>407</v>
      </c>
      <c r="B409" t="n">
        <v>53</v>
      </c>
      <c r="C409" s="1" t="n">
        <v>15.5</v>
      </c>
      <c r="D409" s="2">
        <f>HYPERLINK("https://torgi.gov.ru/new/public/lots/lot/22000034000000000013_2/(lotInfo:info)", "22000034000000000013_2")</f>
        <v/>
      </c>
      <c r="E409" t="inlineStr">
        <is>
          <t>Нежилое помещение общей площадью 15,5 кв.м., с кадастровым номером 53:22:0020667:241, расположенное в здании, являющемся выявленным памятником культурного наследия по адресу: Новгородская область,  г. Боровичи, ул. Коммунарная, д. 40, помещение 7/1Н</t>
        </is>
      </c>
      <c r="F409" s="3" t="inlineStr">
        <is>
          <t>08.09.22 21:00</t>
        </is>
      </c>
      <c r="G409" t="inlineStr">
        <is>
          <t>Новгородская обл, г Боровичи, ул Коммунарная, д 40</t>
        </is>
      </c>
      <c r="H409" s="4" t="n">
        <v>432000</v>
      </c>
      <c r="I409" s="4" t="n">
        <v>27870.96774193548</v>
      </c>
      <c r="J409" t="inlineStr">
        <is>
          <t>Нежилое помещение</t>
        </is>
      </c>
      <c r="K409" s="5" t="n">
        <v>33.06</v>
      </c>
      <c r="M409" t="n">
        <v>843</v>
      </c>
      <c r="N409" s="6" t="n">
        <v>50144</v>
      </c>
      <c r="P409" s="21" t="n">
        <v>0.3859221685568844</v>
      </c>
      <c r="Q409" t="inlineStr">
        <is>
          <t>EA</t>
        </is>
      </c>
      <c r="R409" t="inlineStr">
        <is>
          <t>М</t>
        </is>
      </c>
      <c r="S409" s="2">
        <f>HYPERLINK("https://yandex.ru/maps/?&amp;text=58.389187, 33.91275", "58.389187, 33.91275")</f>
        <v/>
      </c>
      <c r="U409" t="inlineStr">
        <is>
          <t xml:space="preserve">53:22:0020667:241, </t>
        </is>
      </c>
      <c r="W409" s="20" t="n">
        <v>38626.9920526822</v>
      </c>
      <c r="X409" s="22" t="n">
        <v>10756.02431074671</v>
      </c>
      <c r="Y409" t="n">
        <v>0</v>
      </c>
      <c r="Z409" t="n">
        <v>1</v>
      </c>
    </row>
    <row r="410">
      <c r="A410" s="8" t="n">
        <v>408</v>
      </c>
      <c r="B410" t="n">
        <v>53</v>
      </c>
      <c r="C410" s="1" t="n">
        <v>30</v>
      </c>
      <c r="D410" s="2">
        <f>HYPERLINK("https://torgi.gov.ru/new/public/lots/lot/21000018590000000005_1/(lotInfo:info)", "21000018590000000005_1")</f>
        <v/>
      </c>
      <c r="E410" t="inlineStr">
        <is>
          <t>назначение: нежилое, площадью 30 кв.м, этаж: 1, с кадастровым номером №53:11:1700204:4186, расположенное по адресу: Новгородская область, Новгородский район, Ермолинское сельское поселение, д. Сырково, ул. Пролетарская, д.10</t>
        </is>
      </c>
      <c r="F410" s="3" t="inlineStr">
        <is>
          <t>14.09.22 14:00</t>
        </is>
      </c>
      <c r="G410" t="inlineStr">
        <is>
          <t>Новгородская обл, Новгородский р-н, деревня Сырково, ул Пролетарская, д 10</t>
        </is>
      </c>
      <c r="H410" s="4" t="n">
        <v>880000</v>
      </c>
      <c r="I410" s="4" t="n">
        <v>29333.33333333333</v>
      </c>
      <c r="J410" t="inlineStr">
        <is>
          <t>Нежилое помещение</t>
        </is>
      </c>
      <c r="K410" s="5" t="n">
        <v>151.2</v>
      </c>
      <c r="L410" s="4" t="n">
        <v>2256.38</v>
      </c>
      <c r="M410" t="n">
        <v>194</v>
      </c>
      <c r="N410" s="6" t="n">
        <v>2692</v>
      </c>
      <c r="O410" t="n">
        <v>13</v>
      </c>
      <c r="Q410" t="inlineStr">
        <is>
          <t>EA</t>
        </is>
      </c>
      <c r="R410" t="inlineStr">
        <is>
          <t>М</t>
        </is>
      </c>
      <c r="S410" s="2">
        <f>HYPERLINK("https://yandex.ru/maps/?&amp;text=58.577824, 31.227398", "58.577824, 31.227398")</f>
        <v/>
      </c>
      <c r="T410" s="2">
        <f>HYPERLINK("D:\venv_torgi\env\cache\objs_in_district/58.577824_31.227398.json", "58.577824_31.227398.json")</f>
        <v/>
      </c>
      <c r="U410" t="inlineStr">
        <is>
          <t>53:11:1700204:4186</t>
        </is>
      </c>
      <c r="V410" s="7" t="inlineStr">
        <is>
          <t>1</t>
        </is>
      </c>
      <c r="W410" s="20" t="n">
        <v>25999.90717260928</v>
      </c>
      <c r="X410" s="23" t="n">
        <v>-3333.426160724048</v>
      </c>
      <c r="Y410" t="n">
        <v>0</v>
      </c>
    </row>
    <row r="411">
      <c r="A411" s="8" t="n">
        <v>409</v>
      </c>
      <c r="B411" t="n">
        <v>53</v>
      </c>
      <c r="C411" s="1" t="n">
        <v>20</v>
      </c>
      <c r="D411" s="2">
        <f>HYPERLINK("https://torgi.gov.ru/new/public/lots/lot/21000018590000000005_2/(lotInfo:info)", "21000018590000000005_2")</f>
        <v/>
      </c>
      <c r="E411" t="inlineStr">
        <is>
          <t>назначение: нежилое, площадью 20 кв.м, этаж: 1, с кадастровым номером №53:11:1700204:4187, расположенное по адресу: Новгородская область, Новгородский район, Ермолинское сельское поселение, д. Сырково, ул. Пролетарская, д.10</t>
        </is>
      </c>
      <c r="F411" s="3" t="inlineStr">
        <is>
          <t>14.09.22 14:00</t>
        </is>
      </c>
      <c r="G411" t="inlineStr">
        <is>
          <t>Новгородская обл, Новгородский р-н, деревня Сырково, ул Пролетарская, д 10</t>
        </is>
      </c>
      <c r="H411" s="4" t="n">
        <v>620000</v>
      </c>
      <c r="I411" s="4" t="n">
        <v>31000</v>
      </c>
      <c r="J411" t="inlineStr">
        <is>
          <t>Нежилое помещение</t>
        </is>
      </c>
      <c r="K411" s="5" t="n">
        <v>159.79</v>
      </c>
      <c r="L411" s="4" t="n">
        <v>2384.62</v>
      </c>
      <c r="M411" t="n">
        <v>194</v>
      </c>
      <c r="N411" s="6" t="n">
        <v>2692</v>
      </c>
      <c r="O411" t="n">
        <v>13</v>
      </c>
      <c r="P411" s="21" t="n">
        <v>0.2460320016994257</v>
      </c>
      <c r="Q411" t="inlineStr">
        <is>
          <t>EA</t>
        </is>
      </c>
      <c r="R411" t="inlineStr">
        <is>
          <t>М</t>
        </is>
      </c>
      <c r="S411" s="2">
        <f>HYPERLINK("https://yandex.ru/maps/?&amp;text=58.577824, 31.227398", "58.577824, 31.227398")</f>
        <v/>
      </c>
      <c r="T411" s="2">
        <f>HYPERLINK("D:\venv_torgi\env\cache\objs_in_district/58.577824_31.227398.json", "58.577824_31.227398.json")</f>
        <v/>
      </c>
      <c r="U411" t="inlineStr">
        <is>
          <t>53:11:1700204:4187</t>
        </is>
      </c>
      <c r="V411" s="7" t="inlineStr">
        <is>
          <t>1</t>
        </is>
      </c>
      <c r="W411" s="20" t="n">
        <v>38626.9920526822</v>
      </c>
      <c r="X411" s="22" t="n">
        <v>7626.992052682195</v>
      </c>
      <c r="Y411" t="n">
        <v>0</v>
      </c>
    </row>
    <row r="412">
      <c r="A412" s="8" t="n">
        <v>410</v>
      </c>
      <c r="B412" t="n">
        <v>53</v>
      </c>
      <c r="C412" s="1" t="n">
        <v>71.7</v>
      </c>
      <c r="D412" s="2">
        <f>HYPERLINK("https://torgi.gov.ru/new/public/lots/lot/21000017500000000132_3/(lotInfo:info)", "21000017500000000132_3")</f>
        <v/>
      </c>
      <c r="E412" t="inlineStr">
        <is>
          <t>Вторичные. Лот №3 – Нежилое помещение, общей площадью 71,7 кв. м., КН 53:23:7012700:57, этаж №1, расположенное по адресу: Новгородская обл., г. Великий Новгород, ул. Каберова-Власьевская, д. 20 (должник ООО «Сеад Плюс»; задолженность по капитальному ремонту судебным приставом-исполнителем не предоставлена; судебный пристав-исполнитель Иванова В.В. тел. 8(8162)99-36-42). Начальная цена продажи – 2 671 550 руб. 00 коп., НДС не облагается, шаг аукциона – 26 715 руб. 00 коп., сумма задатка – 400 733 руб. 00 коп.</t>
        </is>
      </c>
      <c r="F412" s="3" t="inlineStr">
        <is>
          <t>26.09.22 20:59</t>
        </is>
      </c>
      <c r="G412" t="inlineStr">
        <is>
          <t>г Великий Новгород, ул Каберова-Власьевская, д 20</t>
        </is>
      </c>
      <c r="H412" s="4" t="n">
        <v>2671550</v>
      </c>
      <c r="I412" s="4" t="n">
        <v>37260.11157601116</v>
      </c>
      <c r="J412" t="inlineStr">
        <is>
          <t>Нежилое помещение</t>
        </is>
      </c>
      <c r="K412" s="5" t="n">
        <v>15.1</v>
      </c>
      <c r="L412" s="4" t="n">
        <v>2484</v>
      </c>
      <c r="M412" t="n">
        <v>2468</v>
      </c>
      <c r="N412" s="6" t="n">
        <v>222594</v>
      </c>
      <c r="O412" t="n">
        <v>15</v>
      </c>
      <c r="Q412" t="inlineStr">
        <is>
          <t>EA</t>
        </is>
      </c>
      <c r="R412" t="inlineStr">
        <is>
          <t>Д</t>
        </is>
      </c>
      <c r="S412" s="2">
        <f>HYPERLINK("https://yandex.ru/maps/?&amp;text=58.51561, 31.265154", "58.51561, 31.265154")</f>
        <v/>
      </c>
      <c r="T412" s="2">
        <f>HYPERLINK("D:\venv_torgi\env\cache\objs_in_district/58.51561_31.265154.json", "58.51561_31.265154.json")</f>
        <v/>
      </c>
      <c r="U412" t="inlineStr">
        <is>
          <t>53:23:7012700:57</t>
        </is>
      </c>
      <c r="V412" s="7" t="inlineStr">
        <is>
          <t>1</t>
        </is>
      </c>
      <c r="W412" s="20" t="n">
        <v>26866.27840984939</v>
      </c>
      <c r="X412" s="23" t="n">
        <v>-10393.83316616176</v>
      </c>
      <c r="Y412" t="n">
        <v>0</v>
      </c>
    </row>
    <row r="413">
      <c r="A413" s="8" t="n">
        <v>411</v>
      </c>
      <c r="B413" t="n">
        <v>54</v>
      </c>
      <c r="C413" s="1" t="n">
        <v>205.7</v>
      </c>
      <c r="D413" s="2">
        <f>HYPERLINK("https://torgi.gov.ru/new/public/lots/lot/22000016720000000002_1/(lotInfo:info)", "22000016720000000002_1")</f>
        <v/>
      </c>
      <c r="E413" t="inlineStr">
        <is>
          <t>нежилое помещение площадью 205,7 кв.м., этажность: 1, год ввода в эксплуатацию (завершения строительства): 1993 г., с  ½ части земельного участка площадью 2769 кв.м.</t>
        </is>
      </c>
      <c r="F413" s="3" t="inlineStr">
        <is>
          <t>29.08.22 01:00</t>
        </is>
      </c>
      <c r="G413" t="inlineStr">
        <is>
          <t>Новосибирская обл, Татарский р-н, деревня Первомихайловка, ул Гагарина, д 1а</t>
        </is>
      </c>
      <c r="H413" s="4" t="n">
        <v>428000</v>
      </c>
      <c r="I413" s="4" t="n">
        <v>2080.700048614487</v>
      </c>
      <c r="J413" t="inlineStr">
        <is>
          <t>Нежилое помещение</t>
        </is>
      </c>
      <c r="K413" s="9" t="n"/>
      <c r="M413" t="n">
        <v>0</v>
      </c>
      <c r="N413" s="6" t="n">
        <v>264</v>
      </c>
      <c r="P413" s="21" t="n">
        <v>3.894774064804702</v>
      </c>
      <c r="Q413" t="inlineStr">
        <is>
          <t>EA</t>
        </is>
      </c>
      <c r="R413" t="inlineStr">
        <is>
          <t>М</t>
        </is>
      </c>
      <c r="S413" s="2">
        <f>HYPERLINK("https://yandex.ru/maps/?&amp;text=55.115038, 75.801371", "55.115038, 75.801371")</f>
        <v/>
      </c>
      <c r="U413" t="inlineStr">
        <is>
          <t>54:23:040301:115</t>
        </is>
      </c>
      <c r="V413" s="7" t="inlineStr">
        <is>
          <t>1</t>
        </is>
      </c>
      <c r="W413" s="20" t="n">
        <v>10184.55663459608</v>
      </c>
      <c r="X413" s="22" t="n">
        <v>8103.856585981589</v>
      </c>
      <c r="Y413" t="n">
        <v>0</v>
      </c>
    </row>
    <row r="414">
      <c r="A414" s="8" t="n">
        <v>412</v>
      </c>
      <c r="B414" t="n">
        <v>54</v>
      </c>
      <c r="C414" s="1" t="n">
        <v>889.3</v>
      </c>
      <c r="D414" s="2">
        <f>HYPERLINK("https://torgi.gov.ru/new/public/lots/lot/21000008240000000049_3/(lotInfo:info)", "21000008240000000049_3")</f>
        <v/>
      </c>
      <c r="E414" t="inlineStr">
        <is>
          <t>Нежилое помещение на 1, 2 этаже по адресу: Российская Федерация, Новосибирская область, город Новосибирск, Октябрьский район, ул. Пролетарская, 167, площадью 889,3 кв. м</t>
        </is>
      </c>
      <c r="F414" s="3" t="inlineStr">
        <is>
          <t>20.09.22 07:00</t>
        </is>
      </c>
      <c r="G414" t="inlineStr">
        <is>
          <t>г Новосибирск, ул Пролетарская, д 167</t>
        </is>
      </c>
      <c r="H414" s="4" t="n">
        <v>2910678.9</v>
      </c>
      <c r="I414" s="4" t="n">
        <v>3273</v>
      </c>
      <c r="J414" t="inlineStr">
        <is>
          <t>Нежилое помещение</t>
        </is>
      </c>
      <c r="K414" s="5" t="n">
        <v>0.57</v>
      </c>
      <c r="L414" s="4" t="n">
        <v>233.79</v>
      </c>
      <c r="M414" t="n">
        <v>5732</v>
      </c>
      <c r="N414" s="6" t="n">
        <v>1618039</v>
      </c>
      <c r="O414" t="n">
        <v>14</v>
      </c>
      <c r="P414" s="16" t="n">
        <v>2.513581577274809</v>
      </c>
      <c r="Q414" t="inlineStr">
        <is>
          <t>EA</t>
        </is>
      </c>
      <c r="R414" t="inlineStr">
        <is>
          <t>М</t>
        </is>
      </c>
      <c r="S414" s="2">
        <f>HYPERLINK("https://yandex.ru/maps/?&amp;text=55.01903, 82.972435", "55.01903, 82.972435")</f>
        <v/>
      </c>
      <c r="T414" s="2">
        <f>HYPERLINK("D:\venv_torgi\env\cache\objs_in_district/55.01903_82.972435.json", "55.01903_82.972435.json")</f>
        <v/>
      </c>
      <c r="U414" t="inlineStr">
        <is>
          <t>54:35:072860:77</t>
        </is>
      </c>
      <c r="V414" s="7" t="inlineStr">
        <is>
          <t>2</t>
        </is>
      </c>
      <c r="W414" s="17" t="n">
        <v>11499.95250242045</v>
      </c>
      <c r="X414" s="18" t="n">
        <v>8226.95250242045</v>
      </c>
      <c r="Y414" t="n">
        <v>0</v>
      </c>
    </row>
    <row r="415">
      <c r="A415" s="8" t="n">
        <v>413</v>
      </c>
      <c r="B415" t="n">
        <v>54</v>
      </c>
      <c r="C415" s="1" t="n">
        <v>523.8</v>
      </c>
      <c r="D415" s="2">
        <f>HYPERLINK("https://torgi.gov.ru/new/public/lots/lot/21000023030000000013_1/(lotInfo:info)", "21000023030000000013_1")</f>
        <v/>
      </c>
      <c r="E415" t="inlineStr">
        <is>
          <t>Помещение, площадь 523,8 кв.м., назначение: нежилое помещение, кадастровый номер: 54:35:052070:243, расположенное по адресу: Новосибирская область, город Новосибирск, улица Бетонная, дом 3а.</t>
        </is>
      </c>
      <c r="F415" s="3" t="inlineStr">
        <is>
          <t>16.09.22 09:00</t>
        </is>
      </c>
      <c r="G415" t="inlineStr">
        <is>
          <t>г Новосибирск, ул Бетонная, д 3А</t>
        </is>
      </c>
      <c r="H415" s="4" t="n">
        <v>1788000</v>
      </c>
      <c r="I415" s="4" t="n">
        <v>3413.516609392898</v>
      </c>
      <c r="J415" t="inlineStr">
        <is>
          <t>Нежилое помещение</t>
        </is>
      </c>
      <c r="K415" s="5" t="n">
        <v>0.6899999999999999</v>
      </c>
      <c r="L415" s="4" t="n">
        <v>227.53</v>
      </c>
      <c r="M415" t="n">
        <v>4913</v>
      </c>
      <c r="N415" s="6" t="n">
        <v>1618039</v>
      </c>
      <c r="O415" t="n">
        <v>15</v>
      </c>
      <c r="P415" s="16" t="n">
        <v>2.368945816984246</v>
      </c>
      <c r="Q415" t="inlineStr">
        <is>
          <t>EA</t>
        </is>
      </c>
      <c r="R415" t="inlineStr">
        <is>
          <t>М</t>
        </is>
      </c>
      <c r="S415" s="2">
        <f>HYPERLINK("https://yandex.ru/maps/?&amp;text=54.963377, 82.904143", "54.963377, 82.904143")</f>
        <v/>
      </c>
      <c r="T415" s="2">
        <f>HYPERLINK("D:\venv_torgi\env\cache\objs_in_district/54.963377_82.904143.json", "54.963377_82.904143.json")</f>
        <v/>
      </c>
      <c r="U415" t="inlineStr">
        <is>
          <t xml:space="preserve">54:35:052070:243, </t>
        </is>
      </c>
      <c r="W415" s="17" t="n">
        <v>11499.95250242045</v>
      </c>
      <c r="X415" s="18" t="n">
        <v>8086.435893027552</v>
      </c>
      <c r="Y415" t="n">
        <v>0</v>
      </c>
    </row>
    <row r="416">
      <c r="A416" s="8" t="n">
        <v>414</v>
      </c>
      <c r="B416" t="n">
        <v>54</v>
      </c>
      <c r="C416" s="1" t="n">
        <v>73.59999999999999</v>
      </c>
      <c r="D416" s="2">
        <f>HYPERLINK("https://torgi.gov.ru/new/public/lots/lot/21000017900000000006_3/(lotInfo:info)", "21000017900000000006_3")</f>
        <v/>
      </c>
      <c r="E416" t="inlineStr">
        <is>
          <t>Конструктивные элементы основного строения: стены – кирпичные, перекрытия –ЖБИ, окна деревянные, проёмы дверные деревянные.Инженерное обеспечение основного строения: центральное отопление, электроснабжение.</t>
        </is>
      </c>
      <c r="F416" s="3" t="inlineStr">
        <is>
          <t>29.08.22 07:00</t>
        </is>
      </c>
      <c r="G416" t="inlineStr">
        <is>
          <t>Новосибирская обл, Татарский р-н, г Татарск, ул Закриевского, д 9</t>
        </is>
      </c>
      <c r="H416" s="4" t="n">
        <v>507000</v>
      </c>
      <c r="I416" s="4" t="n">
        <v>6888.58695652174</v>
      </c>
      <c r="J416" t="inlineStr">
        <is>
          <t>Нежилое помещение</t>
        </is>
      </c>
      <c r="K416" s="5" t="n">
        <v>3.7</v>
      </c>
      <c r="L416" s="4" t="n">
        <v>688.8</v>
      </c>
      <c r="M416" t="n">
        <v>1861</v>
      </c>
      <c r="N416" s="6" t="n">
        <v>23523</v>
      </c>
      <c r="O416" t="n">
        <v>10</v>
      </c>
      <c r="P416" s="21" t="n">
        <v>1.35499159498347</v>
      </c>
      <c r="Q416" t="inlineStr">
        <is>
          <t>EA</t>
        </is>
      </c>
      <c r="R416" t="inlineStr">
        <is>
          <t>М</t>
        </is>
      </c>
      <c r="S416" s="2">
        <f>HYPERLINK("https://yandex.ru/maps/?&amp;text=55.22315, 75.98707", "55.22315, 75.98707")</f>
        <v/>
      </c>
      <c r="T416" s="2">
        <f>HYPERLINK("D:\venv_torgi\env\cache\objs_in_district/55.22315_75.98707.json", "55.22315_75.98707.json")</f>
        <v/>
      </c>
      <c r="U416" t="inlineStr">
        <is>
          <t xml:space="preserve">54:37:010235: 386, </t>
        </is>
      </c>
      <c r="V416" s="7" t="inlineStr">
        <is>
          <t>1</t>
        </is>
      </c>
      <c r="W416" s="20" t="n">
        <v>16222.56438392146</v>
      </c>
      <c r="X416" s="22" t="n">
        <v>9333.977427399717</v>
      </c>
      <c r="Y416" t="n">
        <v>0</v>
      </c>
    </row>
    <row r="417">
      <c r="A417" s="8" t="n">
        <v>415</v>
      </c>
      <c r="B417" t="n">
        <v>54</v>
      </c>
      <c r="C417" s="1" t="n">
        <v>81.09999999999999</v>
      </c>
      <c r="D417" s="2">
        <f>HYPERLINK("https://torgi.gov.ru/new/public/lots/lot/21000013080000000003_1/(lotInfo:info)", "21000013080000000003_1")</f>
        <v/>
      </c>
      <c r="E417" t="inlineStr">
        <is>
          <t>Нежилое помещение, площадь: 81,1 кв.м. Кадастровый номер: 54:11:011831:254. Адрес (местоположение): Новосибирская область, Коченевский муниципальный район, сельское поселение Прокудский сельсовет, с.Прокудское, улица  Новая, здание 10, помещение № 3.</t>
        </is>
      </c>
      <c r="F417" s="3" t="inlineStr">
        <is>
          <t>29.08.22 09:00</t>
        </is>
      </c>
      <c r="G417" t="inlineStr">
        <is>
          <t>Новосибирская обл, Коченевский р-н, село Прокудское, ул Новая</t>
        </is>
      </c>
      <c r="H417" s="4" t="n">
        <v>750000</v>
      </c>
      <c r="I417" s="4" t="n">
        <v>9247.842170160297</v>
      </c>
      <c r="J417" t="inlineStr">
        <is>
          <t>Нежилое помещение</t>
        </is>
      </c>
      <c r="K417" s="5" t="n">
        <v>8.289999999999999</v>
      </c>
      <c r="L417" s="10" t="n"/>
      <c r="M417" t="n">
        <v>1115</v>
      </c>
      <c r="O417" t="inlineStr">
        <is>
          <t>0</t>
        </is>
      </c>
      <c r="Q417" t="inlineStr">
        <is>
          <t>EA</t>
        </is>
      </c>
      <c r="R417" t="inlineStr">
        <is>
          <t>М</t>
        </is>
      </c>
      <c r="S417" s="2">
        <f>HYPERLINK("https://yandex.ru/maps/?&amp;text=55.004354, 82.466322", "55.004354, 82.466322")</f>
        <v/>
      </c>
      <c r="T417" s="11">
        <f>HYPERLINK("D:\venv_torgi\env\cache\objs_in_district/55.004354_82.466322.json", "55.004354_82.466322.json")</f>
        <v/>
      </c>
      <c r="U417" t="inlineStr">
        <is>
          <t>54:11:011831:254</t>
        </is>
      </c>
      <c r="V417" s="7" t="inlineStr">
        <is>
          <t>1</t>
        </is>
      </c>
      <c r="Y417" t="n">
        <v>0</v>
      </c>
    </row>
    <row r="418">
      <c r="A418" s="8" t="n">
        <v>416</v>
      </c>
      <c r="B418" t="n">
        <v>54</v>
      </c>
      <c r="C418" s="1" t="n">
        <v>192.9</v>
      </c>
      <c r="D418" s="2">
        <f>HYPERLINK("https://torgi.gov.ru/new/public/lots/lot/21000023030000000019_1/(lotInfo:info)", "21000023030000000019_1")</f>
        <v/>
      </c>
      <c r="E418" t="inlineStr">
        <is>
          <t>Помещение, площадь 192,9 кв.м., назначение: нежилое помещение, кадастровый номер: 54:33:050415:90, расположенное по адресу: Новосибирская область, город Искитим, улица Свердлова, дом 10.</t>
        </is>
      </c>
      <c r="F418" s="3" t="inlineStr">
        <is>
          <t>19.09.22 05:00</t>
        </is>
      </c>
      <c r="G418" t="inlineStr">
        <is>
          <t>Новосибирская обл, г Искитим, ул Свердлова, д 10</t>
        </is>
      </c>
      <c r="H418" s="4" t="n">
        <v>1909000</v>
      </c>
      <c r="I418" s="4" t="n">
        <v>9896.319336443754</v>
      </c>
      <c r="J418" t="inlineStr">
        <is>
          <t>Нежилое помещение</t>
        </is>
      </c>
      <c r="K418" s="5" t="n">
        <v>3.16</v>
      </c>
      <c r="L418" s="4" t="n">
        <v>1979.2</v>
      </c>
      <c r="M418" t="n">
        <v>3129</v>
      </c>
      <c r="N418" s="6" t="n">
        <v>56411</v>
      </c>
      <c r="O418" t="n">
        <v>5</v>
      </c>
      <c r="P418" s="21" t="n">
        <v>0.02912570707888054</v>
      </c>
      <c r="Q418" t="inlineStr">
        <is>
          <t>EA</t>
        </is>
      </c>
      <c r="R418" t="inlineStr">
        <is>
          <t>М</t>
        </is>
      </c>
      <c r="S418" s="2">
        <f>HYPERLINK("https://yandex.ru/maps/?&amp;text=54.639076, 83.31239", "54.639076, 83.31239")</f>
        <v/>
      </c>
      <c r="T418" s="2">
        <f>HYPERLINK("D:\venv_torgi\env\cache\objs_in_district/54.639076_83.31239.json", "54.639076_83.31239.json")</f>
        <v/>
      </c>
      <c r="U418" t="inlineStr">
        <is>
          <t xml:space="preserve">54:33:050415:90, </t>
        </is>
      </c>
      <c r="W418" s="20" t="n">
        <v>10184.55663459608</v>
      </c>
      <c r="X418" s="22" t="n">
        <v>288.2372981523222</v>
      </c>
      <c r="Y418" t="n">
        <v>0</v>
      </c>
    </row>
    <row r="419">
      <c r="A419" s="8" t="n">
        <v>417</v>
      </c>
      <c r="B419" t="n">
        <v>54</v>
      </c>
      <c r="C419" s="1" t="n">
        <v>25.5</v>
      </c>
      <c r="D419" s="2">
        <f>HYPERLINK("https://torgi.gov.ru/new/public/lots/lot/21000008240000000052_5/(lotInfo:info)", "21000008240000000052_5")</f>
        <v/>
      </c>
      <c r="E419" t="inlineStr">
        <is>
          <t>Нежилое помещение на 1 этаже по адресу: Российская Федерация, Новосибирская область, город Новосибирск, Кировский район, ул. Мира, 22, площадью 25,5 кв. м</t>
        </is>
      </c>
      <c r="F419" s="3" t="inlineStr">
        <is>
          <t>23.09.22 07:00</t>
        </is>
      </c>
      <c r="G419" t="inlineStr">
        <is>
          <t>г Новосибирск, ул Мира, д 22</t>
        </is>
      </c>
      <c r="H419" s="4" t="n">
        <v>286000</v>
      </c>
      <c r="I419" s="4" t="n">
        <v>11215.6862745098</v>
      </c>
      <c r="J419" t="inlineStr">
        <is>
          <t>Нежилое помещение</t>
        </is>
      </c>
      <c r="K419" s="5" t="n">
        <v>2.43</v>
      </c>
      <c r="M419" t="n">
        <v>4613</v>
      </c>
      <c r="N419" s="6" t="n">
        <v>1618039</v>
      </c>
      <c r="P419" s="16" t="n">
        <v>3.079853560091841</v>
      </c>
      <c r="Q419" t="inlineStr">
        <is>
          <t>EA</t>
        </is>
      </c>
      <c r="R419" t="inlineStr">
        <is>
          <t>М</t>
        </is>
      </c>
      <c r="S419" s="2">
        <f>HYPERLINK("https://yandex.ru/maps/?&amp;text=54.963476, 82.910431", "54.963476, 82.910431")</f>
        <v/>
      </c>
      <c r="U419" t="inlineStr">
        <is>
          <t>54:35:052065:316</t>
        </is>
      </c>
      <c r="V419" s="7" t="inlineStr">
        <is>
          <t>1</t>
        </is>
      </c>
      <c r="W419" s="17" t="n">
        <v>45758.35757593202</v>
      </c>
      <c r="X419" s="18" t="n">
        <v>34542.67130142222</v>
      </c>
      <c r="Y419" t="n">
        <v>0</v>
      </c>
    </row>
    <row r="420">
      <c r="A420" s="8" t="n">
        <v>418</v>
      </c>
      <c r="B420" t="n">
        <v>54</v>
      </c>
      <c r="C420" s="1" t="n">
        <v>22.2</v>
      </c>
      <c r="D420" s="2">
        <f>HYPERLINK("https://torgi.gov.ru/new/public/lots/lot/21000008240000000052_4/(lotInfo:info)", "21000008240000000052_4")</f>
        <v/>
      </c>
      <c r="E420" t="inlineStr">
        <is>
          <t>Нежилое помещение на 1 этаже по адресу: Российская Федерация, Новосибирская область, город Новосибирск, Кировский район, ул. Мира, 22, площадью 22,2 кв. м</t>
        </is>
      </c>
      <c r="F420" s="3" t="inlineStr">
        <is>
          <t>23.09.22 07:00</t>
        </is>
      </c>
      <c r="G420" t="inlineStr">
        <is>
          <t>г Новосибирск, ул Мира, д 22</t>
        </is>
      </c>
      <c r="H420" s="4" t="n">
        <v>258000</v>
      </c>
      <c r="I420" s="4" t="n">
        <v>11621.62162162162</v>
      </c>
      <c r="J420" t="inlineStr">
        <is>
          <t>Нежилое помещение</t>
        </is>
      </c>
      <c r="K420" s="5" t="n">
        <v>2.52</v>
      </c>
      <c r="M420" t="n">
        <v>4613</v>
      </c>
      <c r="N420" s="6" t="n">
        <v>1618039</v>
      </c>
      <c r="P420" s="16" t="n">
        <v>2.93734704723136</v>
      </c>
      <c r="Q420" t="inlineStr">
        <is>
          <t>EA</t>
        </is>
      </c>
      <c r="R420" t="inlineStr">
        <is>
          <t>М</t>
        </is>
      </c>
      <c r="S420" s="2">
        <f>HYPERLINK("https://yandex.ru/maps/?&amp;text=54.963476, 82.910431", "54.963476, 82.910431")</f>
        <v/>
      </c>
      <c r="U420" t="inlineStr">
        <is>
          <t>54:35:052065:318</t>
        </is>
      </c>
      <c r="V420" s="7" t="inlineStr">
        <is>
          <t>1</t>
        </is>
      </c>
      <c r="W420" s="17" t="n">
        <v>45758.35757593202</v>
      </c>
      <c r="X420" s="18" t="n">
        <v>34136.7359543104</v>
      </c>
      <c r="Y420" t="n">
        <v>0</v>
      </c>
    </row>
    <row r="421">
      <c r="A421" s="8" t="n">
        <v>419</v>
      </c>
      <c r="B421" t="n">
        <v>54</v>
      </c>
      <c r="C421" s="1" t="n">
        <v>20.6</v>
      </c>
      <c r="D421" s="2">
        <f>HYPERLINK("https://torgi.gov.ru/new/public/lots/lot/21000008240000000052_3/(lotInfo:info)", "21000008240000000052_3")</f>
        <v/>
      </c>
      <c r="E421" t="inlineStr">
        <is>
          <t>Нежилое помещение на 1 этаже по адресу: Российская Федерация, Новосибирская область, город Новосибирск, Кировский район, ул. Мира, 22, площадью 20,6 кв. м</t>
        </is>
      </c>
      <c r="F421" s="3" t="inlineStr">
        <is>
          <t>23.09.22 07:00</t>
        </is>
      </c>
      <c r="G421" t="inlineStr">
        <is>
          <t>г Новосибирск, ул Мира, д 22</t>
        </is>
      </c>
      <c r="H421" s="4" t="n">
        <v>243000</v>
      </c>
      <c r="I421" s="4" t="n">
        <v>11796.11650485437</v>
      </c>
      <c r="J421" t="inlineStr">
        <is>
          <t>Нежилое помещение</t>
        </is>
      </c>
      <c r="K421" s="5" t="n">
        <v>2.16</v>
      </c>
      <c r="M421" t="n">
        <v>5457</v>
      </c>
      <c r="N421" s="6" t="n">
        <v>1618039</v>
      </c>
      <c r="P421" s="16" t="n">
        <v>2.879103564050205</v>
      </c>
      <c r="Q421" t="inlineStr">
        <is>
          <t>EA</t>
        </is>
      </c>
      <c r="R421" t="inlineStr">
        <is>
          <t>М</t>
        </is>
      </c>
      <c r="S421" s="2">
        <f>HYPERLINK("https://yandex.ru/maps/?&amp;text=54.963207, 82.922352", "54.963207, 82.922352")</f>
        <v/>
      </c>
      <c r="U421" t="inlineStr">
        <is>
          <t>54:35:052065:317</t>
        </is>
      </c>
      <c r="V421" s="7" t="inlineStr">
        <is>
          <t>1</t>
        </is>
      </c>
      <c r="W421" s="17" t="n">
        <v>45758.35757593202</v>
      </c>
      <c r="X421" s="18" t="n">
        <v>33962.24107107765</v>
      </c>
      <c r="Y421" t="n">
        <v>0</v>
      </c>
    </row>
    <row r="422">
      <c r="A422" s="8" t="n">
        <v>420</v>
      </c>
      <c r="B422" t="n">
        <v>54</v>
      </c>
      <c r="C422" s="1" t="n">
        <v>48.4</v>
      </c>
      <c r="D422" s="2">
        <f>HYPERLINK("https://torgi.gov.ru/new/public/lots/lot/21000008240000000050_3/(lotInfo:info)", "21000008240000000050_3")</f>
        <v/>
      </c>
      <c r="E422" t="inlineStr">
        <is>
          <t>Нежилое помещение на 1 этаже по адресу: Российская Федерация, Новосибирская область, город Новосибирск, Ленинский район, ул. Римского-Корсакова, 5/1, площадью 48,4 кв. м</t>
        </is>
      </c>
      <c r="F422" s="3" t="inlineStr">
        <is>
          <t>21.09.22 07:00</t>
        </is>
      </c>
      <c r="G422" t="inlineStr">
        <is>
          <t>г Новосибирск, ул Римского-Корсакова, д 5/1</t>
        </is>
      </c>
      <c r="H422" s="4" t="n">
        <v>891683.08</v>
      </c>
      <c r="I422" s="4" t="n">
        <v>18423.2041322314</v>
      </c>
      <c r="J422" t="inlineStr">
        <is>
          <t>Нежилое помещение</t>
        </is>
      </c>
      <c r="K422" s="5" t="n">
        <v>1.96</v>
      </c>
      <c r="L422" s="4" t="n">
        <v>449.34</v>
      </c>
      <c r="M422" t="n">
        <v>9420</v>
      </c>
      <c r="N422" s="6" t="n">
        <v>1618039</v>
      </c>
      <c r="O422" t="n">
        <v>41</v>
      </c>
      <c r="P422" s="16" t="n">
        <v>1.483735035855015</v>
      </c>
      <c r="Q422" t="inlineStr">
        <is>
          <t>EA</t>
        </is>
      </c>
      <c r="R422" t="inlineStr">
        <is>
          <t>М</t>
        </is>
      </c>
      <c r="S422" s="2">
        <f>HYPERLINK("https://yandex.ru/maps/?&amp;text=54.983923, 82.884982", "54.983923, 82.884982")</f>
        <v/>
      </c>
      <c r="T422" s="2">
        <f>HYPERLINK("D:\venv_torgi\env\cache\objs_in_district/54.983923_82.884982.json", "54.983923_82.884982.json")</f>
        <v/>
      </c>
      <c r="U422" t="inlineStr">
        <is>
          <t>54:35:064200:3058</t>
        </is>
      </c>
      <c r="V422" s="7" t="inlineStr">
        <is>
          <t>1</t>
        </is>
      </c>
      <c r="W422" s="17" t="n">
        <v>45758.35757593202</v>
      </c>
      <c r="X422" s="18" t="n">
        <v>27335.15344370062</v>
      </c>
      <c r="Y422" t="n">
        <v>0</v>
      </c>
    </row>
    <row r="423">
      <c r="A423" s="8" t="n">
        <v>421</v>
      </c>
      <c r="B423" t="n">
        <v>54</v>
      </c>
      <c r="C423" s="1" t="n">
        <v>196.8</v>
      </c>
      <c r="D423" s="2">
        <f>HYPERLINK("https://torgi.gov.ru/new/public/lots/lot/21000023030000000011_1/(lotInfo:info)", "21000023030000000011_1")</f>
        <v/>
      </c>
      <c r="E423" t="inlineStr">
        <is>
          <t>Помещение, площадь 196,8 кв.м., назначение: нежилое помещение, кадастровый номер: 54:35:064185:1221, расположенное по адресу: Новосибирская область, город Новосибирск, улица Титова, дом 22.</t>
        </is>
      </c>
      <c r="F423" s="3" t="inlineStr">
        <is>
          <t>09.09.22 09:00</t>
        </is>
      </c>
      <c r="G423" t="inlineStr">
        <is>
          <t>г Новосибирск, ул Титова, д 22</t>
        </is>
      </c>
      <c r="H423" s="4" t="n">
        <v>4531000</v>
      </c>
      <c r="I423" s="4" t="n">
        <v>23023.37398373984</v>
      </c>
      <c r="J423" t="inlineStr">
        <is>
          <t>Нежилое помещение</t>
        </is>
      </c>
      <c r="K423" s="5" t="n">
        <v>2.9</v>
      </c>
      <c r="L423" s="4" t="n">
        <v>677.15</v>
      </c>
      <c r="M423" t="n">
        <v>7939</v>
      </c>
      <c r="N423" s="6" t="n">
        <v>1618039</v>
      </c>
      <c r="O423" t="n">
        <v>34</v>
      </c>
      <c r="P423" s="16" t="n">
        <v>0.1660559675766785</v>
      </c>
      <c r="Q423" t="inlineStr">
        <is>
          <t>EA</t>
        </is>
      </c>
      <c r="R423" t="inlineStr">
        <is>
          <t>М</t>
        </is>
      </c>
      <c r="S423" s="2">
        <f>HYPERLINK("https://yandex.ru/maps/?&amp;text=54.982445, 82.87508", "54.982445, 82.87508")</f>
        <v/>
      </c>
      <c r="T423" s="2">
        <f>HYPERLINK("D:\venv_torgi\env\cache\objs_in_district/54.982445_82.87508.json", "54.982445_82.87508.json")</f>
        <v/>
      </c>
      <c r="U423" t="inlineStr">
        <is>
          <t xml:space="preserve">54:35:064185:1221, </t>
        </is>
      </c>
      <c r="W423" s="17" t="n">
        <v>26846.54262748949</v>
      </c>
      <c r="X423" s="18" t="n">
        <v>3823.168643749646</v>
      </c>
      <c r="Y423" t="n">
        <v>0</v>
      </c>
    </row>
    <row r="424">
      <c r="A424" s="8" t="n">
        <v>422</v>
      </c>
      <c r="B424" t="n">
        <v>54</v>
      </c>
      <c r="C424" s="1" t="n">
        <v>145.9</v>
      </c>
      <c r="D424" s="2">
        <f>HYPERLINK("https://torgi.gov.ru/new/public/lots/lot/21000008240000000051_1/(lotInfo:info)", "21000008240000000051_1")</f>
        <v/>
      </c>
      <c r="E424" t="inlineStr">
        <is>
          <t>Нежилое помещение на 1 этаже по адресу: Российская Федерация, Новосибирская область, город Новосибирск, Первомайский район, ул. Узорная, 8, площадь 145,9 кв. м</t>
        </is>
      </c>
      <c r="F424" s="3" t="inlineStr">
        <is>
          <t>22.09.22 07:00</t>
        </is>
      </c>
      <c r="G424" t="inlineStr">
        <is>
          <t>г Новосибирск, ул Узорная, д 8</t>
        </is>
      </c>
      <c r="H424" s="4" t="n">
        <v>3615000</v>
      </c>
      <c r="I424" s="4" t="n">
        <v>24777.24468814256</v>
      </c>
      <c r="J424" t="inlineStr">
        <is>
          <t>Нежилое помещение</t>
        </is>
      </c>
      <c r="K424" s="5" t="n">
        <v>20.79</v>
      </c>
      <c r="L424" s="4" t="n">
        <v>1376.5</v>
      </c>
      <c r="M424" t="n">
        <v>1192</v>
      </c>
      <c r="N424" s="6" t="n">
        <v>1618039</v>
      </c>
      <c r="O424" t="n">
        <v>18</v>
      </c>
      <c r="P424" s="16" t="n">
        <v>0.08351606344418157</v>
      </c>
      <c r="Q424" t="inlineStr">
        <is>
          <t>EA</t>
        </is>
      </c>
      <c r="R424" t="inlineStr">
        <is>
          <t>М</t>
        </is>
      </c>
      <c r="S424" s="2">
        <f>HYPERLINK("https://yandex.ru/maps/?&amp;text=54.922876, 83.078434", "54.922876, 83.078434")</f>
        <v/>
      </c>
      <c r="T424" s="2">
        <f>HYPERLINK("D:\venv_torgi\env\cache\objs_in_district/54.922876_83.078434.json", "54.922876_83.078434.json")</f>
        <v/>
      </c>
      <c r="U424" t="inlineStr">
        <is>
          <t>54:35:081981:947</t>
        </is>
      </c>
      <c r="V424" s="7" t="inlineStr">
        <is>
          <t>1</t>
        </is>
      </c>
      <c r="W424" s="17" t="n">
        <v>26846.54262748949</v>
      </c>
      <c r="X424" s="18" t="n">
        <v>2069.297939346925</v>
      </c>
      <c r="Y424" t="n">
        <v>0</v>
      </c>
    </row>
    <row r="425">
      <c r="A425" s="8" t="n">
        <v>423</v>
      </c>
      <c r="B425" t="n">
        <v>54</v>
      </c>
      <c r="C425" s="1" t="n">
        <v>89.40000000000001</v>
      </c>
      <c r="D425" s="2">
        <f>HYPERLINK("https://torgi.gov.ru/new/public/lots/lot/21000017900000000006_4/(lotInfo:info)", "21000017900000000006_4")</f>
        <v/>
      </c>
      <c r="E425" t="inlineStr">
        <is>
          <t>Конструктивные элементы основного строения: стены – кирпичные, перекрытия –ЖБИ, окна деревянные, проёмы дверные деревянные.Инженерное обеспечение основного строения: центральное отопление, электроснабжение, канализация.</t>
        </is>
      </c>
      <c r="F425" s="3" t="inlineStr">
        <is>
          <t>29.08.22 07:00</t>
        </is>
      </c>
      <c r="G425" t="inlineStr">
        <is>
          <t>Новосибирская обл, Татарский р-н, г Татарск, ул Закриевского, д 115</t>
        </is>
      </c>
      <c r="H425" s="4" t="n">
        <v>2296000</v>
      </c>
      <c r="I425" s="4" t="n">
        <v>25682.32662192393</v>
      </c>
      <c r="J425" t="inlineStr">
        <is>
          <t>Нежилое помещение</t>
        </is>
      </c>
      <c r="K425" s="5" t="n">
        <v>22.1</v>
      </c>
      <c r="L425" s="4" t="n">
        <v>6420.5</v>
      </c>
      <c r="M425" t="n">
        <v>1162</v>
      </c>
      <c r="N425" s="6" t="n">
        <v>23523</v>
      </c>
      <c r="O425" t="n">
        <v>4</v>
      </c>
      <c r="Q425" t="inlineStr">
        <is>
          <t>EA</t>
        </is>
      </c>
      <c r="R425" t="inlineStr">
        <is>
          <t>М</t>
        </is>
      </c>
      <c r="S425" s="2">
        <f>HYPERLINK("https://yandex.ru/maps/?&amp;text=55.21746, 75.97408", "55.21746, 75.97408")</f>
        <v/>
      </c>
      <c r="T425" s="2">
        <f>HYPERLINK("D:\venv_torgi\env\cache\objs_in_district/55.21746_75.97408.json", "55.21746_75.97408.json")</f>
        <v/>
      </c>
      <c r="U425" t="inlineStr">
        <is>
          <t xml:space="preserve">54:37:010232:141, </t>
        </is>
      </c>
      <c r="V425" s="7" t="inlineStr">
        <is>
          <t>1</t>
        </is>
      </c>
      <c r="W425" s="20" t="n">
        <v>16222.56438392146</v>
      </c>
      <c r="X425" s="23" t="n">
        <v>-9459.762238002473</v>
      </c>
      <c r="Y425" t="n">
        <v>0</v>
      </c>
    </row>
    <row r="426">
      <c r="A426" s="8" t="n">
        <v>424</v>
      </c>
      <c r="B426" t="n">
        <v>54</v>
      </c>
      <c r="C426" s="1" t="n">
        <v>66.5</v>
      </c>
      <c r="D426" s="2">
        <f>HYPERLINK("https://torgi.gov.ru/new/public/lots/lot/21000008240000000052_6/(lotInfo:info)", "21000008240000000052_6")</f>
        <v/>
      </c>
      <c r="E426" t="inlineStr">
        <is>
          <t>Нежилое помещение на 1 этаже по адресу: Российская Федерация, Новосибирская область, город Новосибирск, Ленинский район, ул. Тульская, 270/2, площадью 66,5 кв. м</t>
        </is>
      </c>
      <c r="F426" s="3" t="inlineStr">
        <is>
          <t>23.09.22 07:00</t>
        </is>
      </c>
      <c r="G426" t="inlineStr">
        <is>
          <t>г Новосибирск, ул Тульская, д 270/2</t>
        </is>
      </c>
      <c r="H426" s="4" t="n">
        <v>1746000</v>
      </c>
      <c r="I426" s="4" t="n">
        <v>26255.63909774436</v>
      </c>
      <c r="J426" t="inlineStr">
        <is>
          <t>Нежилое помещение</t>
        </is>
      </c>
      <c r="K426" s="5" t="n">
        <v>5.65</v>
      </c>
      <c r="L426" s="4" t="n">
        <v>6563.75</v>
      </c>
      <c r="M426" t="n">
        <v>4650</v>
      </c>
      <c r="N426" s="6" t="n">
        <v>1618039</v>
      </c>
      <c r="O426" t="n">
        <v>4</v>
      </c>
      <c r="P426" s="16" t="n">
        <v>0.02250577590380922</v>
      </c>
      <c r="Q426" t="inlineStr">
        <is>
          <t>EA</t>
        </is>
      </c>
      <c r="R426" t="inlineStr">
        <is>
          <t>М</t>
        </is>
      </c>
      <c r="S426" s="2">
        <f>HYPERLINK("https://yandex.ru/maps/?&amp;text=54.9654982, 82.8689603", "54.9654982, 82.8689603")</f>
        <v/>
      </c>
      <c r="T426" s="2">
        <f>HYPERLINK("D:\venv_torgi\env\cache\objs_in_district/54.9654982_82.8689603.json", "54.9654982_82.8689603.json")</f>
        <v/>
      </c>
      <c r="U426" t="inlineStr">
        <is>
          <t>54:35:063851:5538</t>
        </is>
      </c>
      <c r="V426" s="7" t="inlineStr">
        <is>
          <t>1</t>
        </is>
      </c>
      <c r="W426" s="17" t="n">
        <v>26846.54262748949</v>
      </c>
      <c r="X426" s="18" t="n">
        <v>590.9035297451264</v>
      </c>
      <c r="Y426" t="n">
        <v>0</v>
      </c>
    </row>
    <row r="427">
      <c r="A427" s="8" t="n">
        <v>425</v>
      </c>
      <c r="B427" t="n">
        <v>54</v>
      </c>
      <c r="C427" s="1" t="n">
        <v>52.3</v>
      </c>
      <c r="D427" s="2">
        <f>HYPERLINK("https://torgi.gov.ru/new/public/lots/lot/21000023030000000010_1/(lotInfo:info)", "21000023030000000010_1")</f>
        <v/>
      </c>
      <c r="E427" t="inlineStr">
        <is>
          <t>Помещение, площадь 52,3 кв.м., назначение: нежилое помещение, кадастровый номер: 54:35:032970:362, расположенное по адресу: Новосибирская область, город Новосибирск, улица Овражная, дом 8</t>
        </is>
      </c>
      <c r="F427" s="3" t="inlineStr">
        <is>
          <t>09.09.22 09:00</t>
        </is>
      </c>
      <c r="G427" t="inlineStr">
        <is>
          <t>г Новосибирск, ул Овражная, д 8</t>
        </is>
      </c>
      <c r="H427" s="4" t="n">
        <v>1914000</v>
      </c>
      <c r="I427" s="4" t="n">
        <v>36596.55831739962</v>
      </c>
      <c r="J427" t="inlineStr">
        <is>
          <t>Нежилое помещение</t>
        </is>
      </c>
      <c r="K427" s="5" t="n">
        <v>3.42</v>
      </c>
      <c r="L427" s="4" t="n">
        <v>717.5700000000001</v>
      </c>
      <c r="M427" t="n">
        <v>10692</v>
      </c>
      <c r="N427" s="6" t="n">
        <v>1618039</v>
      </c>
      <c r="O427" t="n">
        <v>51</v>
      </c>
      <c r="P427" s="16" t="n">
        <v>0.2503459254029491</v>
      </c>
      <c r="Q427" t="inlineStr">
        <is>
          <t>EA</t>
        </is>
      </c>
      <c r="R427" t="inlineStr">
        <is>
          <t>М</t>
        </is>
      </c>
      <c r="S427" s="2">
        <f>HYPERLINK("https://yandex.ru/maps/?&amp;text=55.059549, 82.921984", "55.059549, 82.921984")</f>
        <v/>
      </c>
      <c r="T427" s="2">
        <f>HYPERLINK("D:\venv_torgi\env\cache\objs_in_district/55.059549_82.921984.json", "55.059549_82.921984.json")</f>
        <v/>
      </c>
      <c r="U427" t="inlineStr">
        <is>
          <t xml:space="preserve">54:35:032970:362, </t>
        </is>
      </c>
      <c r="W427" s="17" t="n">
        <v>45758.35757593202</v>
      </c>
      <c r="X427" s="18" t="n">
        <v>9161.799258532403</v>
      </c>
      <c r="Y427" t="n">
        <v>0</v>
      </c>
    </row>
    <row r="428">
      <c r="A428" s="8" t="n">
        <v>426</v>
      </c>
      <c r="B428" t="n">
        <v>54</v>
      </c>
      <c r="C428" s="1" t="n">
        <v>197.3</v>
      </c>
      <c r="D428" s="2">
        <f>HYPERLINK("https://torgi.gov.ru/new/public/lots/lot/21000008240000000049_2/(lotInfo:info)", "21000008240000000049_2")</f>
        <v/>
      </c>
      <c r="E428" t="inlineStr">
        <is>
          <t>Нежилое помещение на 1 этаже по адресу: Российская Федерация, Новосибирская область, город Новосибирск, Ленинский район, ул. Гризодубовой, 37/4, площадью 197,3 кв. м</t>
        </is>
      </c>
      <c r="F428" s="3" t="inlineStr">
        <is>
          <t>20.09.22 07:00</t>
        </is>
      </c>
      <c r="G428" t="inlineStr">
        <is>
          <t>г Новосибирск, ул Гризодубовой, д 37/4</t>
        </is>
      </c>
      <c r="H428" s="4" t="n">
        <v>8269634.57</v>
      </c>
      <c r="I428" s="4" t="n">
        <v>41914.01201216422</v>
      </c>
      <c r="J428" t="inlineStr">
        <is>
          <t>Нежилое помещение</t>
        </is>
      </c>
      <c r="K428" s="5" t="n">
        <v>6.47</v>
      </c>
      <c r="L428" s="4" t="n">
        <v>1905.18</v>
      </c>
      <c r="M428" t="n">
        <v>6474</v>
      </c>
      <c r="N428" s="6" t="n">
        <v>1618039</v>
      </c>
      <c r="O428" t="n">
        <v>22</v>
      </c>
      <c r="Q428" t="inlineStr">
        <is>
          <t>EA</t>
        </is>
      </c>
      <c r="R428" t="inlineStr">
        <is>
          <t>М</t>
        </is>
      </c>
      <c r="S428" s="2">
        <f>HYPERLINK("https://yandex.ru/maps/?&amp;text=54.982879, 82.849121", "54.982879, 82.849121")</f>
        <v/>
      </c>
      <c r="T428" s="2">
        <f>HYPERLINK("D:\venv_torgi\env\cache\objs_in_district/54.982879_82.849121.json", "54.982879_82.849121.json")</f>
        <v/>
      </c>
      <c r="U428" t="inlineStr">
        <is>
          <t>54:35:063320:400</t>
        </is>
      </c>
      <c r="V428" s="7" t="inlineStr">
        <is>
          <t>1</t>
        </is>
      </c>
      <c r="W428" s="17" t="n">
        <v>26846.54262748949</v>
      </c>
      <c r="X428" s="19" t="n">
        <v>-15067.46938467473</v>
      </c>
      <c r="Y428" t="n">
        <v>0</v>
      </c>
    </row>
    <row r="429">
      <c r="A429" s="8" t="n">
        <v>427</v>
      </c>
      <c r="B429" t="n">
        <v>54</v>
      </c>
      <c r="C429" s="1" t="n">
        <v>54.1</v>
      </c>
      <c r="D429" s="2">
        <f>HYPERLINK("https://torgi.gov.ru/new/public/lots/lot/21000008240000000051_4/(lotInfo:info)", "21000008240000000051_4")</f>
        <v/>
      </c>
      <c r="E429" t="inlineStr">
        <is>
          <t>Нежилое помещение на 1 этаже по адресу: Российская Федерация, Новосибирская область, город Новосибирск, Калининский район, ул. Лейтенанта Амосова, 64, площадью 54,1 кв. м</t>
        </is>
      </c>
      <c r="F429" s="3" t="inlineStr">
        <is>
          <t>22.09.22 07:00</t>
        </is>
      </c>
      <c r="G429" t="inlineStr">
        <is>
          <t>г Новосибирск, ул Лейтенанта Амосова, д 64</t>
        </is>
      </c>
      <c r="H429" s="4" t="n">
        <v>2610000</v>
      </c>
      <c r="I429" s="4" t="n">
        <v>48243.99260628466</v>
      </c>
      <c r="J429" t="inlineStr">
        <is>
          <t>Нежилое помещение</t>
        </is>
      </c>
      <c r="K429" s="5" t="n">
        <v>14.23</v>
      </c>
      <c r="L429" s="4" t="n">
        <v>2192.86</v>
      </c>
      <c r="M429" t="n">
        <v>3390</v>
      </c>
      <c r="N429" s="6" t="n">
        <v>1618039</v>
      </c>
      <c r="O429" t="n">
        <v>22</v>
      </c>
      <c r="Q429" t="inlineStr">
        <is>
          <t>EA</t>
        </is>
      </c>
      <c r="R429" t="inlineStr">
        <is>
          <t>М</t>
        </is>
      </c>
      <c r="S429" s="2">
        <f>HYPERLINK("https://yandex.ru/maps/?&amp;text=55.159774, 82.961635", "55.159774, 82.961635")</f>
        <v/>
      </c>
      <c r="T429" s="2">
        <f>HYPERLINK("D:\venv_torgi\env\cache\objs_in_district/55.159774_82.961635.json", "55.159774_82.961635.json")</f>
        <v/>
      </c>
      <c r="U429" t="inlineStr">
        <is>
          <t>54:35:111265:19</t>
        </is>
      </c>
      <c r="V429" s="7" t="inlineStr">
        <is>
          <t>1</t>
        </is>
      </c>
      <c r="W429" s="17" t="n">
        <v>45758.35757593202</v>
      </c>
      <c r="X429" s="19" t="n">
        <v>-2485.635030352634</v>
      </c>
      <c r="Y429" t="n">
        <v>0</v>
      </c>
    </row>
    <row r="430">
      <c r="A430" s="8" t="n">
        <v>428</v>
      </c>
      <c r="B430" t="n">
        <v>55</v>
      </c>
      <c r="C430" s="1" t="n">
        <v>68.3</v>
      </c>
      <c r="D430" s="2">
        <f>HYPERLINK("https://torgi.gov.ru/new/public/lots/lot/22000132420000000001_1/(lotInfo:info)", "22000132420000000001_1")</f>
        <v/>
      </c>
      <c r="E430" t="inlineStr">
        <is>
          <t>Наименование имущества: нежилое помещение (далее – Имущество).Местоположение: Омская область, Омский район, село Калинино,  ул. Советская, д. 2В.Кадастровый номер: 55:20:060101:3999.Кадастровый номер объекта, в пределах которого расположено нежилое помещение: 55:20:060101:3032. Площадь – 68,3 м.кв., первый этаж.Кадастровая стоимость: 627 861,41 рубль.</t>
        </is>
      </c>
      <c r="F430" s="3" t="inlineStr">
        <is>
          <t>08.09.22 14:00</t>
        </is>
      </c>
      <c r="G430" t="inlineStr">
        <is>
          <t>Омская обл, Омский р-н, село Калинино, ул Советская, д 2В</t>
        </is>
      </c>
      <c r="H430" s="4" t="n">
        <v>458333.33</v>
      </c>
      <c r="I430" s="4" t="n">
        <v>6710.590483162518</v>
      </c>
      <c r="J430" t="inlineStr">
        <is>
          <t>Нежилое помещение</t>
        </is>
      </c>
      <c r="K430" s="5" t="n">
        <v>479.29</v>
      </c>
      <c r="M430" t="n">
        <v>14</v>
      </c>
      <c r="N430" s="6" t="n">
        <v>1491</v>
      </c>
      <c r="P430" s="21" t="n">
        <v>1.417457066501874</v>
      </c>
      <c r="Q430" t="inlineStr">
        <is>
          <t>EA</t>
        </is>
      </c>
      <c r="R430" t="inlineStr">
        <is>
          <t>М</t>
        </is>
      </c>
      <c r="S430" s="2">
        <f>HYPERLINK("https://yandex.ru/maps/?&amp;text=54.859171, 73.759913", "54.859171, 73.759913")</f>
        <v/>
      </c>
      <c r="U430" t="inlineStr">
        <is>
          <t>55:20:060101:3999</t>
        </is>
      </c>
      <c r="V430" s="7" t="inlineStr">
        <is>
          <t>1</t>
        </is>
      </c>
      <c r="W430" s="20" t="n">
        <v>16222.56438392146</v>
      </c>
      <c r="X430" s="22" t="n">
        <v>9511.97390075894</v>
      </c>
      <c r="Y430" t="n">
        <v>0</v>
      </c>
    </row>
    <row r="431">
      <c r="A431" s="8" t="n">
        <v>429</v>
      </c>
      <c r="B431" t="n">
        <v>55</v>
      </c>
      <c r="C431" s="1" t="n">
        <v>57.5</v>
      </c>
      <c r="D431" s="2">
        <f>HYPERLINK("https://torgi.gov.ru/new/public/lots/lot/21000019010000000100_3/(lotInfo:info)", "21000019010000000100_3")</f>
        <v/>
      </c>
      <c r="E431" t="inlineStr">
        <is>
          <t>лот 7831, Нежилое помещение, площадью 57,5 кв.м., кадастровый номер 55:18:180101:1801, Омская область, Одесский р-н, с/п Лукьяновское, с. Лукьяновка, пер. Центральный, д. 2, пом. 4П, Собственник (должник) Шефер Н.Е.</t>
        </is>
      </c>
      <c r="F431" s="3" t="inlineStr">
        <is>
          <t>05.09.22 17:59</t>
        </is>
      </c>
      <c r="G431" t="inlineStr">
        <is>
          <t>Омская обл, Одесский р-н, село Лукьяновка, Центральный пер, д 2</t>
        </is>
      </c>
      <c r="H431" s="4" t="n">
        <v>423500</v>
      </c>
      <c r="I431" s="4" t="n">
        <v>7365.217391304348</v>
      </c>
      <c r="J431" t="inlineStr">
        <is>
          <t>Нежилое помещение</t>
        </is>
      </c>
      <c r="K431" s="5" t="n">
        <v>31.08</v>
      </c>
      <c r="M431" t="n">
        <v>237</v>
      </c>
      <c r="N431" s="6" t="n">
        <v>1681</v>
      </c>
      <c r="P431" s="21" t="n">
        <v>1.202591386246715</v>
      </c>
      <c r="Q431" t="inlineStr">
        <is>
          <t>EA</t>
        </is>
      </c>
      <c r="R431" t="inlineStr">
        <is>
          <t>Д</t>
        </is>
      </c>
      <c r="S431" s="2">
        <f>HYPERLINK("https://yandex.ru/maps/?&amp;text=54.313953, 73.05886", "54.313953, 73.05886")</f>
        <v/>
      </c>
      <c r="U431" t="inlineStr">
        <is>
          <t xml:space="preserve">55:18:180101:1801, </t>
        </is>
      </c>
      <c r="W431" s="20" t="n">
        <v>16222.56438392146</v>
      </c>
      <c r="X431" s="22" t="n">
        <v>8857.346992617109</v>
      </c>
      <c r="Y431" t="n">
        <v>0</v>
      </c>
    </row>
    <row r="432">
      <c r="A432" s="8" t="n">
        <v>430</v>
      </c>
      <c r="B432" t="n">
        <v>55</v>
      </c>
      <c r="C432" s="1" t="n">
        <v>478.8</v>
      </c>
      <c r="D432" s="2">
        <f>HYPERLINK("https://torgi.gov.ru/new/public/lots/lot/21000019010000000096_1/(lotInfo:info)", "21000019010000000096_1")</f>
        <v/>
      </c>
      <c r="E432" t="inlineStr">
        <is>
          <t>Нежилое помещение, № 2П (общетоварный склад), назначение: нежилое, общей площадью 478,8 кв.м., количество этажей 2, инвентарный номер 6662800, кадастровый номер 55:36:010107:1348, по адресу: Омская область, мкр Береговой, ул. П.Г. Косенкова, д. 69, РНФИ П13560002203.</t>
        </is>
      </c>
      <c r="F432" s="3" t="inlineStr">
        <is>
          <t>31.08.22 16:00</t>
        </is>
      </c>
      <c r="G432" t="inlineStr">
        <is>
          <t>Омская область, мкр Береговой, ул. П.Г. Косенкова, д. 69</t>
        </is>
      </c>
      <c r="H432" s="4" t="n">
        <v>4494000</v>
      </c>
      <c r="I432" s="4" t="n">
        <v>9385.964912280702</v>
      </c>
      <c r="J432" t="inlineStr">
        <is>
          <t>Нежилое помещение</t>
        </is>
      </c>
      <c r="K432" s="5" t="n">
        <v>21.38</v>
      </c>
      <c r="L432" s="4" t="n">
        <v>3128.33</v>
      </c>
      <c r="M432" t="n">
        <v>439</v>
      </c>
      <c r="O432" t="n">
        <v>3</v>
      </c>
      <c r="Q432" t="inlineStr">
        <is>
          <t>EA</t>
        </is>
      </c>
      <c r="R432" t="inlineStr">
        <is>
          <t>М</t>
        </is>
      </c>
      <c r="S432" s="2">
        <f>HYPERLINK("https://yandex.ru/maps/?&amp;text=55.167118, 73.217331", "55.167118, 73.217331")</f>
        <v/>
      </c>
      <c r="T432" s="2">
        <f>HYPERLINK("D:\venv_torgi\env\cache\objs_in_district/55.167118_73.217331.json", "55.167118_73.217331.json")</f>
        <v/>
      </c>
      <c r="U432" t="inlineStr">
        <is>
          <t xml:space="preserve">55:36:010107:1348, </t>
        </is>
      </c>
      <c r="V432" s="7" t="inlineStr">
        <is>
          <t>2</t>
        </is>
      </c>
      <c r="Y432" t="n">
        <v>0</v>
      </c>
    </row>
    <row r="433">
      <c r="A433" s="8" t="n">
        <v>431</v>
      </c>
      <c r="B433" t="n">
        <v>55</v>
      </c>
      <c r="C433" s="1" t="n">
        <v>270.8</v>
      </c>
      <c r="D433" s="2">
        <f>HYPERLINK("https://torgi.gov.ru/new/public/lots/lot/21000019010000000100_7/(lotInfo:info)", "21000019010000000100_7")</f>
        <v/>
      </c>
      <c r="E433" t="inlineStr">
        <is>
          <t>лот 7837, Нежилое помещение, площадью 270,8 кв.м., кадастровый номер 55:20:220302:5334, Омская область, Омский р-н, с. Троицкое, пр-кт Яснополянский, д. 15, пом. 18 П, Собственник (должник) Дмитриев О.И.</t>
        </is>
      </c>
      <c r="F433" s="3" t="inlineStr">
        <is>
          <t>05.09.22 17:59</t>
        </is>
      </c>
      <c r="G433" t="inlineStr">
        <is>
          <t>Омская обл, Омский р-н, село Троицкое, Яснополянский пр-кт, д 15</t>
        </is>
      </c>
      <c r="H433" s="4" t="n">
        <v>3203000</v>
      </c>
      <c r="I433" s="4" t="n">
        <v>11827.91728212703</v>
      </c>
      <c r="J433" t="inlineStr">
        <is>
          <t>Нежилое помещение</t>
        </is>
      </c>
      <c r="K433" s="5" t="n">
        <v>25.66</v>
      </c>
      <c r="L433" s="4" t="n">
        <v>5913.5</v>
      </c>
      <c r="M433" t="n">
        <v>461</v>
      </c>
      <c r="N433" s="6" t="n">
        <v>4192</v>
      </c>
      <c r="O433" t="n">
        <v>2</v>
      </c>
      <c r="Q433" t="inlineStr">
        <is>
          <t>EA</t>
        </is>
      </c>
      <c r="R433" t="inlineStr">
        <is>
          <t>Д</t>
        </is>
      </c>
      <c r="S433" s="2">
        <f>HYPERLINK("https://yandex.ru/maps/?&amp;text=54.866067, 73.302267", "54.866067, 73.302267")</f>
        <v/>
      </c>
      <c r="T433" s="2">
        <f>HYPERLINK("D:\venv_torgi\env\cache\objs_in_district/54.866067_73.302267.json", "54.866067_73.302267.json")</f>
        <v/>
      </c>
      <c r="U433" t="inlineStr">
        <is>
          <t xml:space="preserve">55:20:220302:5334, </t>
        </is>
      </c>
      <c r="W433" s="20" t="n">
        <v>10184.55663459608</v>
      </c>
      <c r="X433" s="23" t="n">
        <v>-1643.360647530953</v>
      </c>
      <c r="Y433" t="n">
        <v>0</v>
      </c>
    </row>
    <row r="434">
      <c r="A434" s="8" t="n">
        <v>432</v>
      </c>
      <c r="B434" t="n">
        <v>55</v>
      </c>
      <c r="C434" s="1" t="n">
        <v>217.7</v>
      </c>
      <c r="D434" s="2">
        <f>HYPERLINK("https://torgi.gov.ru/new/public/lots/lot/21000019010000000088_3/(lotInfo:info)", "21000019010000000088_3")</f>
        <v/>
      </c>
      <c r="E434" t="inlineStr">
        <is>
          <t>лот 7757 Нежилые помещения-столовая с подсобными помещениями, общей площадью 217,7 кв.м., кадастровый номер 55:36:050203:2473, Омская область, г. Омск, 1-я Заводская, д. 23, Собственник (должник) Воловик И.А.</t>
        </is>
      </c>
      <c r="F434" s="3" t="inlineStr">
        <is>
          <t>29.08.22 17:59</t>
        </is>
      </c>
      <c r="G434" t="inlineStr">
        <is>
          <t>г Омск, ул 1-я Заводская, д 23</t>
        </is>
      </c>
      <c r="H434" s="4" t="n">
        <v>3143130</v>
      </c>
      <c r="I434" s="4" t="n">
        <v>14437.89618741387</v>
      </c>
      <c r="J434" t="inlineStr">
        <is>
          <t>Нежилое помещение</t>
        </is>
      </c>
      <c r="K434" s="5" t="n">
        <v>3.28</v>
      </c>
      <c r="L434" s="4" t="n">
        <v>759.84</v>
      </c>
      <c r="M434" t="n">
        <v>4406</v>
      </c>
      <c r="N434" s="6" t="n">
        <v>1178391</v>
      </c>
      <c r="O434" t="n">
        <v>19</v>
      </c>
      <c r="P434" s="16" t="n">
        <v>0.8594497618630033</v>
      </c>
      <c r="Q434" t="inlineStr">
        <is>
          <t>EA</t>
        </is>
      </c>
      <c r="R434" t="inlineStr">
        <is>
          <t>Д</t>
        </is>
      </c>
      <c r="S434" s="2">
        <f>HYPERLINK("https://yandex.ru/maps/?&amp;text=55.05567, 73.26547", "55.05567, 73.26547")</f>
        <v/>
      </c>
      <c r="T434" s="2">
        <f>HYPERLINK("D:\venv_torgi\env\cache\objs_in_district/55.05567_73.26547.json", "55.05567_73.26547.json")</f>
        <v/>
      </c>
      <c r="U434" t="inlineStr">
        <is>
          <t xml:space="preserve">55:36:050203:2473, </t>
        </is>
      </c>
      <c r="W434" s="17" t="n">
        <v>26846.54262748949</v>
      </c>
      <c r="X434" s="18" t="n">
        <v>12408.64644007562</v>
      </c>
      <c r="Y434" t="n">
        <v>0</v>
      </c>
    </row>
    <row r="435">
      <c r="A435" s="8" t="n">
        <v>433</v>
      </c>
      <c r="B435" t="n">
        <v>55</v>
      </c>
      <c r="C435" s="1" t="n">
        <v>407.8</v>
      </c>
      <c r="D435" s="2">
        <f>HYPERLINK("https://torgi.gov.ru/new/public/lots/lot/21000019010000000099_1/(lotInfo:info)", "21000019010000000099_1")</f>
        <v/>
      </c>
      <c r="E435" t="inlineStr">
        <is>
          <t>Объект незавершенного строительства, нежилое помещение, назначение: нежилое, площадь 407,8 кв.м., этаж  2,3, кадастровый номер 55:34:010406:46, по адресу: Омская область, Калачинский район, г. Калачинск, ул. Ленина, д.49, пом. 4П, РНФИ П12560007001.</t>
        </is>
      </c>
      <c r="F435" s="3" t="inlineStr">
        <is>
          <t>31.08.22 16:00</t>
        </is>
      </c>
      <c r="G435" t="inlineStr">
        <is>
          <t>Омская обл, г Калачинск, ул Ленина, д 49</t>
        </is>
      </c>
      <c r="H435" s="4" t="n">
        <v>7738000</v>
      </c>
      <c r="I435" s="4" t="n">
        <v>18974.98773908779</v>
      </c>
      <c r="J435" t="inlineStr">
        <is>
          <t>Нежилое помещение</t>
        </is>
      </c>
      <c r="K435" s="5" t="n">
        <v>9.84</v>
      </c>
      <c r="L435" s="4" t="n">
        <v>1264.93</v>
      </c>
      <c r="M435" t="n">
        <v>1928</v>
      </c>
      <c r="N435" s="6" t="n">
        <v>22781</v>
      </c>
      <c r="O435" t="n">
        <v>15</v>
      </c>
      <c r="Q435" t="inlineStr">
        <is>
          <t>EA</t>
        </is>
      </c>
      <c r="R435" t="inlineStr">
        <is>
          <t>М</t>
        </is>
      </c>
      <c r="S435" s="2">
        <f>HYPERLINK("https://yandex.ru/maps/?&amp;text=55.051323, 74.58059", "55.051323, 74.58059")</f>
        <v/>
      </c>
      <c r="T435" s="2">
        <f>HYPERLINK("D:\venv_torgi\env\cache\objs_in_district/55.051323_74.58059.json", "55.051323_74.58059.json")</f>
        <v/>
      </c>
      <c r="U435" t="inlineStr">
        <is>
          <t xml:space="preserve">55:34:010406:46, </t>
        </is>
      </c>
      <c r="V435" s="7" t="inlineStr">
        <is>
          <t>2</t>
        </is>
      </c>
      <c r="W435" s="20" t="n">
        <v>11222.13557349978</v>
      </c>
      <c r="X435" s="23" t="n">
        <v>-7752.852165588007</v>
      </c>
      <c r="Y435" t="n">
        <v>0</v>
      </c>
    </row>
    <row r="436">
      <c r="A436" s="8" t="n">
        <v>434</v>
      </c>
      <c r="B436" t="n">
        <v>55</v>
      </c>
      <c r="C436" s="1" t="n">
        <v>78.2</v>
      </c>
      <c r="D436" s="2">
        <f>HYPERLINK("https://torgi.gov.ru/new/public/lots/lot/21000019010000000102_1/(lotInfo:info)", "21000019010000000102_1")</f>
        <v/>
      </c>
      <c r="E436" t="inlineStr">
        <is>
          <t>Нежилое помещение, назначение: нежилое, площадь 78,20 кв.м., этаж № 1, кадастровый номер 55:36:090205:7303, по адресу: Омская область, г. Омск, ул. Полосухина, д. 86, пом. 1П, РНФИ П13560000680</t>
        </is>
      </c>
      <c r="F436" s="3" t="inlineStr">
        <is>
          <t>31.08.22 16:00</t>
        </is>
      </c>
      <c r="G436" t="inlineStr">
        <is>
          <t>г Омск, ул Полосухина, д 86</t>
        </is>
      </c>
      <c r="H436" s="4" t="n">
        <v>1854200</v>
      </c>
      <c r="I436" s="4" t="n">
        <v>23710.99744245524</v>
      </c>
      <c r="J436" t="inlineStr">
        <is>
          <t>Нежилое помещение</t>
        </is>
      </c>
      <c r="K436" s="5" t="n">
        <v>4.81</v>
      </c>
      <c r="L436" s="4" t="n">
        <v>7903.33</v>
      </c>
      <c r="M436" t="n">
        <v>4925</v>
      </c>
      <c r="N436" s="6" t="n">
        <v>1178391</v>
      </c>
      <c r="O436" t="n">
        <v>3</v>
      </c>
      <c r="P436" s="16" t="n">
        <v>0.1322401215994381</v>
      </c>
      <c r="Q436" t="inlineStr">
        <is>
          <t>EA</t>
        </is>
      </c>
      <c r="R436" t="inlineStr">
        <is>
          <t>М</t>
        </is>
      </c>
      <c r="S436" s="2">
        <f>HYPERLINK("https://yandex.ru/maps/?&amp;text=54.9533828, 73.3978437", "54.9533828, 73.3978437")</f>
        <v/>
      </c>
      <c r="T436" s="2">
        <f>HYPERLINK("D:\venv_torgi\env\cache\objs_in_district/54.9533828_73.3978437.json", "54.9533828_73.3978437.json")</f>
        <v/>
      </c>
      <c r="U436" t="inlineStr">
        <is>
          <t xml:space="preserve">55:36:090205:7303, </t>
        </is>
      </c>
      <c r="V436" s="7" t="inlineStr">
        <is>
          <t>1</t>
        </is>
      </c>
      <c r="W436" s="17" t="n">
        <v>26846.54262748949</v>
      </c>
      <c r="X436" s="18" t="n">
        <v>3135.545185034247</v>
      </c>
      <c r="Y436" t="n">
        <v>0</v>
      </c>
    </row>
    <row r="437">
      <c r="A437" s="8" t="n">
        <v>435</v>
      </c>
      <c r="B437" t="n">
        <v>55</v>
      </c>
      <c r="C437" s="1" t="n">
        <v>102.4</v>
      </c>
      <c r="D437" s="2">
        <f>HYPERLINK("https://torgi.gov.ru/new/public/lots/lot/21000019010000000089_4/(lotInfo:info)", "21000019010000000089_4")</f>
        <v/>
      </c>
      <c r="E437" t="inlineStr">
        <is>
          <t>лот 7812, Нежилое помещение, общей площадью 102,4 кв.м., кадастровый номер 55:36:190804:1910,  Омская обл., г. Омск, мкр Входной, д. 22/1, пом. 5 П, Собственник (должник) МП г. Омска «Тепловая компания»</t>
        </is>
      </c>
      <c r="F437" s="3" t="inlineStr">
        <is>
          <t>29.08.22 17:59</t>
        </is>
      </c>
      <c r="G437" t="inlineStr">
        <is>
          <t>г Омск, мкр Входной, д 22/1</t>
        </is>
      </c>
      <c r="H437" s="4" t="n">
        <v>3782400</v>
      </c>
      <c r="I437" s="4" t="n">
        <v>36937.5</v>
      </c>
      <c r="J437" t="inlineStr">
        <is>
          <t>Нежилое помещение</t>
        </is>
      </c>
      <c r="K437" s="5" t="n">
        <v>12.28</v>
      </c>
      <c r="L437" s="4" t="n">
        <v>1477.48</v>
      </c>
      <c r="M437" t="n">
        <v>3009</v>
      </c>
      <c r="N437" s="6" t="n">
        <v>1178391</v>
      </c>
      <c r="O437" t="n">
        <v>25</v>
      </c>
      <c r="Q437" t="inlineStr">
        <is>
          <t>EA</t>
        </is>
      </c>
      <c r="R437" t="inlineStr">
        <is>
          <t>Д</t>
        </is>
      </c>
      <c r="S437" s="2">
        <f>HYPERLINK("https://yandex.ru/maps/?&amp;text=54.951963, 73.171265", "54.951963, 73.171265")</f>
        <v/>
      </c>
      <c r="T437" s="2">
        <f>HYPERLINK("D:\venv_torgi\env\cache\objs_in_district/54.951963_73.171265.json", "54.951963_73.171265.json")</f>
        <v/>
      </c>
      <c r="U437" t="inlineStr">
        <is>
          <t xml:space="preserve">55:36:190804:1910,  </t>
        </is>
      </c>
      <c r="W437" s="17" t="n">
        <v>26846.54262748949</v>
      </c>
      <c r="X437" s="19" t="n">
        <v>-10090.95737251051</v>
      </c>
      <c r="Y437" t="n">
        <v>0</v>
      </c>
    </row>
    <row r="438">
      <c r="A438" s="8" t="n">
        <v>436</v>
      </c>
      <c r="B438" t="n">
        <v>55</v>
      </c>
      <c r="C438" s="1" t="n">
        <v>204.7</v>
      </c>
      <c r="D438" s="2">
        <f>HYPERLINK("https://torgi.gov.ru/new/public/lots/lot/21000019010000000095_1/(lotInfo:info)", "21000019010000000095_1")</f>
        <v/>
      </c>
      <c r="E438" t="inlineStr">
        <is>
          <t>Нежилое помещение, назначение: нежилое, общей площадью 204,70 кв.м., этаж № 1, инвентарный номер 3186/5П-А, кадастровый номер 55:36:050206:11996, по адресу: Омская область, г. Омск, ул. Мамина-Сибиряка, д. 3, пом. 5П, РНФИ П13560001962.</t>
        </is>
      </c>
      <c r="F438" s="3" t="inlineStr">
        <is>
          <t>31.08.22 16:00</t>
        </is>
      </c>
      <c r="G438" t="inlineStr">
        <is>
          <t>г Омск, ул Мамина-Сибиряка, д 3</t>
        </is>
      </c>
      <c r="H438" s="4" t="n">
        <v>8005000</v>
      </c>
      <c r="I438" s="4" t="n">
        <v>39106.00879335613</v>
      </c>
      <c r="J438" t="inlineStr">
        <is>
          <t>Нежилое помещение</t>
        </is>
      </c>
      <c r="K438" s="5" t="n">
        <v>6.61</v>
      </c>
      <c r="L438" s="4" t="n">
        <v>1150.18</v>
      </c>
      <c r="M438" t="n">
        <v>5918</v>
      </c>
      <c r="N438" s="6" t="n">
        <v>1178391</v>
      </c>
      <c r="O438" t="n">
        <v>34</v>
      </c>
      <c r="Q438" t="inlineStr">
        <is>
          <t>EA</t>
        </is>
      </c>
      <c r="R438" t="inlineStr">
        <is>
          <t>М</t>
        </is>
      </c>
      <c r="S438" s="2">
        <f>HYPERLINK("https://yandex.ru/maps/?&amp;text=55.031592, 73.259938", "55.031592, 73.259938")</f>
        <v/>
      </c>
      <c r="T438" s="2">
        <f>HYPERLINK("D:\venv_torgi\env\cache\objs_in_district/55.031592_73.259938.json", "55.031592_73.259938.json")</f>
        <v/>
      </c>
      <c r="U438" t="inlineStr">
        <is>
          <t xml:space="preserve">55:36:050206:11996, </t>
        </is>
      </c>
      <c r="V438" s="7" t="inlineStr">
        <is>
          <t>1</t>
        </is>
      </c>
      <c r="W438" s="17" t="n">
        <v>26846.54262748949</v>
      </c>
      <c r="X438" s="19" t="n">
        <v>-12259.46616586664</v>
      </c>
      <c r="Y438" t="n">
        <v>0</v>
      </c>
    </row>
    <row r="439">
      <c r="A439" s="8" t="n">
        <v>437</v>
      </c>
      <c r="B439" t="n">
        <v>56</v>
      </c>
      <c r="C439" s="1" t="n">
        <v>1219</v>
      </c>
      <c r="D439" s="2">
        <f>HYPERLINK("https://torgi.gov.ru/new/public/lots/lot/21000026850000000002_1/(lotInfo:info)", "21000026850000000002_1")</f>
        <v/>
      </c>
      <c r="E439" t="inlineStr">
        <is>
          <t>Школа- назначение: нежилое, количество этажей, в том числе подземных этажей: 2, в том числе подземных 1, материал наружных стен: кирпичные, 1992 год ввода в эксплуатацию по завершении строительства, площадью 1219 кв.м., с кадастровым №56:32:1601001:247; котельная - назначение: нежилое, количество этажей, в том числе подземных этажей: 1, в том числе подземных 0, материал наружных стен: кирпичные, 1998 год завершения строительства, площадью 20,5 кв.м., с кадастровым № 56:32:1601001:286; газопровод - назначение: сооружение, 2006 год ввода в эксплуатацию по завершении строительства, протяженность 136 м, с кадастровым №56:32:1601001:288; земельный участок- площадью 4528 кв.м., кадастровый номер 56:32:1601001:138, категория земель: земли населенных пунктов, разрешенное использование: для нужд образования.</t>
        </is>
      </c>
      <c r="F439" s="3" t="inlineStr">
        <is>
          <t>12.09.22 12:00</t>
        </is>
      </c>
      <c r="G439" t="inlineStr">
        <is>
          <t>Оренбургская область, р-н Тоцкий, c.Преображенка, пер.Школьный, д1</t>
        </is>
      </c>
      <c r="H439" s="4" t="n">
        <v>2284000</v>
      </c>
      <c r="I439" s="4" t="n">
        <v>1873.666940114848</v>
      </c>
      <c r="J439" t="inlineStr">
        <is>
          <t>Школа</t>
        </is>
      </c>
      <c r="K439" s="5" t="n">
        <v>14.52</v>
      </c>
      <c r="L439" s="10" t="n"/>
      <c r="M439" t="n">
        <v>129</v>
      </c>
      <c r="N439" s="6" t="n">
        <v>162</v>
      </c>
      <c r="O439" t="inlineStr">
        <is>
          <t>0</t>
        </is>
      </c>
      <c r="P439" s="21" t="n">
        <v>1.399104071148434</v>
      </c>
      <c r="Q439" t="inlineStr">
        <is>
          <t>EA</t>
        </is>
      </c>
      <c r="R439" t="inlineStr">
        <is>
          <t>М</t>
        </is>
      </c>
      <c r="S439" s="2">
        <f>HYPERLINK("https://yandex.ru/maps/?&amp;text=52.191708, 52.528056", "52.191708, 52.528056")</f>
        <v/>
      </c>
      <c r="T439" s="11">
        <f>HYPERLINK("D:\venv_torgi\env\cache\objs_in_district/52.191708_52.528056.json", "52.191708_52.528056.json")</f>
        <v/>
      </c>
      <c r="U439" t="inlineStr">
        <is>
          <t xml:space="preserve">56:32:1601001:247; </t>
        </is>
      </c>
      <c r="V439" s="7" t="inlineStr">
        <is>
          <t>2</t>
        </is>
      </c>
      <c r="W439" s="20" t="n">
        <v>4495.121984005761</v>
      </c>
      <c r="X439" s="22" t="n">
        <v>2621.455043890913</v>
      </c>
      <c r="Y439" t="n">
        <v>0</v>
      </c>
    </row>
    <row r="440">
      <c r="A440" s="8" t="n">
        <v>438</v>
      </c>
      <c r="B440" t="n">
        <v>56</v>
      </c>
      <c r="C440" s="1" t="n">
        <v>273.4</v>
      </c>
      <c r="D440" s="2">
        <f>HYPERLINK("https://torgi.gov.ru/new/public/lots/lot/22000022200000000002_1/(lotInfo:info)", "22000022200000000002_1")</f>
        <v/>
      </c>
      <c r="E440" t="inlineStr">
        <is>
          <t>Нежилое помещение площадью 273,4 м2, расположенное по адресу: Оренбургская область, г. Бугуруслан, Пилюгинское шоссе, д.3, кадастровый номер 56:37:0106050:282</t>
        </is>
      </c>
      <c r="F440" s="3" t="inlineStr">
        <is>
          <t>12.09.22 11:00</t>
        </is>
      </c>
      <c r="G440" t="inlineStr">
        <is>
          <t>Оренбургская обл, г Бугуруслан, Пилюгинское шоссе, д 3</t>
        </is>
      </c>
      <c r="H440" s="4" t="n">
        <v>1500000</v>
      </c>
      <c r="I440" s="4" t="n">
        <v>5486.46671543526</v>
      </c>
      <c r="J440" t="inlineStr">
        <is>
          <t>Нежилое помещение</t>
        </is>
      </c>
      <c r="K440" s="5" t="n">
        <v>5.3</v>
      </c>
      <c r="L440" s="4" t="n">
        <v>5486</v>
      </c>
      <c r="M440" t="n">
        <v>1035</v>
      </c>
      <c r="N440" s="6" t="n">
        <v>49009</v>
      </c>
      <c r="O440" t="n">
        <v>1</v>
      </c>
      <c r="P440" s="21" t="n">
        <v>0.8563051892657114</v>
      </c>
      <c r="Q440" t="inlineStr">
        <is>
          <t>EA</t>
        </is>
      </c>
      <c r="R440" t="inlineStr">
        <is>
          <t>М</t>
        </is>
      </c>
      <c r="S440" s="2">
        <f>HYPERLINK("https://yandex.ru/maps/?&amp;text=53.60505, 52.42789", "53.60505, 52.42789")</f>
        <v/>
      </c>
      <c r="T440" s="2">
        <f>HYPERLINK("D:\venv_torgi\env\cache\objs_in_district/53.60505_52.42789.json", "53.60505_52.42789.json")</f>
        <v/>
      </c>
      <c r="U440" t="inlineStr">
        <is>
          <t>56:37:0106050:282</t>
        </is>
      </c>
      <c r="V440" s="7" t="inlineStr">
        <is>
          <t>1</t>
        </is>
      </c>
      <c r="W440" s="20" t="n">
        <v>10184.55663459608</v>
      </c>
      <c r="X440" s="22" t="n">
        <v>4698.089919160816</v>
      </c>
      <c r="Y440" t="n">
        <v>0</v>
      </c>
    </row>
    <row r="441">
      <c r="A441" s="8" t="n">
        <v>439</v>
      </c>
      <c r="B441" t="n">
        <v>56</v>
      </c>
      <c r="C441" s="1" t="n">
        <v>40.4</v>
      </c>
      <c r="D441" s="2">
        <f>HYPERLINK("https://torgi.gov.ru/new/public/lots/lot/22000022200000000002_2/(lotInfo:info)", "22000022200000000002_2")</f>
        <v/>
      </c>
      <c r="E441" t="inlineStr">
        <is>
          <t>Нежилое помещение площадью 40,4  м2, расположенное по адресу: Оренбургская область, г. Бугуруслан, Пилюгинское шоссе, д.3, кадастровый номер 56:37:0106050:281.</t>
        </is>
      </c>
      <c r="F441" s="3" t="inlineStr">
        <is>
          <t>12.09.22 11:00</t>
        </is>
      </c>
      <c r="G441" t="inlineStr">
        <is>
          <t>Оренбургская обл, г Бугуруслан, Пилюгинское шоссе, д 3</t>
        </is>
      </c>
      <c r="H441" s="4" t="n">
        <v>450000</v>
      </c>
      <c r="I441" s="4" t="n">
        <v>11138.61386138614</v>
      </c>
      <c r="J441" t="inlineStr">
        <is>
          <t>Нежилое помещение</t>
        </is>
      </c>
      <c r="K441" s="5" t="n">
        <v>10.76</v>
      </c>
      <c r="L441" s="4" t="n">
        <v>11138</v>
      </c>
      <c r="M441" t="n">
        <v>1035</v>
      </c>
      <c r="N441" s="6" t="n">
        <v>49009</v>
      </c>
      <c r="O441" t="n">
        <v>1</v>
      </c>
      <c r="P441" s="21" t="n">
        <v>1.334213888385366</v>
      </c>
      <c r="Q441" t="inlineStr">
        <is>
          <t>EA</t>
        </is>
      </c>
      <c r="R441" t="inlineStr">
        <is>
          <t>М</t>
        </is>
      </c>
      <c r="S441" s="2">
        <f>HYPERLINK("https://yandex.ru/maps/?&amp;text=53.60505, 52.42789", "53.60505, 52.42789")</f>
        <v/>
      </c>
      <c r="T441" s="2">
        <f>HYPERLINK("D:\venv_torgi\env\cache\objs_in_district/53.60505_52.42789.json", "53.60505_52.42789.json")</f>
        <v/>
      </c>
      <c r="U441" t="inlineStr">
        <is>
          <t>56:37:0106050:281</t>
        </is>
      </c>
      <c r="V441" s="7" t="inlineStr">
        <is>
          <t>1</t>
        </is>
      </c>
      <c r="W441" s="20" t="n">
        <v>25999.90717260928</v>
      </c>
      <c r="X441" s="22" t="n">
        <v>14861.29331122314</v>
      </c>
      <c r="Y441" t="n">
        <v>0</v>
      </c>
    </row>
    <row r="442">
      <c r="A442" s="8" t="n">
        <v>440</v>
      </c>
      <c r="B442" t="n">
        <v>56</v>
      </c>
      <c r="C442" s="1" t="n">
        <v>62.4</v>
      </c>
      <c r="D442" s="2">
        <f>HYPERLINK("https://torgi.gov.ru/new/public/lots/lot/21000028380000000014_5/(lotInfo:info)", "21000028380000000014_5")</f>
        <v/>
      </c>
      <c r="E442" t="inlineStr">
        <is>
          <t>помещение, назначение: нежилое, наименование: помещение № 1, номер, тип этажа, на котором расположено помещение: этаж № 01, площадь 62,4 кв. м, местоположение: Российская Федерация, Оренбургская область, город Оренбург, с. Краснохолм, ул. Некрасова, д. 35, кадастровый номер: 56:44:1001001:3845</t>
        </is>
      </c>
      <c r="F442" s="3" t="inlineStr">
        <is>
          <t>07.09.22 04:00</t>
        </is>
      </c>
      <c r="G442" t="inlineStr">
        <is>
          <t>г Оренбург, село Краснохолм, ул Некрасова, д 35</t>
        </is>
      </c>
      <c r="H442" s="4" t="n">
        <v>805000</v>
      </c>
      <c r="I442" s="4" t="n">
        <v>12900.64102564103</v>
      </c>
      <c r="J442" t="inlineStr">
        <is>
          <t>Нежилое помещение</t>
        </is>
      </c>
      <c r="K442" s="5" t="n">
        <v>39.45</v>
      </c>
      <c r="L442" s="10" t="n"/>
      <c r="M442" t="n">
        <v>327</v>
      </c>
      <c r="N442" s="6" t="n">
        <v>580261</v>
      </c>
      <c r="O442" t="inlineStr">
        <is>
          <t>0</t>
        </is>
      </c>
      <c r="P442" s="21" t="n">
        <v>0.2575006429275759</v>
      </c>
      <c r="Q442" t="inlineStr">
        <is>
          <t>EA</t>
        </is>
      </c>
      <c r="R442" t="inlineStr">
        <is>
          <t>М</t>
        </is>
      </c>
      <c r="S442" s="2">
        <f>HYPERLINK("https://yandex.ru/maps/?&amp;text=51.5875578, 54.1345325", "51.5875578, 54.1345325")</f>
        <v/>
      </c>
      <c r="T442" s="11">
        <f>HYPERLINK("D:\venv_torgi\env\cache\objs_in_district/51.5875578_54.1345325.json", "51.5875578_54.1345325.json")</f>
        <v/>
      </c>
      <c r="U442" t="inlineStr">
        <is>
          <t>56:44:1001001:3845</t>
        </is>
      </c>
      <c r="V442" s="7" t="inlineStr">
        <is>
          <t>1</t>
        </is>
      </c>
      <c r="W442" s="20" t="n">
        <v>16222.56438392146</v>
      </c>
      <c r="X442" s="22" t="n">
        <v>3321.923358280426</v>
      </c>
      <c r="Y442" t="n">
        <v>0</v>
      </c>
    </row>
    <row r="443">
      <c r="A443" s="8" t="n">
        <v>441</v>
      </c>
      <c r="B443" t="n">
        <v>56</v>
      </c>
      <c r="C443" s="1" t="n">
        <v>88.40000000000001</v>
      </c>
      <c r="D443" s="2">
        <f>HYPERLINK("https://torgi.gov.ru/new/public/lots/lot/22000009250000000004_1/(lotInfo:info)", "22000009250000000004_1")</f>
        <v/>
      </c>
      <c r="E443" t="inlineStr">
        <is>
          <t>Нежилое помещение, назначение: нежилое, площадь 88,4 кв.м., этаж: 1, адрес (местонахождение): Российская Федерация, Оренбургская область, Оренбургский район, поселок Первомайский, улица Симонова, дом 3, помещение 3/1, кадастровый номер: 56:21:1701006:1610</t>
        </is>
      </c>
      <c r="F443" s="3" t="inlineStr">
        <is>
          <t>11.09.22 06:00</t>
        </is>
      </c>
      <c r="G443" t="inlineStr">
        <is>
          <t>Оренбургская обл, Оренбургский р-н, поселок Первомайский, ул Симонова, д 3</t>
        </is>
      </c>
      <c r="H443" s="4" t="n">
        <v>1818000</v>
      </c>
      <c r="I443" s="4" t="n">
        <v>20565.61085972851</v>
      </c>
      <c r="J443" t="inlineStr">
        <is>
          <t>Нежилое помещение</t>
        </is>
      </c>
      <c r="K443" s="5" t="n">
        <v>118.87</v>
      </c>
      <c r="L443" s="4" t="n">
        <v>6855</v>
      </c>
      <c r="M443" t="n">
        <v>173</v>
      </c>
      <c r="N443" s="6" t="n">
        <v>7127</v>
      </c>
      <c r="O443" t="n">
        <v>3</v>
      </c>
      <c r="Q443" t="inlineStr">
        <is>
          <t>EA</t>
        </is>
      </c>
      <c r="R443" t="inlineStr">
        <is>
          <t>М</t>
        </is>
      </c>
      <c r="S443" s="2">
        <f>HYPERLINK("https://yandex.ru/maps/?&amp;text=51.5365, 54.990208", "51.5365, 54.990208")</f>
        <v/>
      </c>
      <c r="T443" s="2">
        <f>HYPERLINK("D:\venv_torgi\env\cache\objs_in_district/51.5365_54.990208.json", "51.5365_54.990208.json")</f>
        <v/>
      </c>
      <c r="U443" t="inlineStr">
        <is>
          <t>56:21:1701006:1610</t>
        </is>
      </c>
      <c r="V443" s="7" t="inlineStr">
        <is>
          <t>1</t>
        </is>
      </c>
      <c r="W443" s="20" t="n">
        <v>16222.56438392146</v>
      </c>
      <c r="X443" s="23" t="n">
        <v>-4343.046475807052</v>
      </c>
      <c r="Y443" t="n">
        <v>0</v>
      </c>
    </row>
    <row r="444">
      <c r="A444" s="8" t="n">
        <v>442</v>
      </c>
      <c r="B444" t="n">
        <v>56</v>
      </c>
      <c r="C444" s="1" t="n">
        <v>29.2</v>
      </c>
      <c r="D444" s="2">
        <f>HYPERLINK("https://torgi.gov.ru/new/public/lots/lot/21000028380000000014_4/(lotInfo:info)", "21000028380000000014_4")</f>
        <v/>
      </c>
      <c r="E444" t="inlineStr">
        <is>
          <t>помещение, назначение: нежилое, номер, тип этажа, на котором расположено помещение: цокольный этаж № -, площадь 29,2 кв. м, местоположение: Российская Федерация, Оренбургская область, город Оренбург, ул. Попова, д. 87, помещение 1, кадастровый номер: 56:44:0429004:85</t>
        </is>
      </c>
      <c r="F444" s="3" t="inlineStr">
        <is>
          <t>07.09.22 04:00</t>
        </is>
      </c>
      <c r="G444" t="inlineStr">
        <is>
          <t>г Оренбург, ул Лукиана Попова, д 87</t>
        </is>
      </c>
      <c r="H444" s="4" t="n">
        <v>629900</v>
      </c>
      <c r="I444" s="4" t="n">
        <v>21571.91780821918</v>
      </c>
      <c r="J444" t="inlineStr">
        <is>
          <t>Нежилое помещение</t>
        </is>
      </c>
      <c r="K444" s="5" t="n">
        <v>3.97</v>
      </c>
      <c r="L444" s="4" t="n">
        <v>1348.19</v>
      </c>
      <c r="M444" t="n">
        <v>5429</v>
      </c>
      <c r="N444" s="6" t="n">
        <v>580261</v>
      </c>
      <c r="O444" t="n">
        <v>16</v>
      </c>
      <c r="P444" s="21" t="n">
        <v>0.2454283688960188</v>
      </c>
      <c r="Q444" t="inlineStr">
        <is>
          <t>EA</t>
        </is>
      </c>
      <c r="R444" t="inlineStr">
        <is>
          <t>М</t>
        </is>
      </c>
      <c r="S444" s="2">
        <f>HYPERLINK("https://yandex.ru/maps/?&amp;text=51.779061, 55.09718", "51.779061, 55.09718")</f>
        <v/>
      </c>
      <c r="T444" s="2">
        <f>HYPERLINK("D:\venv_torgi\env\cache\objs_in_district/51.779061_55.09718.json", "51.779061_55.09718.json")</f>
        <v/>
      </c>
      <c r="U444" t="inlineStr">
        <is>
          <t>56:44:0429004:85</t>
        </is>
      </c>
      <c r="V444" s="7" t="inlineStr">
        <is>
          <t>0</t>
        </is>
      </c>
      <c r="W444" s="20" t="n">
        <v>26866.27840984939</v>
      </c>
      <c r="X444" s="22" t="n">
        <v>5294.360601630215</v>
      </c>
      <c r="Y444" t="n">
        <v>0</v>
      </c>
    </row>
    <row r="445">
      <c r="A445" s="8" t="n">
        <v>443</v>
      </c>
      <c r="B445" t="n">
        <v>56</v>
      </c>
      <c r="C445" s="1" t="n">
        <v>125.7</v>
      </c>
      <c r="D445" s="2">
        <f>HYPERLINK("https://torgi.gov.ru/new/public/lots/lot/21000028380000000015_6/(lotInfo:info)", "21000028380000000015_6")</f>
        <v/>
      </c>
      <c r="E445" t="inlineStr">
        <is>
          <t>Нежилое помещение, находящееся по адресу: г. Оренбург, ул. Постникова, д. № 9а, помещение № 4,2</t>
        </is>
      </c>
      <c r="F445" s="3" t="inlineStr">
        <is>
          <t>21.09.22 04:00</t>
        </is>
      </c>
      <c r="G445" t="inlineStr">
        <is>
          <t>г Оренбург, ул Постникова, д 9А</t>
        </is>
      </c>
      <c r="H445" s="4" t="n">
        <v>2869400</v>
      </c>
      <c r="I445" s="4" t="n">
        <v>22827.36674622116</v>
      </c>
      <c r="J445" t="inlineStr">
        <is>
          <t>Нежилое помещение</t>
        </is>
      </c>
      <c r="K445" s="5" t="n">
        <v>4.32</v>
      </c>
      <c r="M445" t="n">
        <v>5282</v>
      </c>
      <c r="N445" s="6" t="n">
        <v>580261</v>
      </c>
      <c r="P445" s="21" t="n">
        <v>0.1769328766007071</v>
      </c>
      <c r="Q445" t="inlineStr">
        <is>
          <t>EA</t>
        </is>
      </c>
      <c r="R445" t="inlineStr">
        <is>
          <t>М</t>
        </is>
      </c>
      <c r="S445" s="2">
        <f>HYPERLINK("https://yandex.ru/maps/?&amp;text=51.766895, 55.090766", "51.766895, 55.090766")</f>
        <v/>
      </c>
      <c r="U445" t="inlineStr">
        <is>
          <t>56:44:0000000:32751</t>
        </is>
      </c>
      <c r="W445" s="20" t="n">
        <v>26866.27840984939</v>
      </c>
      <c r="X445" s="22" t="n">
        <v>4038.911663628234</v>
      </c>
      <c r="Y445" t="n">
        <v>0</v>
      </c>
    </row>
    <row r="446">
      <c r="A446" s="8" t="n">
        <v>444</v>
      </c>
      <c r="B446" t="n">
        <v>57</v>
      </c>
      <c r="C446" s="1" t="n">
        <v>218.2</v>
      </c>
      <c r="D446" s="2">
        <f>HYPERLINK("https://torgi.gov.ru/new/public/lots/lot/22000067610000000002_1/(lotInfo:info)", "22000067610000000002_1")</f>
        <v/>
      </c>
      <c r="E446" t="inlineStr">
        <is>
          <t>Нежилое помещение, назначение: нежилое, количество этажей 1, общая площадь 218,2 кв.м., кадастровый номер 57:04:0290101:846, адрес объекта: Российская Федерация, Орловская область, Шаблыкинский р-н, с. Хотьково,  ул. Тургенева, д.9, пом.2.</t>
        </is>
      </c>
      <c r="F446" s="3" t="inlineStr">
        <is>
          <t>02.09.22 15:00</t>
        </is>
      </c>
      <c r="G446" t="inlineStr">
        <is>
          <t>Орловская обл, Шаблыкинский р-н, село Хотьково, ул Тургенева, д 9</t>
        </is>
      </c>
      <c r="H446" s="4" t="n">
        <v>515909</v>
      </c>
      <c r="I446" s="4" t="n">
        <v>2364.385884509624</v>
      </c>
      <c r="J446" t="inlineStr">
        <is>
          <t>Нежилое помещение</t>
        </is>
      </c>
      <c r="K446" s="5" t="n">
        <v>11</v>
      </c>
      <c r="L446" s="4" t="n">
        <v>1182</v>
      </c>
      <c r="M446" t="n">
        <v>215</v>
      </c>
      <c r="N446" s="6" t="n">
        <v>643</v>
      </c>
      <c r="O446" t="n">
        <v>2</v>
      </c>
      <c r="P446" s="21" t="n">
        <v>3.307484958914971</v>
      </c>
      <c r="Q446" t="inlineStr">
        <is>
          <t>EA</t>
        </is>
      </c>
      <c r="R446" t="inlineStr">
        <is>
          <t>М</t>
        </is>
      </c>
      <c r="S446" s="2">
        <f>HYPERLINK("https://yandex.ru/maps/?&amp;text=52.910501, 35.379303", "52.910501, 35.379303")</f>
        <v/>
      </c>
      <c r="T446" s="2">
        <f>HYPERLINK("D:\venv_torgi\env\cache\objs_in_district/52.910501_35.379303.json", "52.910501_35.379303.json")</f>
        <v/>
      </c>
      <c r="U446" t="inlineStr">
        <is>
          <t xml:space="preserve">57:04:0290101:846, </t>
        </is>
      </c>
      <c r="V446" s="7" t="inlineStr">
        <is>
          <t>1</t>
        </is>
      </c>
      <c r="W446" s="20" t="n">
        <v>10184.55663459608</v>
      </c>
      <c r="X446" s="22" t="n">
        <v>7820.170750086452</v>
      </c>
      <c r="Y446" t="n">
        <v>0</v>
      </c>
    </row>
    <row r="447">
      <c r="A447" s="8" t="n">
        <v>445</v>
      </c>
      <c r="B447" t="n">
        <v>57</v>
      </c>
      <c r="C447" s="1" t="n">
        <v>108.8</v>
      </c>
      <c r="D447" s="2">
        <f>HYPERLINK("https://torgi.gov.ru/new/public/lots/lot/22000042460000000010_4/(lotInfo:info)", "22000042460000000010_4")</f>
        <v/>
      </c>
      <c r="E447" t="inlineStr">
        <is>
          <t>Нежилое помещение, расположенное по адресу: г. Орёл, ул. Машиностроительная, д. 3, площадь 108,8 кв.м, этаж 1</t>
        </is>
      </c>
      <c r="F447" s="3" t="inlineStr">
        <is>
          <t>15.09.22 15:00</t>
        </is>
      </c>
      <c r="G447" t="inlineStr">
        <is>
          <t>г Орёл, ул Машиностроительная, влд 3</t>
        </is>
      </c>
      <c r="H447" s="4" t="n">
        <v>4274000</v>
      </c>
      <c r="I447" s="4" t="n">
        <v>39283.08823529412</v>
      </c>
      <c r="J447" t="inlineStr">
        <is>
          <t>Нежилое помещение</t>
        </is>
      </c>
      <c r="K447" s="5" t="n">
        <v>14.07</v>
      </c>
      <c r="L447" s="4" t="n">
        <v>9820.75</v>
      </c>
      <c r="M447" t="n">
        <v>2792</v>
      </c>
      <c r="N447" s="6" t="n">
        <v>311625</v>
      </c>
      <c r="O447" t="n">
        <v>4</v>
      </c>
      <c r="Q447" t="inlineStr">
        <is>
          <t>EA</t>
        </is>
      </c>
      <c r="R447" t="inlineStr">
        <is>
          <t>М</t>
        </is>
      </c>
      <c r="S447" s="2">
        <f>HYPERLINK("https://yandex.ru/maps/?&amp;text=52.917457, 36.002186", "52.917457, 36.002186")</f>
        <v/>
      </c>
      <c r="T447" s="2">
        <f>HYPERLINK("D:\venv_torgi\env\cache\objs_in_district/52.917457_36.002186.json", "52.917457_36.002186.json")</f>
        <v/>
      </c>
      <c r="V447" s="7" t="inlineStr">
        <is>
          <t>1</t>
        </is>
      </c>
      <c r="W447" s="20" t="n">
        <v>26866.27840984939</v>
      </c>
      <c r="X447" s="23" t="n">
        <v>-12416.80982544472</v>
      </c>
      <c r="Y447" t="n">
        <v>0</v>
      </c>
    </row>
    <row r="448">
      <c r="A448" s="8" t="n">
        <v>446</v>
      </c>
      <c r="B448" t="n">
        <v>57</v>
      </c>
      <c r="C448" s="1" t="n">
        <v>131.5</v>
      </c>
      <c r="D448" s="2">
        <f>HYPERLINK("https://torgi.gov.ru/new/public/lots/lot/22000042460000000010_1/(lotInfo:info)", "22000042460000000010_1")</f>
        <v/>
      </c>
      <c r="E448" t="inlineStr">
        <is>
          <t>Нежилое помещение, расположенное по адресу: г. Орёл, ул. Карачевская, д. 31, пом. 1, площадь 131,5 кв.м., этаж 2</t>
        </is>
      </c>
      <c r="F448" s="3" t="inlineStr">
        <is>
          <t>15.09.22 15:00</t>
        </is>
      </c>
      <c r="G448" t="inlineStr">
        <is>
          <t>г Орёл, ул Карачевская, д 31</t>
        </is>
      </c>
      <c r="H448" s="4" t="n">
        <v>6046000</v>
      </c>
      <c r="I448" s="4" t="n">
        <v>45977.18631178707</v>
      </c>
      <c r="J448" t="inlineStr">
        <is>
          <t>Нежилое помещение</t>
        </is>
      </c>
      <c r="K448" s="5" t="n">
        <v>10.38</v>
      </c>
      <c r="L448" s="4" t="n">
        <v>1642.04</v>
      </c>
      <c r="M448" t="n">
        <v>4430</v>
      </c>
      <c r="N448" s="6" t="n">
        <v>311625</v>
      </c>
      <c r="O448" t="n">
        <v>28</v>
      </c>
      <c r="Q448" t="inlineStr">
        <is>
          <t>EA</t>
        </is>
      </c>
      <c r="R448" t="inlineStr">
        <is>
          <t>М</t>
        </is>
      </c>
      <c r="S448" s="2">
        <f>HYPERLINK("https://yandex.ru/maps/?&amp;text=52.95843, 36.0616", "52.95843, 36.0616")</f>
        <v/>
      </c>
      <c r="T448" s="2">
        <f>HYPERLINK("D:\venv_torgi\env\cache\objs_in_district/52.95843_36.0616.json", "52.95843_36.0616.json")</f>
        <v/>
      </c>
      <c r="V448" s="7" t="inlineStr">
        <is>
          <t>2</t>
        </is>
      </c>
      <c r="W448" s="20" t="n">
        <v>26866.27840984939</v>
      </c>
      <c r="X448" s="23" t="n">
        <v>-19110.90790193767</v>
      </c>
      <c r="Y448" t="n">
        <v>0</v>
      </c>
    </row>
    <row r="449">
      <c r="A449" s="8" t="n">
        <v>447</v>
      </c>
      <c r="B449" t="n">
        <v>57</v>
      </c>
      <c r="C449" s="1" t="n">
        <v>47.8</v>
      </c>
      <c r="D449" s="2">
        <f>HYPERLINK("https://torgi.gov.ru/new/public/lots/lot/22000042460000000010_3/(lotInfo:info)", "22000042460000000010_3")</f>
        <v/>
      </c>
      <c r="E449" t="inlineStr">
        <is>
          <t>Нежилое помещение, расположенное по адресу: г. Орёл, ул. Матросова, д. 48, площадь 47,8 кв.м., этаж цокольный</t>
        </is>
      </c>
      <c r="F449" s="3" t="inlineStr">
        <is>
          <t>15.09.22 15:00</t>
        </is>
      </c>
      <c r="G449" t="inlineStr">
        <is>
          <t>г Орёл, ул Матросова, д 48</t>
        </is>
      </c>
      <c r="H449" s="4" t="n">
        <v>3003000</v>
      </c>
      <c r="I449" s="4" t="n">
        <v>62824.26778242678</v>
      </c>
      <c r="J449" t="inlineStr">
        <is>
          <t>Нежилое помещение</t>
        </is>
      </c>
      <c r="K449" s="5" t="n">
        <v>16.21</v>
      </c>
      <c r="L449" s="4" t="n">
        <v>3306.53</v>
      </c>
      <c r="M449" t="n">
        <v>3876</v>
      </c>
      <c r="N449" s="6" t="n">
        <v>311625</v>
      </c>
      <c r="O449" t="n">
        <v>19</v>
      </c>
      <c r="Q449" t="inlineStr">
        <is>
          <t>EA</t>
        </is>
      </c>
      <c r="R449" t="inlineStr">
        <is>
          <t>М</t>
        </is>
      </c>
      <c r="S449" s="2">
        <f>HYPERLINK("https://yandex.ru/maps/?&amp;text=52.975051, 36.043733", "52.975051, 36.043733")</f>
        <v/>
      </c>
      <c r="T449" s="2">
        <f>HYPERLINK("D:\venv_torgi\env\cache\objs_in_district/52.975051_36.043733.json", "52.975051_36.043733.json")</f>
        <v/>
      </c>
      <c r="V449" s="7" t="inlineStr">
        <is>
          <t>0</t>
        </is>
      </c>
      <c r="W449" s="20" t="n">
        <v>26866.27840984939</v>
      </c>
      <c r="X449" s="23" t="n">
        <v>-35957.98937257739</v>
      </c>
      <c r="Y449" t="n">
        <v>0</v>
      </c>
    </row>
    <row r="450">
      <c r="A450" s="8" t="n">
        <v>448</v>
      </c>
      <c r="B450" t="n">
        <v>58</v>
      </c>
      <c r="C450" s="1" t="n">
        <v>628</v>
      </c>
      <c r="D450" s="2">
        <f>HYPERLINK("https://torgi.gov.ru/new/public/lots/lot/22000061470000000003_3/(lotInfo:info)", "22000061470000000003_3")</f>
        <v/>
      </c>
      <c r="E450" t="inlineStr">
        <is>
          <t>Лот №3: Нежилое помещение (кадастровый номер 58:32:0020512:334), общей площадью 628,0 кв.м., расположенное по адресу: Пензенская область, Сердобский район, г. Сердобск, ул. Лесная,37, с земельным участком (кадастровый номер 58:32:0020309:271), общей площадью 936 кв.м., категория земель: земли населенных пунктов, разрешенное использование: коммунальное обслуживание, расположенным по адресу: Пензенская область, Сердобский район,  г. Сердобск, ул. Лесная.Техническое состояние объекта удовлетворительное.</t>
        </is>
      </c>
      <c r="F450" s="3" t="inlineStr">
        <is>
          <t>12.09.22 14:00</t>
        </is>
      </c>
      <c r="G450" t="inlineStr">
        <is>
          <t>Пензенская обл, г Сердобск, ул Лесная, зд 37</t>
        </is>
      </c>
      <c r="H450" s="4" t="n">
        <v>1328000</v>
      </c>
      <c r="I450" s="4" t="n">
        <v>2114.649681528662</v>
      </c>
      <c r="J450" t="inlineStr">
        <is>
          <t>Нежилое помещение</t>
        </is>
      </c>
      <c r="K450" s="5" t="n">
        <v>1.09</v>
      </c>
      <c r="L450" s="4" t="n">
        <v>528.5</v>
      </c>
      <c r="M450" t="n">
        <v>1944</v>
      </c>
      <c r="N450" s="6" t="n">
        <v>31475</v>
      </c>
      <c r="O450" t="n">
        <v>4</v>
      </c>
      <c r="P450" s="21" t="n">
        <v>2.189558863931289</v>
      </c>
      <c r="Q450" t="inlineStr">
        <is>
          <t>EA</t>
        </is>
      </c>
      <c r="R450" t="inlineStr">
        <is>
          <t>М</t>
        </is>
      </c>
      <c r="S450" s="2">
        <f>HYPERLINK("https://yandex.ru/maps/?&amp;text=52.465812, 44.219732", "52.465812, 44.219732")</f>
        <v/>
      </c>
      <c r="T450" s="2">
        <f>HYPERLINK("D:\venv_torgi\env\cache\objs_in_district/52.465812_44.219732.json", "52.465812_44.219732.json")</f>
        <v/>
      </c>
      <c r="U450" t="inlineStr">
        <is>
          <t>58:32:0020512:334</t>
        </is>
      </c>
      <c r="V450" s="7" t="inlineStr">
        <is>
          <t>1</t>
        </is>
      </c>
      <c r="W450" s="20" t="n">
        <v>6744.799635829221</v>
      </c>
      <c r="X450" s="22" t="n">
        <v>4630.149954300559</v>
      </c>
      <c r="Y450" t="n">
        <v>0</v>
      </c>
    </row>
    <row r="451">
      <c r="A451" s="8" t="n">
        <v>449</v>
      </c>
      <c r="B451" t="n">
        <v>58</v>
      </c>
      <c r="C451" s="1" t="n">
        <v>475.1</v>
      </c>
      <c r="D451" s="2">
        <f>HYPERLINK("https://torgi.gov.ru/new/public/lots/lot/21000016520000000010_1/(lotInfo:info)", "21000016520000000010_1")</f>
        <v/>
      </c>
      <c r="E451" t="inlineStr">
        <is>
          <t>- помещение площадью 316 (триста шестнадцать) кв.м, назначение: нежилое; номер, тип этажа, на котором расположено помещение: этаж № 2; адрес: Пензенская область, г Пенза, ул. 9 Января/ ул. Крупской, д. 13/15; кадастровый номер 58:29:1005014:1102.- помещение площадью 159,1 (сто пятьдесят девять целых одна десятая) кв.м, назначение: нежилое; номер, тип этажа, на котором расположено помещение: этаж № 2; адрес: Пензенская область, г Пенза, ул. 9 Января/ ул. Крупской, д. 13/15; кадастровый номер 58:29:1005014:1100.</t>
        </is>
      </c>
      <c r="F451" s="3" t="inlineStr">
        <is>
          <t>09.09.22 20:00</t>
        </is>
      </c>
      <c r="G451" t="inlineStr">
        <is>
          <t>Пензенская область, г Пенза, ул. 9 Января/ ул. Крупской, д. 13/15, Кадастровые номера 58:29:1005014:1102,  58:29:1005014:1100</t>
        </is>
      </c>
      <c r="H451" s="4" t="n">
        <v>4965000</v>
      </c>
      <c r="I451" s="4" t="n">
        <v>10450.43148810777</v>
      </c>
      <c r="J451" t="inlineStr">
        <is>
          <t>Нежилое помещение</t>
        </is>
      </c>
      <c r="K451" s="5" t="n">
        <v>1.91</v>
      </c>
      <c r="L451" s="4" t="n">
        <v>190</v>
      </c>
      <c r="M451" t="n">
        <v>5473</v>
      </c>
      <c r="N451" s="6" t="n">
        <v>522317</v>
      </c>
      <c r="O451" t="n">
        <v>55</v>
      </c>
      <c r="Q451" t="inlineStr">
        <is>
          <t>EA</t>
        </is>
      </c>
      <c r="R451" t="inlineStr">
        <is>
          <t>М</t>
        </is>
      </c>
      <c r="S451" s="2">
        <f>HYPERLINK("https://yandex.ru/maps/?&amp;text=53.22039, 44.992858", "53.22039, 44.992858")</f>
        <v/>
      </c>
      <c r="T451" s="2">
        <f>HYPERLINK("D:\venv_torgi\env\cache\objs_in_district/53.22039_44.992858.json", "53.22039_44.992858.json")</f>
        <v/>
      </c>
      <c r="U451" t="inlineStr">
        <is>
          <t>58:29:1005014:1102</t>
        </is>
      </c>
      <c r="V451" s="7" t="inlineStr">
        <is>
          <t>2</t>
        </is>
      </c>
      <c r="W451" s="20" t="n">
        <v>7580.293239265166</v>
      </c>
      <c r="X451" s="23" t="n">
        <v>-2870.138248842604</v>
      </c>
      <c r="Y451" t="n">
        <v>0</v>
      </c>
    </row>
    <row r="452">
      <c r="A452" s="8" t="n">
        <v>450</v>
      </c>
      <c r="B452" t="n">
        <v>58</v>
      </c>
      <c r="C452" s="1" t="n">
        <v>32.8</v>
      </c>
      <c r="D452" s="2">
        <f>HYPERLINK("https://torgi.gov.ru/new/public/lots/lot/22000061470000000003_4/(lotInfo:info)", "22000061470000000003_4")</f>
        <v/>
      </c>
      <c r="E452" t="inlineStr">
        <is>
          <t>Лот №4: Нежилое помещение (кадастровый номер 58:32:0020140:1318), общей площадью 32,8 кв. м, расположенное по адресу: Пензенская область, Сердобский район, г. Сердобск, ул.  М. Горького,249, пом. н-1.        Техническое состояние объекта удовлетворительное.</t>
        </is>
      </c>
      <c r="F452" s="3" t="inlineStr">
        <is>
          <t>12.09.22 14:00</t>
        </is>
      </c>
      <c r="G452" t="inlineStr">
        <is>
          <t>Пензенская обл, г Сердобск, ул К.Маркса</t>
        </is>
      </c>
      <c r="H452" s="4" t="n">
        <v>357000</v>
      </c>
      <c r="I452" s="4" t="n">
        <v>10884.14634146342</v>
      </c>
      <c r="J452" t="inlineStr">
        <is>
          <t>Нежилое помещение</t>
        </is>
      </c>
      <c r="K452" s="5" t="n">
        <v>9.789999999999999</v>
      </c>
      <c r="L452" s="4" t="n">
        <v>3628</v>
      </c>
      <c r="M452" t="n">
        <v>1112</v>
      </c>
      <c r="N452" s="6" t="n">
        <v>31475</v>
      </c>
      <c r="O452" t="n">
        <v>3</v>
      </c>
      <c r="P452" s="21" t="n">
        <v>1.388786989528247</v>
      </c>
      <c r="Q452" t="inlineStr">
        <is>
          <t>EA</t>
        </is>
      </c>
      <c r="R452" t="inlineStr">
        <is>
          <t>М</t>
        </is>
      </c>
      <c r="S452" s="2">
        <f>HYPERLINK("https://yandex.ru/maps/?&amp;text=52.479477, 44.229496", "52.479477, 44.229496")</f>
        <v/>
      </c>
      <c r="T452" s="2">
        <f>HYPERLINK("D:\venv_torgi\env\cache\objs_in_district/52.479477_44.229496.json", "52.479477_44.229496.json")</f>
        <v/>
      </c>
      <c r="U452" t="inlineStr">
        <is>
          <t>58:32:0020140:1318</t>
        </is>
      </c>
      <c r="V452" s="7" t="inlineStr">
        <is>
          <t>1</t>
        </is>
      </c>
      <c r="W452" s="20" t="n">
        <v>25999.90717260928</v>
      </c>
      <c r="X452" s="22" t="n">
        <v>15115.76083114586</v>
      </c>
      <c r="Y452" t="n">
        <v>0</v>
      </c>
    </row>
    <row r="453">
      <c r="A453" s="8" t="n">
        <v>451</v>
      </c>
      <c r="B453" t="n">
        <v>58</v>
      </c>
      <c r="C453" s="1" t="n">
        <v>50</v>
      </c>
      <c r="D453" s="2">
        <f>HYPERLINK("https://torgi.gov.ru/new/public/lots/lot/22000061470000000003_5/(lotInfo:info)", "22000061470000000003_5")</f>
        <v/>
      </c>
      <c r="E453" t="inlineStr">
        <is>
          <t>Лот №5: Нежилое помещение (кадастровый номер 58:32:0020140:1317), общей площадью 50,0 кв. м, расположенное по адресу: Пензенская область, Сердобский район, г. Сердобск, ул. М. Горького,249, пом. н-2.       Техническое состояние объекта удовлетворительное.</t>
        </is>
      </c>
      <c r="F453" s="3" t="inlineStr">
        <is>
          <t>12.09.22 14:00</t>
        </is>
      </c>
      <c r="G453" t="inlineStr">
        <is>
          <t>Пензенская обл, г Сердобск, ул К.Маркса</t>
        </is>
      </c>
      <c r="H453" s="4" t="n">
        <v>545000</v>
      </c>
      <c r="I453" s="4" t="n">
        <v>10900</v>
      </c>
      <c r="J453" t="inlineStr">
        <is>
          <t>Нежилое помещение</t>
        </is>
      </c>
      <c r="K453" s="5" t="n">
        <v>9.800000000000001</v>
      </c>
      <c r="L453" s="4" t="n">
        <v>3633.33</v>
      </c>
      <c r="M453" t="n">
        <v>1112</v>
      </c>
      <c r="N453" s="6" t="n">
        <v>31475</v>
      </c>
      <c r="O453" t="n">
        <v>3</v>
      </c>
      <c r="P453" s="21" t="n">
        <v>1.385312584643053</v>
      </c>
      <c r="Q453" t="inlineStr">
        <is>
          <t>EA</t>
        </is>
      </c>
      <c r="R453" t="inlineStr">
        <is>
          <t>М</t>
        </is>
      </c>
      <c r="S453" s="2">
        <f>HYPERLINK("https://yandex.ru/maps/?&amp;text=52.479477, 44.229496", "52.479477, 44.229496")</f>
        <v/>
      </c>
      <c r="T453" s="2">
        <f>HYPERLINK("D:\venv_torgi\env\cache\objs_in_district/52.479477_44.229496.json", "52.479477_44.229496.json")</f>
        <v/>
      </c>
      <c r="U453" t="inlineStr">
        <is>
          <t>58:32:0020140:1317</t>
        </is>
      </c>
      <c r="V453" s="7" t="inlineStr">
        <is>
          <t>1</t>
        </is>
      </c>
      <c r="W453" s="20" t="n">
        <v>25999.90717260928</v>
      </c>
      <c r="X453" s="22" t="n">
        <v>15099.90717260928</v>
      </c>
      <c r="Y453" t="n">
        <v>0</v>
      </c>
    </row>
    <row r="454">
      <c r="A454" s="8" t="n">
        <v>452</v>
      </c>
      <c r="B454" t="n">
        <v>58</v>
      </c>
      <c r="C454" s="1" t="n">
        <v>629.8</v>
      </c>
      <c r="D454" s="2">
        <f>HYPERLINK("https://torgi.gov.ru/new/public/lots/lot/21000016520000000009_1/(lotInfo:info)", "21000016520000000009_1")</f>
        <v/>
      </c>
      <c r="E454" t="inlineStr">
        <is>
          <t>- помещение площадью 315,7 (триста пятнадцать целых семь десятых) кв.м, назначение: нежилое; номер, тип этажа, на котором расположено помещение: этаж № 1; адрес: Пензенская область, г Пенза, ул. 9 Января/ ул. Крупской, д. 13/15; кадастровый номер 58:29:1005014:1101.- помещение площадью 314,1 (триста четырнадцать целых одна десятая) кв.м, назначение: нежилое; наименование: нежилое помещение в литере А; номер, тип этажа, на котором расположено помещение: этаж № 1; адрес: Пензенская область, г Пенза, Октябрьский район, улица 9 Января/ улица Крупской, д. 13/15; кадастровый номер 58:29:1005014:678.</t>
        </is>
      </c>
      <c r="F454" s="3" t="inlineStr">
        <is>
          <t>09.09.22 20:00</t>
        </is>
      </c>
      <c r="G454" t="inlineStr">
        <is>
          <t>Пензенская область, г Пенза, ул. 9 Января/ ул. Крупской, д. 13/15, кадастровые номера 58:29:1005014:1101, 58:29:1005014:678.</t>
        </is>
      </c>
      <c r="H454" s="4" t="n">
        <v>7356000</v>
      </c>
      <c r="I454" s="4" t="n">
        <v>11679.89838043824</v>
      </c>
      <c r="J454" t="inlineStr">
        <is>
          <t>Нежилое помещение</t>
        </is>
      </c>
      <c r="K454" s="5" t="n">
        <v>2.13</v>
      </c>
      <c r="L454" s="4" t="n">
        <v>212.35</v>
      </c>
      <c r="M454" t="n">
        <v>5473</v>
      </c>
      <c r="N454" s="6" t="n">
        <v>522317</v>
      </c>
      <c r="O454" t="n">
        <v>55</v>
      </c>
      <c r="Q454" t="inlineStr">
        <is>
          <t>EA</t>
        </is>
      </c>
      <c r="R454" t="inlineStr">
        <is>
          <t>М</t>
        </is>
      </c>
      <c r="S454" s="2">
        <f>HYPERLINK("https://yandex.ru/maps/?&amp;text=53.22039, 44.992858", "53.22039, 44.992858")</f>
        <v/>
      </c>
      <c r="T454" s="2">
        <f>HYPERLINK("D:\venv_torgi\env\cache\objs_in_district/53.22039_44.992858.json", "53.22039_44.992858.json")</f>
        <v/>
      </c>
      <c r="U454" t="inlineStr">
        <is>
          <t>58:29:1005014:1101</t>
        </is>
      </c>
      <c r="V454" s="7" t="inlineStr">
        <is>
          <t>1</t>
        </is>
      </c>
      <c r="W454" s="20" t="n">
        <v>7580.293239265166</v>
      </c>
      <c r="X454" s="23" t="n">
        <v>-4099.605141173075</v>
      </c>
      <c r="Y454" t="n">
        <v>0</v>
      </c>
    </row>
    <row r="455">
      <c r="A455" s="8" t="n">
        <v>453</v>
      </c>
      <c r="B455" t="n">
        <v>59</v>
      </c>
      <c r="C455" s="1" t="n">
        <v>91</v>
      </c>
      <c r="D455" s="2">
        <f>HYPERLINK("https://torgi.gov.ru/new/public/lots/lot/21000025320000000018_2/(lotInfo:info)", "21000025320000000018_2")</f>
        <v/>
      </c>
      <c r="E455" t="inlineStr">
        <is>
          <t>Нежилые помещения на втором этаже 2-х этажного здания, материал стен – бревенчатые КН 59:31:0710111:660</t>
        </is>
      </c>
      <c r="F455" s="3" t="inlineStr">
        <is>
          <t>07.09.22 07:00</t>
        </is>
      </c>
      <c r="G455" t="inlineStr">
        <is>
          <t>Пермский край, Очерский р-н, рп Павловский, ул Павловская, д 36</t>
        </is>
      </c>
      <c r="H455" s="4" t="n">
        <v>195600</v>
      </c>
      <c r="I455" s="4" t="n">
        <v>2149.450549450549</v>
      </c>
      <c r="J455" t="inlineStr">
        <is>
          <t>Нежилое помещение</t>
        </is>
      </c>
      <c r="K455" s="5" t="n">
        <v>4.19</v>
      </c>
      <c r="L455" s="4" t="n">
        <v>358.17</v>
      </c>
      <c r="M455" t="n">
        <v>513</v>
      </c>
      <c r="O455" t="n">
        <v>6</v>
      </c>
      <c r="Q455" t="inlineStr">
        <is>
          <t>PP</t>
        </is>
      </c>
      <c r="R455" t="inlineStr">
        <is>
          <t>М</t>
        </is>
      </c>
      <c r="S455" s="2">
        <f>HYPERLINK("https://yandex.ru/maps/?&amp;text=57.842932, 54.835186", "57.842932, 54.835186")</f>
        <v/>
      </c>
      <c r="T455" s="2">
        <f>HYPERLINK("D:\venv_torgi\env\cache\objs_in_district/57.842932_54.835186.json", "57.842932_54.835186.json")</f>
        <v/>
      </c>
      <c r="U455" t="inlineStr">
        <is>
          <t>59:31:0710111:605</t>
        </is>
      </c>
      <c r="V455" s="7" t="inlineStr">
        <is>
          <t>2</t>
        </is>
      </c>
      <c r="Y455" t="n">
        <v>0</v>
      </c>
    </row>
    <row r="456">
      <c r="A456" s="8" t="n">
        <v>454</v>
      </c>
      <c r="B456" t="n">
        <v>59</v>
      </c>
      <c r="C456" s="1" t="n">
        <v>57.1</v>
      </c>
      <c r="D456" s="2">
        <f>HYPERLINK("https://torgi.gov.ru/new/public/lots/lot/21000009180000000008_5/(lotInfo:info)", "21000009180000000008_5")</f>
        <v/>
      </c>
      <c r="E456" t="inlineStr">
        <is>
          <t>Часть нежилого строения, сост. из помещения № 2 ул. Базарная, д. 5 с. Бикбарда, общей площадью 57,1 кв.м., с кадастровым номером 59:23:0061002:182, по адресу: Пермский край, Куединский р-н, с Бикбарда, ул. Базарная, д 5</t>
        </is>
      </c>
      <c r="F456" s="3" t="inlineStr">
        <is>
          <t>16.09.22 12:00</t>
        </is>
      </c>
      <c r="G456" t="inlineStr">
        <is>
          <t>Пермский край, Куединский р-н, село Бикбарда, ул Базарная, д 5</t>
        </is>
      </c>
      <c r="H456" s="4" t="n">
        <v>240000</v>
      </c>
      <c r="I456" s="4" t="n">
        <v>4203.152364273205</v>
      </c>
      <c r="J456" t="inlineStr">
        <is>
          <t>Нежилое помещение</t>
        </is>
      </c>
      <c r="K456" s="5" t="n">
        <v>107.77</v>
      </c>
      <c r="M456" t="n">
        <v>39</v>
      </c>
      <c r="N456" s="6" t="n">
        <v>442</v>
      </c>
      <c r="P456" s="21" t="n">
        <v>5.185811248149958</v>
      </c>
      <c r="Q456" t="inlineStr">
        <is>
          <t>PP</t>
        </is>
      </c>
      <c r="R456" t="inlineStr">
        <is>
          <t>М</t>
        </is>
      </c>
      <c r="S456" s="2">
        <f>HYPERLINK("https://yandex.ru/maps/?&amp;text=56.479789, 55.729729", "56.479789, 55.729729")</f>
        <v/>
      </c>
      <c r="U456" t="inlineStr">
        <is>
          <t xml:space="preserve">59:23:0061002:182, </t>
        </is>
      </c>
      <c r="W456" s="20" t="n">
        <v>25999.90717260928</v>
      </c>
      <c r="X456" s="22" t="n">
        <v>21796.75480833607</v>
      </c>
      <c r="Y456" t="n">
        <v>0</v>
      </c>
    </row>
    <row r="457">
      <c r="A457" s="8" t="n">
        <v>455</v>
      </c>
      <c r="B457" t="n">
        <v>59</v>
      </c>
      <c r="C457" s="1" t="n">
        <v>78.59999999999999</v>
      </c>
      <c r="D457" s="2">
        <f>HYPERLINK("https://torgi.gov.ru/new/public/lots/lot/22000022050000000031_1/(lotInfo:info)", "22000022050000000031_1")</f>
        <v/>
      </c>
      <c r="E457" t="inlineStr">
        <is>
          <t>Помещение, назначение: нежилое, наименование: нежилое помещение (фельдшерско-акушерский пункт), этаж № 1, площадь 78,6 кв.м, кадастровый номер 59:07:0080101:445, расположенное по адресу: Пермский край, Краснокамский г/о, д. Фадеята, ул. Новая, 1а-2</t>
        </is>
      </c>
      <c r="F457" s="3" t="inlineStr">
        <is>
          <t>11.09.22 14:00</t>
        </is>
      </c>
      <c r="G457" t="inlineStr">
        <is>
          <t>Пермский край, г Краснокамск, деревня Фадеята, ул Новая</t>
        </is>
      </c>
      <c r="H457" s="4" t="n">
        <v>376900</v>
      </c>
      <c r="I457" s="4" t="n">
        <v>4795.165394402036</v>
      </c>
      <c r="J457" t="inlineStr">
        <is>
          <t>Нежилое помещение</t>
        </is>
      </c>
      <c r="K457" s="5" t="n">
        <v>99.90000000000001</v>
      </c>
      <c r="M457" t="n">
        <v>48</v>
      </c>
      <c r="N457" s="6" t="n">
        <v>53864</v>
      </c>
      <c r="P457" s="21" t="n">
        <v>2.383108412247881</v>
      </c>
      <c r="Q457" t="inlineStr">
        <is>
          <t>EA</t>
        </is>
      </c>
      <c r="R457" t="inlineStr">
        <is>
          <t>М</t>
        </is>
      </c>
      <c r="S457" s="2">
        <f>HYPERLINK("https://yandex.ru/maps/?&amp;text=58.057788, 55.468867", "58.057788, 55.468867")</f>
        <v/>
      </c>
      <c r="U457" t="inlineStr">
        <is>
          <t xml:space="preserve">59:07:0080101:445, </t>
        </is>
      </c>
      <c r="V457" s="7" t="inlineStr">
        <is>
          <t>1</t>
        </is>
      </c>
      <c r="W457" s="20" t="n">
        <v>16222.56438392146</v>
      </c>
      <c r="X457" s="22" t="n">
        <v>11427.39898951942</v>
      </c>
      <c r="Y457" t="n">
        <v>0</v>
      </c>
    </row>
    <row r="458">
      <c r="A458" s="8" t="n">
        <v>456</v>
      </c>
      <c r="B458" t="n">
        <v>59</v>
      </c>
      <c r="C458" s="1" t="n">
        <v>307.1</v>
      </c>
      <c r="D458" s="2">
        <f>HYPERLINK("https://torgi.gov.ru/new/public/lots/lot/21000024380000000005_4/(lotInfo:info)", "21000024380000000005_4")</f>
        <v/>
      </c>
      <c r="E458" t="inlineStr">
        <is>
          <t>нежилые помещения, общей площадью 307.1 кв.м., кадастровый номер 59:16:0010120:622, находящиеся по адресу: Пермский край, г. Верещагино, ул. Ленина, 57а.</t>
        </is>
      </c>
      <c r="F458" s="3" t="inlineStr">
        <is>
          <t>30.08.22 19:59</t>
        </is>
      </c>
      <c r="G458" t="inlineStr">
        <is>
          <t>Пермский край, г Верещагино, ул Ленина, д 57а</t>
        </is>
      </c>
      <c r="H458" s="4" t="n">
        <v>1542000</v>
      </c>
      <c r="I458" s="4" t="n">
        <v>5021.16574405731</v>
      </c>
      <c r="J458" t="inlineStr">
        <is>
          <t>Нежилое помещение</t>
        </is>
      </c>
      <c r="K458" s="5" t="n">
        <v>4.31</v>
      </c>
      <c r="L458" s="10" t="n"/>
      <c r="M458" t="n">
        <v>1166</v>
      </c>
      <c r="N458" s="6" t="n">
        <v>22194</v>
      </c>
      <c r="O458" t="inlineStr">
        <is>
          <t>0</t>
        </is>
      </c>
      <c r="Q458" t="inlineStr">
        <is>
          <t>PP</t>
        </is>
      </c>
      <c r="R458" t="inlineStr">
        <is>
          <t>М</t>
        </is>
      </c>
      <c r="S458" s="2">
        <f>HYPERLINK("https://yandex.ru/maps/?&amp;text=58.077282, 54.682266", "58.077282, 54.682266")</f>
        <v/>
      </c>
      <c r="T458" s="11">
        <f>HYPERLINK("D:\venv_torgi\env\cache\objs_in_district/58.077282_54.682266.json", "58.077282_54.682266.json")</f>
        <v/>
      </c>
      <c r="U458" t="inlineStr">
        <is>
          <t xml:space="preserve">59:16:0010120:622, </t>
        </is>
      </c>
      <c r="V458" s="7" t="inlineStr">
        <is>
          <t>1</t>
        </is>
      </c>
      <c r="W458" s="20" t="n">
        <v>4495.121984005761</v>
      </c>
      <c r="X458" s="23" t="n">
        <v>-526.0437600515488</v>
      </c>
      <c r="Y458" t="n">
        <v>0</v>
      </c>
    </row>
    <row r="459">
      <c r="A459" s="8" t="n">
        <v>457</v>
      </c>
      <c r="B459" t="n">
        <v>59</v>
      </c>
      <c r="C459" s="1" t="n">
        <v>335.5</v>
      </c>
      <c r="D459" s="2">
        <f>HYPERLINK("https://torgi.gov.ru/new/public/lots/lot/22000057960000000008_1/(lotInfo:info)", "22000057960000000008_1")</f>
        <v/>
      </c>
      <c r="E459" t="inlineStr">
        <is>
          <t>Здание гаража, назначение: нежилое, площадь 335,5 кв.м., количество этажей 1, в том числе подземных: 0, адрес объекта: РФ, Пермский край, г. Краснокамск, пер. Дорожный, д.7</t>
        </is>
      </c>
      <c r="F459" s="3" t="inlineStr">
        <is>
          <t>05.09.22 04:00</t>
        </is>
      </c>
      <c r="G459" t="inlineStr">
        <is>
          <t>Пермский край, г Краснокамск, Дорожный пер, д 7</t>
        </is>
      </c>
      <c r="H459" s="4" t="n">
        <v>2281656</v>
      </c>
      <c r="I459" s="4" t="n">
        <v>6800.76304023845</v>
      </c>
      <c r="J459" t="inlineStr">
        <is>
          <t xml:space="preserve">Здание </t>
        </is>
      </c>
      <c r="K459" s="5" t="n">
        <v>2.58</v>
      </c>
      <c r="L459" s="4" t="n">
        <v>1133.33</v>
      </c>
      <c r="M459" t="n">
        <v>2637</v>
      </c>
      <c r="N459" s="6" t="n">
        <v>53864</v>
      </c>
      <c r="O459" t="n">
        <v>6</v>
      </c>
      <c r="Q459" t="inlineStr">
        <is>
          <t>EA</t>
        </is>
      </c>
      <c r="R459" t="inlineStr">
        <is>
          <t>М</t>
        </is>
      </c>
      <c r="S459" s="2">
        <f>HYPERLINK("https://yandex.ru/maps/?&amp;text=58.07939, 55.779989", "58.07939, 55.779989")</f>
        <v/>
      </c>
      <c r="T459" s="2">
        <f>HYPERLINK("D:\venv_torgi\env\cache\objs_in_district/58.07939_55.779989.json", "58.07939_55.779989.json")</f>
        <v/>
      </c>
      <c r="U459" t="inlineStr">
        <is>
          <t xml:space="preserve"> 59:07:0010905:185 </t>
        </is>
      </c>
      <c r="V459" s="7" t="inlineStr">
        <is>
          <t>1</t>
        </is>
      </c>
      <c r="W459" s="20" t="n">
        <v>6744.799635829221</v>
      </c>
      <c r="X459" s="23" t="n">
        <v>-55.96340440922904</v>
      </c>
      <c r="Y459" t="n">
        <v>0</v>
      </c>
    </row>
    <row r="460">
      <c r="A460" s="8" t="n">
        <v>458</v>
      </c>
      <c r="B460" t="n">
        <v>59</v>
      </c>
      <c r="C460" s="1" t="n">
        <v>1036.8</v>
      </c>
      <c r="D460" s="2">
        <f>HYPERLINK("https://torgi.gov.ru/new/public/lots/lot/21000020210000000043_12/(lotInfo:info)", "21000020210000000043_12")</f>
        <v/>
      </c>
      <c r="E460" t="inlineStr">
        <is>
          <t>Нежилое помещение № 4, назначение: нежилое, этаж № 1, этаж № 2, общая площадь 1036,8 кв.м, кадастровый номер: 59:37:0620204:278, адрес объекта: г. Усолье, ул. Свободы, д. 155 (объект обременен договорами:  - 44 кв.м.- аренда по  19.05.2024г.; - 16,3 кв.м – аренда по 30.04.2023г.; - 66,6 кв.м – аренда по 31.05.23г.;- 80,5 кв.м – аренда по 01.11.2024г.- 92,6 кв.м. – аренда по 31.01.2024г.- 76,4 кв.м – аренда по 28.04.25г.)</t>
        </is>
      </c>
      <c r="F460" s="3" t="inlineStr">
        <is>
          <t>28.08.22 13:00</t>
        </is>
      </c>
      <c r="G460" t="inlineStr">
        <is>
          <t>Пермский край, г Усолье, ул Свободы, д 155</t>
        </is>
      </c>
      <c r="H460" s="4" t="n">
        <v>7400000</v>
      </c>
      <c r="I460" s="4" t="n">
        <v>7137.345679012346</v>
      </c>
      <c r="J460" t="inlineStr">
        <is>
          <t>Нежилое помещение</t>
        </is>
      </c>
      <c r="K460" s="5" t="n">
        <v>14.05</v>
      </c>
      <c r="L460" s="4" t="n">
        <v>264.33</v>
      </c>
      <c r="M460" t="n">
        <v>508</v>
      </c>
      <c r="N460" s="6" t="n">
        <v>82899</v>
      </c>
      <c r="O460" t="n">
        <v>27</v>
      </c>
      <c r="P460" s="21" t="n">
        <v>0.06206054465812471</v>
      </c>
      <c r="Q460" t="inlineStr">
        <is>
          <t>PP</t>
        </is>
      </c>
      <c r="R460" t="inlineStr">
        <is>
          <t>М</t>
        </is>
      </c>
      <c r="S460" s="2">
        <f>HYPERLINK("https://yandex.ru/maps/?&amp;text=59.427169, 56.683856", "59.427169, 56.683856")</f>
        <v/>
      </c>
      <c r="T460" s="2">
        <f>HYPERLINK("D:\venv_torgi\env\cache\objs_in_district/59.427169_56.683856.json", "59.427169_56.683856.json")</f>
        <v/>
      </c>
      <c r="U460" t="inlineStr">
        <is>
          <t xml:space="preserve">59:37:0620204:278, </t>
        </is>
      </c>
      <c r="V460" s="7" t="inlineStr">
        <is>
          <t>1</t>
        </is>
      </c>
      <c r="W460" s="20" t="n">
        <v>7580.293239265166</v>
      </c>
      <c r="X460" s="22" t="n">
        <v>442.9475602528191</v>
      </c>
      <c r="Y460" t="n">
        <v>0</v>
      </c>
    </row>
    <row r="461">
      <c r="A461" s="8" t="n">
        <v>459</v>
      </c>
      <c r="B461" t="n">
        <v>59</v>
      </c>
      <c r="C461" s="1" t="n">
        <v>78.90000000000001</v>
      </c>
      <c r="D461" s="2">
        <f>HYPERLINK("https://torgi.gov.ru/new/public/lots/lot/21000012310000000013_2/(lotInfo:info)", "21000012310000000013_2")</f>
        <v/>
      </c>
      <c r="E461" t="inlineStr">
        <is>
          <t>Нежилое помещение, площадь 78,9 кв. м (кадастровый номер 59:01:4413638:2214), этаж: цокольный этаж № Цокольный, по адресу: Российская Федерация, Пермский край, г.о. Пермский, г. Пермь, ул. Академика Курчатова, д. 1. Помещение пустует.</t>
        </is>
      </c>
      <c r="F461" s="3" t="inlineStr">
        <is>
          <t>12.09.22 13:00</t>
        </is>
      </c>
      <c r="G461" t="inlineStr">
        <is>
          <t>г Пермь, ул Академика Курчатова, д 1</t>
        </is>
      </c>
      <c r="H461" s="4" t="n">
        <v>850000</v>
      </c>
      <c r="I461" s="4" t="n">
        <v>10773.13054499366</v>
      </c>
      <c r="J461" t="inlineStr">
        <is>
          <t>Нежилое помещение</t>
        </is>
      </c>
      <c r="K461" s="5" t="n">
        <v>2.08</v>
      </c>
      <c r="L461" s="4" t="n">
        <v>828.6900000000001</v>
      </c>
      <c r="M461" t="n">
        <v>5173</v>
      </c>
      <c r="N461" s="6" t="n">
        <v>1048011</v>
      </c>
      <c r="O461" t="n">
        <v>13</v>
      </c>
      <c r="P461" s="16" t="n">
        <v>1.491990839186965</v>
      </c>
      <c r="Q461" t="inlineStr">
        <is>
          <t>EA</t>
        </is>
      </c>
      <c r="R461" t="inlineStr">
        <is>
          <t>М</t>
        </is>
      </c>
      <c r="S461" s="2">
        <f>HYPERLINK("https://yandex.ru/maps/?&amp;text=57.960743, 56.221799", "57.960743, 56.221799")</f>
        <v/>
      </c>
      <c r="T461" s="2">
        <f>HYPERLINK("D:\venv_torgi\env\cache\objs_in_district/57.960743_56.221799.json", "57.960743_56.221799.json")</f>
        <v/>
      </c>
      <c r="U461" t="inlineStr">
        <is>
          <t>59:01:4413638:2214</t>
        </is>
      </c>
      <c r="V461" s="7" t="inlineStr">
        <is>
          <t>0</t>
        </is>
      </c>
      <c r="W461" s="17" t="n">
        <v>26846.54262748949</v>
      </c>
      <c r="X461" s="18" t="n">
        <v>16073.41208249582</v>
      </c>
      <c r="Y461" t="n">
        <v>0</v>
      </c>
    </row>
    <row r="462">
      <c r="A462" s="8" t="n">
        <v>460</v>
      </c>
      <c r="B462" t="n">
        <v>59</v>
      </c>
      <c r="C462" s="1" t="n">
        <v>179.1</v>
      </c>
      <c r="D462" s="2">
        <f>HYPERLINK("https://torgi.gov.ru/new/public/lots/lot/21000020210000000043_15/(lotInfo:info)", "21000020210000000043_15")</f>
        <v/>
      </c>
      <c r="E462" t="inlineStr">
        <is>
          <t>Нежилое помещение, назначение: нежилое, этаж 1, общая площадь 179,1 кв.м, кадастровый номер: 59:03:0400080:4119, адрес объекта: г. Березники, пр-кт Советский, д. 12 (объект обременен договором аренды по 06.07.2027г.)</t>
        </is>
      </c>
      <c r="F462" s="3" t="inlineStr">
        <is>
          <t>28.08.22 13:00</t>
        </is>
      </c>
      <c r="G462" t="inlineStr">
        <is>
          <t>Пермский край, г Березники, Советский пр-кт, д 12</t>
        </is>
      </c>
      <c r="H462" s="4" t="n">
        <v>3000000</v>
      </c>
      <c r="I462" s="4" t="n">
        <v>16750.41876046901</v>
      </c>
      <c r="J462" t="inlineStr">
        <is>
          <t>Нежилое помещение</t>
        </is>
      </c>
      <c r="K462" s="5" t="n">
        <v>5.07</v>
      </c>
      <c r="L462" s="4" t="n">
        <v>761.36</v>
      </c>
      <c r="M462" t="n">
        <v>3306</v>
      </c>
      <c r="N462" s="6" t="n">
        <v>145115</v>
      </c>
      <c r="O462" t="n">
        <v>22</v>
      </c>
      <c r="P462" s="21" t="n">
        <v>0.01360211188258003</v>
      </c>
      <c r="Q462" t="inlineStr">
        <is>
          <t>PP</t>
        </is>
      </c>
      <c r="R462" t="inlineStr">
        <is>
          <t>М</t>
        </is>
      </c>
      <c r="S462" s="2">
        <f>HYPERLINK("https://yandex.ru/maps/?&amp;text=59.411452, 56.782779", "59.411452, 56.782779")</f>
        <v/>
      </c>
      <c r="T462" s="2">
        <f>HYPERLINK("D:\venv_torgi\env\cache\objs_in_district/59.411452_56.782779.json", "59.411452_56.782779.json")</f>
        <v/>
      </c>
      <c r="U462" t="inlineStr">
        <is>
          <t xml:space="preserve">59:03:0400080:4119, </t>
        </is>
      </c>
      <c r="V462" s="7" t="inlineStr">
        <is>
          <t>1</t>
        </is>
      </c>
      <c r="W462" s="20" t="n">
        <v>16978.25983052898</v>
      </c>
      <c r="X462" s="22" t="n">
        <v>227.841070059967</v>
      </c>
      <c r="Y462" t="n">
        <v>0</v>
      </c>
    </row>
    <row r="463">
      <c r="A463" s="8" t="n">
        <v>461</v>
      </c>
      <c r="B463" t="n">
        <v>59</v>
      </c>
      <c r="C463" s="1" t="n">
        <v>111.1</v>
      </c>
      <c r="D463" s="2">
        <f>HYPERLINK("https://torgi.gov.ru/new/public/lots/lot/21000020210000000043_14/(lotInfo:info)", "21000020210000000043_14")</f>
        <v/>
      </c>
      <c r="E463" t="inlineStr">
        <is>
          <t>Нежилое помещение, назначение: нежилое, этаж 1, общая площадь 111,1 кв.м, кадастровый номер: 59:03:0400080:4115, адрес объекта: г. Березники, пр-кт Советский, д. 12  (объект обременен договором  аренды по 19.11.2025)</t>
        </is>
      </c>
      <c r="F463" s="3" t="inlineStr">
        <is>
          <t>28.08.22 13:00</t>
        </is>
      </c>
      <c r="G463" t="inlineStr">
        <is>
          <t>Пермский край, г Березники, Советский пр-кт, д 12</t>
        </is>
      </c>
      <c r="H463" s="4" t="n">
        <v>2000000</v>
      </c>
      <c r="I463" s="4" t="n">
        <v>18001.800180018</v>
      </c>
      <c r="J463" t="inlineStr">
        <is>
          <t>Нежилое помещение</t>
        </is>
      </c>
      <c r="K463" s="5" t="n">
        <v>5.44</v>
      </c>
      <c r="L463" s="4" t="n">
        <v>818.23</v>
      </c>
      <c r="M463" t="n">
        <v>3306</v>
      </c>
      <c r="N463" s="6" t="n">
        <v>145115</v>
      </c>
      <c r="O463" t="n">
        <v>22</v>
      </c>
      <c r="P463" s="21" t="n">
        <v>0.492421765667134</v>
      </c>
      <c r="Q463" t="inlineStr">
        <is>
          <t>PP</t>
        </is>
      </c>
      <c r="R463" t="inlineStr">
        <is>
          <t>М</t>
        </is>
      </c>
      <c r="S463" s="2">
        <f>HYPERLINK("https://yandex.ru/maps/?&amp;text=59.411452, 56.782779", "59.411452, 56.782779")</f>
        <v/>
      </c>
      <c r="T463" s="2">
        <f>HYPERLINK("D:\venv_torgi\env\cache\objs_in_district/59.411452_56.782779.json", "59.411452_56.782779.json")</f>
        <v/>
      </c>
      <c r="U463" t="inlineStr">
        <is>
          <t xml:space="preserve">59:03:0400080:4115, </t>
        </is>
      </c>
      <c r="V463" s="7" t="inlineStr">
        <is>
          <t>1</t>
        </is>
      </c>
      <c r="W463" s="20" t="n">
        <v>26866.27840984939</v>
      </c>
      <c r="X463" s="22" t="n">
        <v>8864.478229831395</v>
      </c>
      <c r="Y463" t="n">
        <v>0</v>
      </c>
    </row>
    <row r="464">
      <c r="A464" s="8" t="n">
        <v>462</v>
      </c>
      <c r="B464" t="n">
        <v>59</v>
      </c>
      <c r="C464" s="1" t="n">
        <v>123.9</v>
      </c>
      <c r="D464" s="2">
        <f>HYPERLINK("https://torgi.gov.ru/new/public/lots/lot/22000024370000000009_1/(lotInfo:info)", "22000024370000000009_1")</f>
        <v/>
      </c>
      <c r="E464" t="inlineStr">
        <is>
          <t>нежилое помещение, расположенное по адресу:  Пермский край, г. Кудымкар, ул. К.Маркса,35-2,общей площадью 123,9 кв.м., 1989г. ввода в эксплуатацию, кадастровый номер 81:07:0093008:111</t>
        </is>
      </c>
      <c r="F464" s="3" t="inlineStr">
        <is>
          <t>23.09.22 10:00</t>
        </is>
      </c>
      <c r="G464" t="inlineStr">
        <is>
          <t>Пермский край, г Кудымкар, ул К.Маркса</t>
        </is>
      </c>
      <c r="H464" s="4" t="n">
        <v>2615600</v>
      </c>
      <c r="I464" s="4" t="n">
        <v>21110.57304277643</v>
      </c>
      <c r="J464" t="inlineStr">
        <is>
          <t>Нежилое помещение</t>
        </is>
      </c>
      <c r="K464" s="5" t="n">
        <v>4.66</v>
      </c>
      <c r="M464" t="n">
        <v>4534</v>
      </c>
      <c r="N464" s="6" t="n">
        <v>31265</v>
      </c>
      <c r="P464" s="21" t="n">
        <v>0.2726456243234212</v>
      </c>
      <c r="Q464" t="inlineStr">
        <is>
          <t>PP</t>
        </is>
      </c>
      <c r="R464" t="inlineStr">
        <is>
          <t>М</t>
        </is>
      </c>
      <c r="S464" s="2">
        <f>HYPERLINK("https://yandex.ru/maps/?&amp;text=59.00927, 54.665171", "59.00927, 54.665171")</f>
        <v/>
      </c>
      <c r="U464" t="inlineStr">
        <is>
          <t>81:07:0093008:111</t>
        </is>
      </c>
      <c r="W464" s="20" t="n">
        <v>26866.27840984939</v>
      </c>
      <c r="X464" s="22" t="n">
        <v>5755.705367072966</v>
      </c>
      <c r="Y464" t="n">
        <v>0</v>
      </c>
    </row>
    <row r="465">
      <c r="A465" s="8" t="n">
        <v>463</v>
      </c>
      <c r="B465" t="n">
        <v>59</v>
      </c>
      <c r="C465" s="1" t="n">
        <v>61.3</v>
      </c>
      <c r="D465" s="2">
        <f>HYPERLINK("https://torgi.gov.ru/new/public/lots/lot/21000012310000000015_4/(lotInfo:info)", "21000012310000000015_4")</f>
        <v/>
      </c>
      <c r="E465" t="inlineStr">
        <is>
          <t>Нежилые помещения площадью 61,3 кв. м (кадастровый номер 59:01:4011813:298), этаж № 2, расположенные по адресу: Российская Федерация, Пермский край, г.о. Пермский, г. Пермь, ул. Сибирская, д. 12. Помещения пустуют.</t>
        </is>
      </c>
      <c r="F465" s="3" t="inlineStr">
        <is>
          <t>20.09.22 13:24</t>
        </is>
      </c>
      <c r="G465" t="inlineStr">
        <is>
          <t>г Пермь, ул Сибирская, д 12</t>
        </is>
      </c>
      <c r="H465" s="4" t="n">
        <v>1300000</v>
      </c>
      <c r="I465" s="4" t="n">
        <v>21207.17781402936</v>
      </c>
      <c r="J465" t="inlineStr">
        <is>
          <t>Нежилое помещение</t>
        </is>
      </c>
      <c r="K465" s="5" t="n">
        <v>1.71</v>
      </c>
      <c r="L465" s="4" t="n">
        <v>165.68</v>
      </c>
      <c r="M465" t="n">
        <v>12429</v>
      </c>
      <c r="N465" s="6" t="n">
        <v>1048011</v>
      </c>
      <c r="O465" t="n">
        <v>128</v>
      </c>
      <c r="P465" s="16" t="n">
        <v>0.265917740819312</v>
      </c>
      <c r="Q465" t="inlineStr">
        <is>
          <t>EA</t>
        </is>
      </c>
      <c r="R465" t="inlineStr">
        <is>
          <t>М</t>
        </is>
      </c>
      <c r="S465" s="2">
        <f>HYPERLINK("https://yandex.ru/maps/?&amp;text=58.011838, 56.248308", "58.011838, 56.248308")</f>
        <v/>
      </c>
      <c r="T465" s="2">
        <f>HYPERLINK("D:\venv_torgi\env\cache\objs_in_district/58.011838_56.248308.json", "58.011838_56.248308.json")</f>
        <v/>
      </c>
      <c r="U465" t="inlineStr">
        <is>
          <t>59:01:4011813:298</t>
        </is>
      </c>
      <c r="V465" s="7" t="inlineStr">
        <is>
          <t>2</t>
        </is>
      </c>
      <c r="W465" s="17" t="n">
        <v>26846.54262748949</v>
      </c>
      <c r="X465" s="18" t="n">
        <v>5639.364813460124</v>
      </c>
      <c r="Y465" t="n">
        <v>0</v>
      </c>
    </row>
    <row r="466">
      <c r="A466" s="8" t="n">
        <v>464</v>
      </c>
      <c r="B466" t="n">
        <v>59</v>
      </c>
      <c r="C466" s="1" t="n">
        <v>129.8</v>
      </c>
      <c r="D466" s="2">
        <f>HYPERLINK("https://torgi.gov.ru/new/public/lots/lot/21000020210000000043_7/(lotInfo:info)", "21000020210000000043_7")</f>
        <v/>
      </c>
      <c r="E466" t="inlineStr">
        <is>
          <t>Нежилое помещение № 3, назначение: нежилое, этаж № 1, общая площадь 129,8 кв.м, кадастровый номер 59:37:0620204:277,  адрес объекта: г. Усолье, ул. Свободы, д. 155 (объект обременен договором аренды до 31.08.23г.). На объекте проведена неузаконенная перепланировка.</t>
        </is>
      </c>
      <c r="F466" s="3" t="inlineStr">
        <is>
          <t>28.08.22 13:00</t>
        </is>
      </c>
      <c r="G466" t="inlineStr">
        <is>
          <t>Пермский край, г Усолье, ул Свободы, д 155</t>
        </is>
      </c>
      <c r="H466" s="4" t="n">
        <v>3000000</v>
      </c>
      <c r="I466" s="4" t="n">
        <v>23112.48073959938</v>
      </c>
      <c r="J466" t="inlineStr">
        <is>
          <t>Нежилое помещение</t>
        </is>
      </c>
      <c r="K466" s="5" t="n">
        <v>45.5</v>
      </c>
      <c r="L466" s="4" t="n">
        <v>856</v>
      </c>
      <c r="M466" t="n">
        <v>508</v>
      </c>
      <c r="N466" s="6" t="n">
        <v>82899</v>
      </c>
      <c r="O466" t="n">
        <v>27</v>
      </c>
      <c r="Q466" t="inlineStr">
        <is>
          <t>PP</t>
        </is>
      </c>
      <c r="R466" t="inlineStr">
        <is>
          <t>М</t>
        </is>
      </c>
      <c r="S466" s="2">
        <f>HYPERLINK("https://yandex.ru/maps/?&amp;text=59.427169, 56.683856", "59.427169, 56.683856")</f>
        <v/>
      </c>
      <c r="T466" s="2">
        <f>HYPERLINK("D:\venv_torgi\env\cache\objs_in_district/59.427169_56.683856.json", "59.427169_56.683856.json")</f>
        <v/>
      </c>
      <c r="U466" t="inlineStr">
        <is>
          <t xml:space="preserve">59:37:0620204:277,  </t>
        </is>
      </c>
      <c r="V466" s="7" t="inlineStr">
        <is>
          <t>1</t>
        </is>
      </c>
      <c r="W466" s="20" t="n">
        <v>16222.56438392146</v>
      </c>
      <c r="X466" s="23" t="n">
        <v>-6889.916355677924</v>
      </c>
      <c r="Y466" t="n">
        <v>0</v>
      </c>
    </row>
    <row r="467">
      <c r="A467" s="8" t="n">
        <v>465</v>
      </c>
      <c r="B467" t="n">
        <v>59</v>
      </c>
      <c r="C467" s="1" t="n">
        <v>188.6</v>
      </c>
      <c r="D467" s="2">
        <f>HYPERLINK("https://torgi.gov.ru/new/public/lots/lot/21000020210000000043_8/(lotInfo:info)", "21000020210000000043_8")</f>
        <v/>
      </c>
      <c r="E467" t="inlineStr">
        <is>
          <t>Встроено - пристроенное  помещение, назначение: нежилое, этаж 1, номера на поэтажном плане 1,2,3,4,5,6,7,8,9,10,11,12,13,14,15,  общая площадь 188,6 кв.м, кадастровый номер: 59:03:0400165:3345, адрес объекта:  г. Березники, ул. Пятилетки, д. 126 (объект обременен договором аренды по 30.06.2024г.).</t>
        </is>
      </c>
      <c r="F467" s="3" t="inlineStr">
        <is>
          <t>28.08.22 13:00</t>
        </is>
      </c>
      <c r="G467" t="inlineStr">
        <is>
          <t>Пермский край, г Березники, ул Пятилетки, д 126</t>
        </is>
      </c>
      <c r="H467" s="4" t="n">
        <v>4700000</v>
      </c>
      <c r="I467" s="4" t="n">
        <v>24920.46659597031</v>
      </c>
      <c r="J467" t="inlineStr">
        <is>
          <t>Нежилое помещение</t>
        </is>
      </c>
      <c r="K467" s="5" t="n">
        <v>5.15</v>
      </c>
      <c r="L467" s="4" t="n">
        <v>922.96</v>
      </c>
      <c r="M467" t="n">
        <v>4839</v>
      </c>
      <c r="N467" s="6" t="n">
        <v>145115</v>
      </c>
      <c r="O467" t="n">
        <v>27</v>
      </c>
      <c r="Q467" t="inlineStr">
        <is>
          <t>PP</t>
        </is>
      </c>
      <c r="R467" t="inlineStr">
        <is>
          <t>М</t>
        </is>
      </c>
      <c r="S467" s="2">
        <f>HYPERLINK("https://yandex.ru/maps/?&amp;text=59.393259, 56.846227", "59.393259, 56.846227")</f>
        <v/>
      </c>
      <c r="T467" s="2">
        <f>HYPERLINK("D:\venv_torgi\env\cache\objs_in_district/59.393259_56.846227.json", "59.393259_56.846227.json")</f>
        <v/>
      </c>
      <c r="U467" t="inlineStr">
        <is>
          <t xml:space="preserve">59:03:0400165:3345, </t>
        </is>
      </c>
      <c r="V467" s="7" t="inlineStr">
        <is>
          <t>1</t>
        </is>
      </c>
      <c r="W467" s="20" t="n">
        <v>16978.25983052898</v>
      </c>
      <c r="X467" s="23" t="n">
        <v>-7942.206765441333</v>
      </c>
      <c r="Y467" t="n">
        <v>0</v>
      </c>
    </row>
    <row r="468">
      <c r="A468" s="8" t="n">
        <v>466</v>
      </c>
      <c r="B468" t="n">
        <v>59</v>
      </c>
      <c r="C468" s="1" t="n">
        <v>175.5</v>
      </c>
      <c r="D468" s="2">
        <f>HYPERLINK("https://torgi.gov.ru/new/public/lots/lot/21000020210000000043_9/(lotInfo:info)", "21000020210000000043_9")</f>
        <v/>
      </c>
      <c r="E468" t="inlineStr">
        <is>
          <t>Помещение, назначение: нежилое, этаж № 1, общей площадью 175,5 кв.м,  кадастровый номер: 59:03:0400076:4057, адрес: г. Березники, ул. Юбилейная, 117, пом. 12 (объект обременен договором аренды до 28.06.24г.)</t>
        </is>
      </c>
      <c r="F468" s="3" t="inlineStr">
        <is>
          <t>28.08.22 13:00</t>
        </is>
      </c>
      <c r="G468" t="inlineStr">
        <is>
          <t>Пермский край, г Березники, ул Юбилейная, д 117</t>
        </is>
      </c>
      <c r="H468" s="4" t="n">
        <v>4500000</v>
      </c>
      <c r="I468" s="4" t="n">
        <v>25641.02564102564</v>
      </c>
      <c r="J468" t="inlineStr">
        <is>
          <t>Нежилое помещение</t>
        </is>
      </c>
      <c r="K468" s="5" t="n">
        <v>4.65</v>
      </c>
      <c r="L468" s="4" t="n">
        <v>569.8</v>
      </c>
      <c r="M468" t="n">
        <v>5520</v>
      </c>
      <c r="N468" s="6" t="n">
        <v>145115</v>
      </c>
      <c r="O468" t="n">
        <v>45</v>
      </c>
      <c r="Q468" t="inlineStr">
        <is>
          <t>PP</t>
        </is>
      </c>
      <c r="R468" t="inlineStr">
        <is>
          <t>М</t>
        </is>
      </c>
      <c r="S468" s="2">
        <f>HYPERLINK("https://yandex.ru/maps/?&amp;text=59.407633, 56.842822", "59.407633, 56.842822")</f>
        <v/>
      </c>
      <c r="T468" s="2">
        <f>HYPERLINK("D:\venv_torgi\env\cache\objs_in_district/59.407633_56.842822.json", "59.407633_56.842822.json")</f>
        <v/>
      </c>
      <c r="U468" t="inlineStr">
        <is>
          <t xml:space="preserve">59:03:0400076:4057, </t>
        </is>
      </c>
      <c r="V468" s="7" t="inlineStr">
        <is>
          <t>1</t>
        </is>
      </c>
      <c r="W468" s="20" t="n">
        <v>16978.25983052898</v>
      </c>
      <c r="X468" s="23" t="n">
        <v>-8662.765810496665</v>
      </c>
      <c r="Y468" t="n">
        <v>0</v>
      </c>
    </row>
    <row r="469">
      <c r="A469" s="8" t="n">
        <v>467</v>
      </c>
      <c r="B469" t="n">
        <v>59</v>
      </c>
      <c r="C469" s="1" t="n">
        <v>115.6</v>
      </c>
      <c r="D469" s="2">
        <f>HYPERLINK("https://torgi.gov.ru/new/public/lots/lot/21000020210000000043_10/(lotInfo:info)", "21000020210000000043_10")</f>
        <v/>
      </c>
      <c r="E469" t="inlineStr">
        <is>
          <t>Встроенное нежилое помещение, общая площадь 53,4 кв.м, кадастровый номер: 59:03:0400089:9732.Встроенное нежилое помещение, общая площадь 40,2 кв.мкадастровый номер: 59:03:0400089:9729.Встроенное нежилое помещение, общая площадь 16 кв.м, кадастровый номер: 59:03:0400089:9952.Нежилое помещение, общая площадь 6,0 кв.м, кадастровый номер: 59:03:0400089:11241.</t>
        </is>
      </c>
      <c r="F469" s="3" t="inlineStr">
        <is>
          <t>28.08.22 13:00</t>
        </is>
      </c>
      <c r="G469" t="inlineStr">
        <is>
          <t>Пермский край, г Березники, ул Комсомольская, д 10</t>
        </is>
      </c>
      <c r="H469" s="4" t="n">
        <v>3000000</v>
      </c>
      <c r="I469" s="4" t="n">
        <v>25951.55709342561</v>
      </c>
      <c r="J469" t="inlineStr">
        <is>
          <t>Нежилое помещение</t>
        </is>
      </c>
      <c r="K469" s="5" t="n">
        <v>8.210000000000001</v>
      </c>
      <c r="L469" s="4" t="n">
        <v>2595.1</v>
      </c>
      <c r="M469" t="n">
        <v>3159</v>
      </c>
      <c r="N469" s="6" t="n">
        <v>145115</v>
      </c>
      <c r="O469" t="n">
        <v>10</v>
      </c>
      <c r="P469" s="21" t="n">
        <v>0.03524726139286313</v>
      </c>
      <c r="Q469" t="inlineStr">
        <is>
          <t>PP</t>
        </is>
      </c>
      <c r="R469" t="inlineStr">
        <is>
          <t>М</t>
        </is>
      </c>
      <c r="S469" s="2">
        <f>HYPERLINK("https://yandex.ru/maps/?&amp;text=59.398715, 56.857959", "59.398715, 56.857959")</f>
        <v/>
      </c>
      <c r="T469" s="2">
        <f>HYPERLINK("D:\venv_torgi\env\cache\objs_in_district/59.398715_56.857959.json", "59.398715_56.857959.json")</f>
        <v/>
      </c>
      <c r="U469" t="inlineStr">
        <is>
          <t>59:03:0400089:9732</t>
        </is>
      </c>
      <c r="W469" s="20" t="n">
        <v>26866.27840984939</v>
      </c>
      <c r="X469" s="22" t="n">
        <v>914.7213164237837</v>
      </c>
      <c r="Y469" t="n">
        <v>0</v>
      </c>
    </row>
    <row r="470">
      <c r="A470" s="8" t="n">
        <v>468</v>
      </c>
      <c r="B470" t="n">
        <v>59</v>
      </c>
      <c r="C470" s="1" t="n">
        <v>30.5</v>
      </c>
      <c r="D470" s="2">
        <f>HYPERLINK("https://torgi.gov.ru/new/public/lots/lot/21000020210000000043_4/(lotInfo:info)", "21000020210000000043_4")</f>
        <v/>
      </c>
      <c r="E470" t="inlineStr">
        <is>
          <t>Нежилое помещение, назначение: нежилое, общая площадь 30,5 кв.м, этаж №1, кадастровый номер: 59:03:0400076:4101, адрес объекта: г. Березники, ул. Юбилейная, д. 117 (объект обременен договором аренды до 01.02.2024г.)</t>
        </is>
      </c>
      <c r="F470" s="3" t="inlineStr">
        <is>
          <t>28.08.22 13:00</t>
        </is>
      </c>
      <c r="G470" t="inlineStr">
        <is>
          <t>Пермский край, г Березники, ул Юбилейная, д 117</t>
        </is>
      </c>
      <c r="H470" s="4" t="n">
        <v>800000</v>
      </c>
      <c r="I470" s="4" t="n">
        <v>26229.50819672131</v>
      </c>
      <c r="J470" t="inlineStr">
        <is>
          <t>Нежилое помещение</t>
        </is>
      </c>
      <c r="K470" s="5" t="n">
        <v>4.75</v>
      </c>
      <c r="L470" s="4" t="n">
        <v>582.87</v>
      </c>
      <c r="M470" t="n">
        <v>5520</v>
      </c>
      <c r="N470" s="6" t="n">
        <v>145115</v>
      </c>
      <c r="O470" t="n">
        <v>45</v>
      </c>
      <c r="P470" s="21" t="n">
        <v>0.02427686437550827</v>
      </c>
      <c r="Q470" t="inlineStr">
        <is>
          <t>PP</t>
        </is>
      </c>
      <c r="R470" t="inlineStr">
        <is>
          <t>М</t>
        </is>
      </c>
      <c r="S470" s="2">
        <f>HYPERLINK("https://yandex.ru/maps/?&amp;text=59.407633, 56.842822", "59.407633, 56.842822")</f>
        <v/>
      </c>
      <c r="T470" s="2">
        <f>HYPERLINK("D:\venv_torgi\env\cache\objs_in_district/59.407633_56.842822.json", "59.407633_56.842822.json")</f>
        <v/>
      </c>
      <c r="U470" t="inlineStr">
        <is>
          <t xml:space="preserve">59:03:0400076:4101, </t>
        </is>
      </c>
      <c r="V470" s="7" t="inlineStr">
        <is>
          <t>1</t>
        </is>
      </c>
      <c r="W470" s="20" t="n">
        <v>26866.27840984939</v>
      </c>
      <c r="X470" s="22" t="n">
        <v>636.7702131280857</v>
      </c>
      <c r="Y470" t="n">
        <v>0</v>
      </c>
    </row>
    <row r="471">
      <c r="A471" s="8" t="n">
        <v>469</v>
      </c>
      <c r="B471" t="n">
        <v>59</v>
      </c>
      <c r="C471" s="1" t="n">
        <v>238.3</v>
      </c>
      <c r="D471" s="2">
        <f>HYPERLINK("https://torgi.gov.ru/new/public/lots/lot/21000012310000000014_2/(lotInfo:info)", "21000012310000000014_2")</f>
        <v/>
      </c>
      <c r="E471" t="inlineStr">
        <is>
          <t>Нежилые помещения площадью 238,3 кв. м (состоящие из 6 объектов: площадью 117,9 кв. м (кадастровый номер: 59:01:4311098:912); площадью 38,5 кв. м (кадастровый номер: 59:01:4311098:913); площадью 36,3 кв. м (кадастровый номер: 59:01:4311098:914), площадью 30,6 кв. м (кадастровый номер: 59:01:4311098:910); площадью 7,8 кв. м (кадастровый номер: 59:01:4311098:790); площадью 7,2 кв. м (кадастровый номер: 59:01:4311098:915), этаж № 1, № 2, расположенные по адресу: Российская Федерация, Пермский край, г.о. Пермский,г. Пермь, ул. КИМ, д. 41. Помещения пустуют.</t>
        </is>
      </c>
      <c r="F471" s="3" t="inlineStr">
        <is>
          <t>19.09.22 13:00</t>
        </is>
      </c>
      <c r="G471" t="inlineStr">
        <is>
          <t>г Пермь, ул КИМ, д 41</t>
        </is>
      </c>
      <c r="H471" s="4" t="n">
        <v>6500000</v>
      </c>
      <c r="I471" s="4" t="n">
        <v>27276.54217373059</v>
      </c>
      <c r="J471" t="inlineStr">
        <is>
          <t>Нежилое помещение</t>
        </is>
      </c>
      <c r="K471" s="5" t="n">
        <v>2.49</v>
      </c>
      <c r="L471" s="4" t="n">
        <v>1298.86</v>
      </c>
      <c r="M471" t="n">
        <v>10938</v>
      </c>
      <c r="N471" s="6" t="n">
        <v>1048011</v>
      </c>
      <c r="O471" t="n">
        <v>21</v>
      </c>
      <c r="Q471" t="inlineStr">
        <is>
          <t>EA</t>
        </is>
      </c>
      <c r="R471" t="inlineStr">
        <is>
          <t>М</t>
        </is>
      </c>
      <c r="S471" s="2">
        <f>HYPERLINK("https://yandex.ru/maps/?&amp;text=58.026629, 56.305585", "58.026629, 56.305585")</f>
        <v/>
      </c>
      <c r="T471" s="2">
        <f>HYPERLINK("D:\venv_torgi\env\cache\objs_in_district/58.026629_56.305585.json", "58.026629_56.305585.json")</f>
        <v/>
      </c>
      <c r="U471" t="inlineStr">
        <is>
          <t>59:01:4311098:912</t>
        </is>
      </c>
      <c r="V471" s="7" t="inlineStr">
        <is>
          <t>1</t>
        </is>
      </c>
      <c r="W471" s="17" t="n">
        <v>26846.54262748949</v>
      </c>
      <c r="X471" s="19" t="n">
        <v>-429.9995462411061</v>
      </c>
      <c r="Y471" t="n">
        <v>0</v>
      </c>
    </row>
    <row r="472">
      <c r="A472" s="8" t="n">
        <v>470</v>
      </c>
      <c r="B472" t="n">
        <v>59</v>
      </c>
      <c r="C472" s="1" t="n">
        <v>33.8</v>
      </c>
      <c r="D472" s="2">
        <f>HYPERLINK("https://torgi.gov.ru/new/public/lots/lot/21000020210000000043_2/(lotInfo:info)", "21000020210000000043_2")</f>
        <v/>
      </c>
      <c r="E472" t="inlineStr">
        <is>
          <t>Помещение, назначение: нежилое, этаж 1, общая площадь 33,8 кв.м, кадастровый номер: 59:03:0400076:4092, адрес объекта: г. Березники, ул. Мира, д. 79 (объект обременен договором аренды до 28.10.2023г.)</t>
        </is>
      </c>
      <c r="F472" s="3" t="inlineStr">
        <is>
          <t>28.08.22 13:00</t>
        </is>
      </c>
      <c r="G472" t="inlineStr">
        <is>
          <t>Пермский край, г Березники, ул Мира, д 79</t>
        </is>
      </c>
      <c r="H472" s="4" t="n">
        <v>1000000</v>
      </c>
      <c r="I472" s="4" t="n">
        <v>29585.79881656805</v>
      </c>
      <c r="J472" t="inlineStr">
        <is>
          <t>Нежилое помещение</t>
        </is>
      </c>
      <c r="K472" s="5" t="n">
        <v>4.34</v>
      </c>
      <c r="L472" s="4" t="n">
        <v>469.6</v>
      </c>
      <c r="M472" t="n">
        <v>6822</v>
      </c>
      <c r="N472" s="6" t="n">
        <v>145115</v>
      </c>
      <c r="O472" t="n">
        <v>63</v>
      </c>
      <c r="Q472" t="inlineStr">
        <is>
          <t>PP</t>
        </is>
      </c>
      <c r="R472" t="inlineStr">
        <is>
          <t>М</t>
        </is>
      </c>
      <c r="S472" s="2">
        <f>HYPERLINK("https://yandex.ru/maps/?&amp;text=59.4084686, 56.8472427", "59.4084686, 56.8472427")</f>
        <v/>
      </c>
      <c r="T472" s="2">
        <f>HYPERLINK("D:\venv_torgi\env\cache\objs_in_district/59.4084686_56.8472427.json", "59.4084686_56.8472427.json")</f>
        <v/>
      </c>
      <c r="U472" t="inlineStr">
        <is>
          <t xml:space="preserve">59:03:0400076:4092, </t>
        </is>
      </c>
      <c r="V472" s="7" t="inlineStr">
        <is>
          <t>1</t>
        </is>
      </c>
      <c r="W472" s="20" t="n">
        <v>26866.27840984939</v>
      </c>
      <c r="X472" s="23" t="n">
        <v>-2719.520406718657</v>
      </c>
      <c r="Y472" t="n">
        <v>0</v>
      </c>
    </row>
    <row r="473">
      <c r="A473" s="8" t="n">
        <v>471</v>
      </c>
      <c r="B473" t="n">
        <v>59</v>
      </c>
      <c r="C473" s="1" t="n">
        <v>55.7</v>
      </c>
      <c r="D473" s="2">
        <f>HYPERLINK("https://torgi.gov.ru/new/public/lots/lot/21000020210000000043_11/(lotInfo:info)", "21000020210000000043_11")</f>
        <v/>
      </c>
      <c r="E473" t="inlineStr">
        <is>
          <t>Встроенное нежилое помещение, назначение: нежилое, этаж №1, общая площадь 55,7 кв.м, кадастровый номер: 59:03:0400087:5293, адрес объекта: г. Березники, ул. Пятилетки, 93 (объект обременен договором аренды по 04.07.23г.)</t>
        </is>
      </c>
      <c r="F473" s="3" t="inlineStr">
        <is>
          <t>28.08.22 13:00</t>
        </is>
      </c>
      <c r="G473" t="inlineStr">
        <is>
          <t>Пермский край, г Березники, ул Пятилетки, д 93</t>
        </is>
      </c>
      <c r="H473" s="4" t="n">
        <v>1700000</v>
      </c>
      <c r="I473" s="4" t="n">
        <v>30520.64631956912</v>
      </c>
      <c r="J473" t="inlineStr">
        <is>
          <t>Нежилое помещение</t>
        </is>
      </c>
      <c r="K473" s="5" t="n">
        <v>4.72</v>
      </c>
      <c r="L473" s="4" t="n">
        <v>1090</v>
      </c>
      <c r="M473" t="n">
        <v>6465</v>
      </c>
      <c r="N473" s="6" t="n">
        <v>145115</v>
      </c>
      <c r="O473" t="n">
        <v>28</v>
      </c>
      <c r="Q473" t="inlineStr">
        <is>
          <t>PP</t>
        </is>
      </c>
      <c r="R473" t="inlineStr">
        <is>
          <t>М</t>
        </is>
      </c>
      <c r="S473" s="2">
        <f>HYPERLINK("https://yandex.ru/maps/?&amp;text=59.399659, 56.845481", "59.399659, 56.845481")</f>
        <v/>
      </c>
      <c r="T473" s="2">
        <f>HYPERLINK("D:\venv_torgi\env\cache\objs_in_district/59.399659_56.845481.json", "59.399659_56.845481.json")</f>
        <v/>
      </c>
      <c r="U473" t="inlineStr">
        <is>
          <t xml:space="preserve">59:03:0400087:5293, </t>
        </is>
      </c>
      <c r="V473" s="7" t="inlineStr">
        <is>
          <t>1</t>
        </is>
      </c>
      <c r="W473" s="20" t="n">
        <v>26866.27840984939</v>
      </c>
      <c r="X473" s="23" t="n">
        <v>-3654.367909719727</v>
      </c>
      <c r="Y473" t="n">
        <v>0</v>
      </c>
    </row>
    <row r="474">
      <c r="A474" s="8" t="n">
        <v>472</v>
      </c>
      <c r="B474" t="n">
        <v>59</v>
      </c>
      <c r="C474" s="1" t="n">
        <v>11.7</v>
      </c>
      <c r="D474" s="2">
        <f>HYPERLINK("https://torgi.gov.ru/new/public/lots/lot/21000012310000000014_1/(lotInfo:info)", "21000012310000000014_1")</f>
        <v/>
      </c>
      <c r="E474" t="inlineStr">
        <is>
          <t>Нежилое помещение площадью 11,7 кв. м (кадастровый номер 59:01:4311090:1478), этаж: № 1 по адресу: Пермский край, г. Пермь, Мотовилихинский район, ул. КИМ, д. 41. Помещение пустует.</t>
        </is>
      </c>
      <c r="F474" s="3" t="inlineStr">
        <is>
          <t>19.09.22 13:00</t>
        </is>
      </c>
      <c r="G474" t="inlineStr">
        <is>
          <t>г Пермь, ул КИМ, д 41</t>
        </is>
      </c>
      <c r="H474" s="4" t="n">
        <v>360000</v>
      </c>
      <c r="I474" s="4" t="n">
        <v>30769.23076923077</v>
      </c>
      <c r="J474" t="inlineStr">
        <is>
          <t>Нежилое помещение</t>
        </is>
      </c>
      <c r="K474" s="5" t="n">
        <v>24.75</v>
      </c>
      <c r="M474" t="n">
        <v>1243</v>
      </c>
      <c r="N474" s="6" t="n">
        <v>1048011</v>
      </c>
      <c r="P474" s="16" t="n">
        <v>0.4871466212177907</v>
      </c>
      <c r="Q474" t="inlineStr">
        <is>
          <t>EA</t>
        </is>
      </c>
      <c r="R474" t="inlineStr">
        <is>
          <t>М</t>
        </is>
      </c>
      <c r="S474" s="2">
        <f>HYPERLINK("https://yandex.ru/maps/?&amp;text=58.022902, 56.296179", "58.022902, 56.296179")</f>
        <v/>
      </c>
      <c r="U474" t="inlineStr">
        <is>
          <t>59:01:4311090:1478</t>
        </is>
      </c>
      <c r="V474" s="7" t="inlineStr">
        <is>
          <t>1</t>
        </is>
      </c>
      <c r="W474" s="17" t="n">
        <v>45758.35757593202</v>
      </c>
      <c r="X474" s="18" t="n">
        <v>14989.12680670125</v>
      </c>
      <c r="Y474" t="n">
        <v>0</v>
      </c>
    </row>
    <row r="475">
      <c r="A475" s="8" t="n">
        <v>473</v>
      </c>
      <c r="B475" t="n">
        <v>59</v>
      </c>
      <c r="C475" s="1" t="n">
        <v>99.59999999999999</v>
      </c>
      <c r="D475" s="2">
        <f>HYPERLINK("https://torgi.gov.ru/new/public/lots/lot/22000007330000000028_1/(lotInfo:info)", "22000007330000000028_1")</f>
        <v/>
      </c>
      <c r="E475" t="inlineStr">
        <is>
          <t>Нежилое встроенное помещение, пл.99,6кв.м., кад№59:01:4410151:278, соб-к: Гладикова Е. В., адрес: г. Пермь, ул. Пушкина,84.</t>
        </is>
      </c>
      <c r="F475" s="3" t="inlineStr">
        <is>
          <t>14.09.22 18:59</t>
        </is>
      </c>
      <c r="G475" t="inlineStr">
        <is>
          <t>г Пермь, ул Пушкина, д 84</t>
        </is>
      </c>
      <c r="H475" s="4" t="n">
        <v>3810000</v>
      </c>
      <c r="I475" s="4" t="n">
        <v>38253.01204819277</v>
      </c>
      <c r="J475" t="inlineStr">
        <is>
          <t>Нежилое помещение</t>
        </is>
      </c>
      <c r="K475" s="5" t="n">
        <v>4.31</v>
      </c>
      <c r="L475" s="4" t="n">
        <v>406.95</v>
      </c>
      <c r="M475" t="n">
        <v>8877</v>
      </c>
      <c r="N475" s="6" t="n">
        <v>1048011</v>
      </c>
      <c r="O475" t="n">
        <v>94</v>
      </c>
      <c r="Q475" t="inlineStr">
        <is>
          <t>EA</t>
        </is>
      </c>
      <c r="R475" t="inlineStr">
        <is>
          <t>Д</t>
        </is>
      </c>
      <c r="S475" s="2">
        <f>HYPERLINK("https://yandex.ru/maps/?&amp;text=58.005386, 56.240582", "58.005386, 56.240582")</f>
        <v/>
      </c>
      <c r="T475" s="2">
        <f>HYPERLINK("D:\venv_torgi\env\cache\objs_in_district/58.005386_56.240582.json", "58.005386_56.240582.json")</f>
        <v/>
      </c>
      <c r="W475" s="17" t="n">
        <v>26846.54262748949</v>
      </c>
      <c r="X475" s="19" t="n">
        <v>-11406.46942070329</v>
      </c>
      <c r="Y475" t="n">
        <v>0</v>
      </c>
    </row>
    <row r="476">
      <c r="A476" s="8" t="n">
        <v>474</v>
      </c>
      <c r="B476" t="n">
        <v>59</v>
      </c>
      <c r="C476" s="1" t="n">
        <v>205.8</v>
      </c>
      <c r="D476" s="2">
        <f>HYPERLINK("https://torgi.gov.ru/new/public/lots/lot/21000020210000000043_1/(lotInfo:info)", "21000020210000000043_1")</f>
        <v/>
      </c>
      <c r="E476" t="inlineStr">
        <is>
          <t>Кирпичное встроенное помещение (лит.А), на 1 этаж 4-этажного кирпичного дома, общая площадь 205,8 кв.м, кадастровый номер: 59:03:0400098:264, адрес объекта: г. Березники, ул. Пятилетки, д. 56 (объект обременен договором аренды на неопределенный срок).</t>
        </is>
      </c>
      <c r="F476" s="3" t="inlineStr">
        <is>
          <t>28.08.22 13:00</t>
        </is>
      </c>
      <c r="G476" t="inlineStr">
        <is>
          <t>Пермский край, г Березники, ул Пятилетки, д 56</t>
        </is>
      </c>
      <c r="H476" s="4" t="n">
        <v>8000000</v>
      </c>
      <c r="I476" s="4" t="n">
        <v>38872.69193391642</v>
      </c>
      <c r="J476" t="inlineStr">
        <is>
          <t>Нежилое помещение</t>
        </is>
      </c>
      <c r="K476" s="5" t="n">
        <v>6.3</v>
      </c>
      <c r="L476" s="4" t="n">
        <v>904</v>
      </c>
      <c r="M476" t="n">
        <v>6174</v>
      </c>
      <c r="N476" s="6" t="n">
        <v>145115</v>
      </c>
      <c r="O476" t="n">
        <v>43</v>
      </c>
      <c r="Q476" t="inlineStr">
        <is>
          <t>PP</t>
        </is>
      </c>
      <c r="R476" t="inlineStr">
        <is>
          <t>М</t>
        </is>
      </c>
      <c r="S476" s="2">
        <f>HYPERLINK("https://yandex.ru/maps/?&amp;text=59.404262, 56.812648", "59.404262, 56.812648")</f>
        <v/>
      </c>
      <c r="T476" s="2">
        <f>HYPERLINK("D:\venv_torgi\env\cache\objs_in_district/59.404262_56.812648.json", "59.404262_56.812648.json")</f>
        <v/>
      </c>
      <c r="U476" t="inlineStr">
        <is>
          <t xml:space="preserve">59:03:0400098:264, </t>
        </is>
      </c>
      <c r="V476" s="7" t="inlineStr">
        <is>
          <t>1</t>
        </is>
      </c>
      <c r="W476" s="20" t="n">
        <v>16978.25983052898</v>
      </c>
      <c r="X476" s="23" t="n">
        <v>-21894.43210338745</v>
      </c>
      <c r="Y476" t="n">
        <v>0</v>
      </c>
    </row>
    <row r="477">
      <c r="A477" s="8" t="n">
        <v>475</v>
      </c>
      <c r="B477" t="n">
        <v>59</v>
      </c>
      <c r="C477" s="1" t="n">
        <v>45.9</v>
      </c>
      <c r="D477" s="2">
        <f>HYPERLINK("https://torgi.gov.ru/new/public/lots/lot/21000020210000000043_23/(lotInfo:info)", "21000020210000000043_23")</f>
        <v/>
      </c>
      <c r="E477" t="inlineStr">
        <is>
          <t>Помещение, назначение: нежилое, этаж цоколь, общая площадь 45,9 кв.м, кадастровый номер: 59:03:0400098:289, адрес объекта: г. Березники, ул. Пятилетки, д. 56 (объект обременен договором аренды до 03.04.2024г.)</t>
        </is>
      </c>
      <c r="F477" s="3" t="inlineStr">
        <is>
          <t>28.08.22 13:00</t>
        </is>
      </c>
      <c r="G477" t="inlineStr">
        <is>
          <t>Пермский край, г Березники, ул Пятилетки, д 56</t>
        </is>
      </c>
      <c r="H477" s="4" t="n">
        <v>3000000</v>
      </c>
      <c r="I477" s="4" t="n">
        <v>65359.47712418301</v>
      </c>
      <c r="J477" t="inlineStr">
        <is>
          <t>Нежилое помещение</t>
        </is>
      </c>
      <c r="K477" s="5" t="n">
        <v>10.59</v>
      </c>
      <c r="L477" s="4" t="n">
        <v>1519.98</v>
      </c>
      <c r="M477" t="n">
        <v>6174</v>
      </c>
      <c r="N477" s="6" t="n">
        <v>145115</v>
      </c>
      <c r="O477" t="n">
        <v>43</v>
      </c>
      <c r="Q477" t="inlineStr">
        <is>
          <t>PP</t>
        </is>
      </c>
      <c r="R477" t="inlineStr">
        <is>
          <t>М</t>
        </is>
      </c>
      <c r="S477" s="2">
        <f>HYPERLINK("https://yandex.ru/maps/?&amp;text=59.404262, 56.812648", "59.404262, 56.812648")</f>
        <v/>
      </c>
      <c r="T477" s="2">
        <f>HYPERLINK("D:\venv_torgi\env\cache\objs_in_district/59.404262_56.812648.json", "59.404262_56.812648.json")</f>
        <v/>
      </c>
      <c r="U477" t="inlineStr">
        <is>
          <t xml:space="preserve">59:03:0400098:289, </t>
        </is>
      </c>
      <c r="V477" s="7" t="inlineStr">
        <is>
          <t>0</t>
        </is>
      </c>
      <c r="W477" s="20" t="n">
        <v>26866.27840984939</v>
      </c>
      <c r="X477" s="23" t="n">
        <v>-38493.19871433362</v>
      </c>
      <c r="Y477" t="n">
        <v>0</v>
      </c>
    </row>
    <row r="478">
      <c r="A478" s="8" t="n">
        <v>476</v>
      </c>
      <c r="B478" t="n">
        <v>59</v>
      </c>
      <c r="C478" s="1" t="n">
        <v>29.6</v>
      </c>
      <c r="D478" s="2">
        <f>HYPERLINK("https://torgi.gov.ru/new/public/lots/lot/21000020210000000043_22/(lotInfo:info)", "21000020210000000043_22")</f>
        <v/>
      </c>
      <c r="E478" t="inlineStr">
        <is>
          <t>Помещение, назначение: нежилое, этаж, общая площадь 29,6 кв.м, кадастровый номер: 59:03:0400098:253, адрес объекта: г. Березники, ул. Пятилетки, д. 56 (объект обременен договором аренды до 03.04.2024г.)</t>
        </is>
      </c>
      <c r="F478" s="3" t="inlineStr">
        <is>
          <t>28.08.22 13:00</t>
        </is>
      </c>
      <c r="G478" t="inlineStr">
        <is>
          <t>Пермский край, г Березники, ул Пятилетки, д 56</t>
        </is>
      </c>
      <c r="H478" s="4" t="n">
        <v>2000000</v>
      </c>
      <c r="I478" s="4" t="n">
        <v>67567.56756756756</v>
      </c>
      <c r="J478" t="inlineStr">
        <is>
          <t>Нежилое помещение</t>
        </is>
      </c>
      <c r="K478" s="5" t="n">
        <v>10.94</v>
      </c>
      <c r="L478" s="4" t="n">
        <v>1571.33</v>
      </c>
      <c r="M478" t="n">
        <v>6174</v>
      </c>
      <c r="N478" s="6" t="n">
        <v>145115</v>
      </c>
      <c r="O478" t="n">
        <v>43</v>
      </c>
      <c r="Q478" t="inlineStr">
        <is>
          <t>PP</t>
        </is>
      </c>
      <c r="R478" t="inlineStr">
        <is>
          <t>М</t>
        </is>
      </c>
      <c r="S478" s="2">
        <f>HYPERLINK("https://yandex.ru/maps/?&amp;text=59.404262, 56.812648", "59.404262, 56.812648")</f>
        <v/>
      </c>
      <c r="T478" s="2">
        <f>HYPERLINK("D:\venv_torgi\env\cache\objs_in_district/59.404262_56.812648.json", "59.404262_56.812648.json")</f>
        <v/>
      </c>
      <c r="U478" t="inlineStr">
        <is>
          <t xml:space="preserve">59:03:0400098:253, </t>
        </is>
      </c>
      <c r="W478" s="20" t="n">
        <v>26866.27840984939</v>
      </c>
      <c r="X478" s="23" t="n">
        <v>-40701.28915771817</v>
      </c>
      <c r="Y478" t="n">
        <v>0</v>
      </c>
    </row>
    <row r="479">
      <c r="A479" s="8" t="n">
        <v>477</v>
      </c>
      <c r="B479" t="n">
        <v>59</v>
      </c>
      <c r="C479" s="1" t="n">
        <v>68.3</v>
      </c>
      <c r="D479" s="2">
        <f>HYPERLINK("https://torgi.gov.ru/new/public/lots/lot/21000020210000000043_21/(lotInfo:info)", "21000020210000000043_21")</f>
        <v/>
      </c>
      <c r="E479" t="inlineStr">
        <is>
          <t>Встроенное нежилое помещение, назначение: нежилое, общая площадь 68,3 кв.м, этаж 1, номера на поэтажном плане 1,2,3,4,5,6,7, кадастровый номер: 59:03:0400103:164, адрес объекта: г. Березники, ул. Карла Маркса, д. 40 (объект обременен договором аренды по 30.09.2026г.)</t>
        </is>
      </c>
      <c r="F479" s="3" t="inlineStr">
        <is>
          <t>28.08.22 13:00</t>
        </is>
      </c>
      <c r="G479" t="inlineStr">
        <is>
          <t>Пермский край, г Березники, ул Карла Маркса, д 40</t>
        </is>
      </c>
      <c r="H479" s="4" t="n">
        <v>5000000</v>
      </c>
      <c r="I479" s="4" t="n">
        <v>73206.4421669107</v>
      </c>
      <c r="J479" t="inlineStr">
        <is>
          <t>Нежилое помещение</t>
        </is>
      </c>
      <c r="K479" s="5" t="n">
        <v>18.83</v>
      </c>
      <c r="L479" s="4" t="n">
        <v>2815.62</v>
      </c>
      <c r="M479" t="n">
        <v>3888</v>
      </c>
      <c r="N479" s="6" t="n">
        <v>145115</v>
      </c>
      <c r="O479" t="n">
        <v>26</v>
      </c>
      <c r="Q479" t="inlineStr">
        <is>
          <t>PP</t>
        </is>
      </c>
      <c r="R479" t="inlineStr">
        <is>
          <t>М</t>
        </is>
      </c>
      <c r="S479" s="2">
        <f>HYPERLINK("https://yandex.ru/maps/?&amp;text=59.401554, 56.800457", "59.401554, 56.800457")</f>
        <v/>
      </c>
      <c r="T479" s="2">
        <f>HYPERLINK("D:\venv_torgi\env\cache\objs_in_district/59.401554_56.800457.json", "59.401554_56.800457.json")</f>
        <v/>
      </c>
      <c r="U479" t="inlineStr">
        <is>
          <t xml:space="preserve">59:03:0400103:164, </t>
        </is>
      </c>
      <c r="V479" s="7" t="inlineStr">
        <is>
          <t>1</t>
        </is>
      </c>
      <c r="W479" s="20" t="n">
        <v>26866.27840984939</v>
      </c>
      <c r="X479" s="23" t="n">
        <v>-46340.1637570613</v>
      </c>
      <c r="Y479" t="n">
        <v>0</v>
      </c>
    </row>
    <row r="480">
      <c r="A480" s="8" t="n">
        <v>478</v>
      </c>
      <c r="B480" t="n">
        <v>60</v>
      </c>
      <c r="C480" s="1" t="n">
        <v>34.7</v>
      </c>
      <c r="D480" s="2">
        <f>HYPERLINK("https://torgi.gov.ru/new/public/lots/lot/21000004510000000033_1/(lotInfo:info)", "21000004510000000033_1")</f>
        <v/>
      </c>
      <c r="E480" t="inlineStr">
        <is>
          <t>Здание (количество этажей - 2): фундамент ленточный; стены, перегородки - кирпичные; чердачные, междуэтажные перекрытия - железобетонные; крыша - шифер по обрешетке. Здание находится в удовлетворительном состоянии.Помещение (встроено-пристроенное, вход отдельный с улицы, средняя высота потолков 3,15 м; вид из окон на ул. Луговая): внутренняя отделка - простая; пол - бетонный, стены - без отделки, кирпич, штукатурка, окраска; оконные проемы - простые двойные створные; входная дверь - простая деревянная; межкомнатные двери - простые деревянные; потолок - окраска. Мелкие трещины, местные нарушения штукатурного слоя, цоколя и стен, трещины в местах сопряжения перегородок с плитами перекрытия и заполнениями дверных проемов, пол - сколы, трещины.Состояние помещения удовлетворительное, требуется выполнить стандартный косметический ремонт с элементами капитальных работ.Имеются центральное теплоснабжение от городской котельной, центральное водоснабжение, канализация, электроснабжение.</t>
        </is>
      </c>
      <c r="F480" s="3" t="inlineStr">
        <is>
          <t>20.09.22 20:59</t>
        </is>
      </c>
      <c r="G480" t="inlineStr">
        <is>
          <t>г Псков, ул Луговая, д 1-б, помещ 1003</t>
        </is>
      </c>
      <c r="H480" s="4" t="n">
        <v>350350</v>
      </c>
      <c r="I480" s="4" t="n">
        <v>10096.54178674352</v>
      </c>
      <c r="J480" t="inlineStr">
        <is>
          <t>Здание (</t>
        </is>
      </c>
      <c r="K480" s="5" t="n">
        <v>280.44</v>
      </c>
      <c r="M480" t="n">
        <v>36</v>
      </c>
      <c r="N480" s="6" t="n">
        <v>207571</v>
      </c>
      <c r="P480" s="21" t="n">
        <v>1.575129952588959</v>
      </c>
      <c r="Q480" t="inlineStr">
        <is>
          <t>EA</t>
        </is>
      </c>
      <c r="R480" t="inlineStr">
        <is>
          <t>М</t>
        </is>
      </c>
      <c r="S480" s="2">
        <f>HYPERLINK("https://yandex.ru/maps/?&amp;text=57.817069, 28.425983", "57.817069, 28.425983")</f>
        <v/>
      </c>
      <c r="U480" t="inlineStr">
        <is>
          <t>60:27:0170204:195</t>
        </is>
      </c>
      <c r="V480" s="7" t="inlineStr">
        <is>
          <t>1</t>
        </is>
      </c>
      <c r="W480" s="20" t="n">
        <v>25999.90717260928</v>
      </c>
      <c r="X480" s="22" t="n">
        <v>15903.36538586576</v>
      </c>
      <c r="Y480" t="n">
        <v>1</v>
      </c>
    </row>
    <row r="481">
      <c r="A481" s="8" t="n">
        <v>479</v>
      </c>
      <c r="B481" t="n">
        <v>60</v>
      </c>
      <c r="C481" s="1" t="n">
        <v>648.2</v>
      </c>
      <c r="D481" s="2">
        <f>HYPERLINK("https://torgi.gov.ru/new/public/lots/lot/21000004510000000034_1/(lotInfo:info)", "21000004510000000034_1")</f>
        <v/>
      </c>
      <c r="E481" t="inlineStr">
        <is>
          <t>Здание (количество этажей - 5, подземных - 1): фундамент - железобетонные блоки; стены, перегородки - кирпичные; междуэтажные перекрытия - железобетонные; крыша мягкая совмещенная. Здание находится в удовлетворительном состоянии.Помещение (встроенное, вход общий с лестницы, средняя высота потолков 3,12 м): внутренняя отделка - простая; стены - бумажные обои, окраска; в уборной - керамическая плитка; потолок - побелка, пол - линолеум, в уборной - керамическая плитка, в нескольких кабинетах - паркет; оконные проемы - простые двойные створные; дверные проемы - простые, состояние проемов - удовлетворительное. На стенах и потолке следы протечек, отслоение обоев, пол - стертость. В помещении обустроены раковины и туалеты. Вид из окон - на ул. Н. Васильева и во двор.Техническое состояние: требуется выполнить косметический ремонт с элементами капитальных работ. Имеются теплоснабжение от центральной квартальной котельной, электроснабжение, водоснабжение, канализация.</t>
        </is>
      </c>
      <c r="F481" s="3" t="inlineStr">
        <is>
          <t>20.09.22 20:59</t>
        </is>
      </c>
      <c r="G481" t="inlineStr">
        <is>
          <t>г Псков, ул Николая Васильева, д 77-а, помещ 1003</t>
        </is>
      </c>
      <c r="H481" s="4" t="n">
        <v>8079850</v>
      </c>
      <c r="I481" s="4" t="n">
        <v>12465.05708114779</v>
      </c>
      <c r="J481" t="inlineStr">
        <is>
          <t>Здание (</t>
        </is>
      </c>
      <c r="K481" s="5" t="n">
        <v>5.45</v>
      </c>
      <c r="L481" s="4" t="n">
        <v>415.5</v>
      </c>
      <c r="M481" t="n">
        <v>2289</v>
      </c>
      <c r="N481" s="6" t="n">
        <v>207571</v>
      </c>
      <c r="O481" t="n">
        <v>30</v>
      </c>
      <c r="Q481" t="inlineStr">
        <is>
          <t>EA</t>
        </is>
      </c>
      <c r="R481" t="inlineStr">
        <is>
          <t>М</t>
        </is>
      </c>
      <c r="S481" s="2">
        <f>HYPERLINK("https://yandex.ru/maps/?&amp;text=57.821182, 28.399618", "57.821182, 28.399618")</f>
        <v/>
      </c>
      <c r="T481" s="2">
        <f>HYPERLINK("D:\venv_torgi\env\cache\objs_in_district/57.821182_28.399618.json", "57.821182_28.399618.json")</f>
        <v/>
      </c>
      <c r="U481" t="inlineStr">
        <is>
          <t>60:27:0140203:724</t>
        </is>
      </c>
      <c r="V481" s="7" t="inlineStr">
        <is>
          <t>3</t>
        </is>
      </c>
      <c r="W481" s="20" t="n">
        <v>7580.293239265166</v>
      </c>
      <c r="X481" s="23" t="n">
        <v>-4884.763841882625</v>
      </c>
      <c r="Y481" t="n">
        <v>0</v>
      </c>
    </row>
    <row r="482">
      <c r="A482" s="8" t="n">
        <v>480</v>
      </c>
      <c r="B482" t="n">
        <v>60</v>
      </c>
      <c r="C482" s="1" t="n">
        <v>17</v>
      </c>
      <c r="D482" s="2">
        <f>HYPERLINK("https://torgi.gov.ru/new/public/lots/lot/21000004510000000035_1/(lotInfo:info)", "21000004510000000035_1")</f>
        <v/>
      </c>
      <c r="E482" t="inlineStr">
        <is>
          <t>Здание (количество этажей – 5, кроме того подземных - 1): фундамент – железобетонные блоки; стены, перегородки – железобетонные панели; чердачные, междуэтажные перекрытия – железобетонные; крыша – мягкая совмещенная. Здание находится в удовлетворительном состоянии.Помещение 1003 расположено на первом этаже, вход отдельный с улицы,. оконные проемы отсутствуют. Внутренняя отделка помещения: пол – линолеум по бетону, потолок – покраска, стены – покраска, оконные проемы – отсутствуют, входная дверь – деревянная, класс инженерного оборудования – отечественное. Мелкие трещины, местные нарушения штукатурного слоя цоколя и стен, трещины в местах сопряжения перегородок с плитами перекрытия и заполнениями дверных проемов в помещении отсутствуют, пол –потертости, общее загрязнение, изношенность вследствие длительного срока эксплуатации. Состояние помещения рабочее, требуется выполнить косметический ремонт. . В помещении 1003 имеется : электроснабжение, отопление.</t>
        </is>
      </c>
      <c r="F482" s="3" t="inlineStr">
        <is>
          <t>20.09.22 20:59</t>
        </is>
      </c>
      <c r="G482" t="inlineStr">
        <is>
          <t>г Псков, ул Шелгунова, д 7, помещ 1003</t>
        </is>
      </c>
      <c r="H482" s="4" t="n">
        <v>298350</v>
      </c>
      <c r="I482" s="4" t="n">
        <v>17550</v>
      </c>
      <c r="J482" t="inlineStr">
        <is>
          <t>Здание (</t>
        </is>
      </c>
      <c r="K482" s="5" t="n">
        <v>65.73</v>
      </c>
      <c r="M482" t="n">
        <v>267</v>
      </c>
      <c r="N482" s="6" t="n">
        <v>207571</v>
      </c>
      <c r="P482" s="21" t="n">
        <v>1.20096820813004</v>
      </c>
      <c r="Q482" t="inlineStr">
        <is>
          <t>EA</t>
        </is>
      </c>
      <c r="R482" t="inlineStr">
        <is>
          <t>М</t>
        </is>
      </c>
      <c r="S482" s="2">
        <f>HYPERLINK("https://yandex.ru/maps/?&amp;text=57.795547, 28.347246", "57.795547, 28.347246")</f>
        <v/>
      </c>
      <c r="U482" t="inlineStr">
        <is>
          <t xml:space="preserve"> 60:27:0030508:44</t>
        </is>
      </c>
      <c r="V482" s="7" t="inlineStr">
        <is>
          <t>1</t>
        </is>
      </c>
      <c r="W482" s="20" t="n">
        <v>38626.9920526822</v>
      </c>
      <c r="X482" s="22" t="n">
        <v>21076.9920526822</v>
      </c>
      <c r="Y482" t="n">
        <v>1</v>
      </c>
    </row>
    <row r="483">
      <c r="A483" s="8" t="n">
        <v>481</v>
      </c>
      <c r="B483" t="n">
        <v>60</v>
      </c>
      <c r="C483" s="1" t="n">
        <v>34</v>
      </c>
      <c r="D483" s="2">
        <f>HYPERLINK("https://torgi.gov.ru/new/public/lots/lot/21000004510000000027_1/(lotInfo:info)", "21000004510000000027_1")</f>
        <v/>
      </c>
      <c r="E483" t="inlineStr">
        <is>
          <t>Помещение 30 расположено на цокольном этаже, отдельный вход из общего коридора цокольного этажа, оконные проемы отсутствуют. Помещение без отделки (черновая отделка), входная дверь простая. Следы воды в цоколе, протечки из стыка стен с полом, сыреют стены.В помещении 30 имеются электроснабжение теплоснабжение (радиаторы демонтированы, требуется восстановление системы отопления); не обустроены раковина и туалет</t>
        </is>
      </c>
      <c r="F483" s="3" t="inlineStr">
        <is>
          <t>13.09.22 20:59</t>
        </is>
      </c>
      <c r="G483" t="inlineStr">
        <is>
          <t>г Псков, ул Советская, д 37, помещ 30</t>
        </is>
      </c>
      <c r="H483" s="4" t="n">
        <v>652000</v>
      </c>
      <c r="I483" s="4" t="n">
        <v>19176.47058823529</v>
      </c>
      <c r="J483" t="inlineStr">
        <is>
          <t>Нежилое помещение</t>
        </is>
      </c>
      <c r="K483" s="5" t="n">
        <v>9.970000000000001</v>
      </c>
      <c r="L483" s="4" t="n">
        <v>249.04</v>
      </c>
      <c r="M483" t="n">
        <v>1923</v>
      </c>
      <c r="N483" s="6" t="n">
        <v>207571</v>
      </c>
      <c r="O483" t="n">
        <v>77</v>
      </c>
      <c r="P483" s="21" t="n">
        <v>0.3558233801667419</v>
      </c>
      <c r="Q483" t="inlineStr">
        <is>
          <t>EA</t>
        </is>
      </c>
      <c r="R483" t="inlineStr">
        <is>
          <t>М</t>
        </is>
      </c>
      <c r="S483" s="2">
        <f>HYPERLINK("https://yandex.ru/maps/?&amp;text=57.811028, 28.334715", "57.811028, 28.334715")</f>
        <v/>
      </c>
      <c r="T483" s="2">
        <f>HYPERLINK("D:\venv_torgi\env\cache\objs_in_district/57.811028_28.334715.json", "57.811028_28.334715.json")</f>
        <v/>
      </c>
      <c r="U483" t="inlineStr">
        <is>
          <t>-</t>
        </is>
      </c>
      <c r="V483" s="7" t="inlineStr">
        <is>
          <t>0</t>
        </is>
      </c>
      <c r="W483" s="20" t="n">
        <v>25999.90717260928</v>
      </c>
      <c r="X483" s="22" t="n">
        <v>6823.436584373991</v>
      </c>
      <c r="Y483" t="n">
        <v>1</v>
      </c>
    </row>
    <row r="484">
      <c r="A484" s="8" t="n">
        <v>482</v>
      </c>
      <c r="B484" t="n">
        <v>60</v>
      </c>
      <c r="C484" s="1" t="n">
        <v>116.8</v>
      </c>
      <c r="D484" s="2">
        <f>HYPERLINK("https://torgi.gov.ru/new/public/lots/lot/21000004510000000028_1/(lotInfo:info)", "21000004510000000028_1")</f>
        <v/>
      </c>
      <c r="E484" t="inlineStr">
        <is>
          <t>Помещение 1005 расположено на первом этаже, отдельный вход из коридора 1 этажа, вид из окон во двор, на ул. Алексея Алехина. Внутренняя отделка простая: пол – линолеум (сильное загрязнение, вспучивание, потертости, плесень); в санузле требуется восстановление пола; потолок – покраска (шелушения, протечки, плесень), стены – обои (отслоение обоев, следы протечек, плесень), в санузле – керамическая плитка (сильное загрязнение плитки, плесень); оконные проемы – блоки ПВХ со стеклопакетами; входная дверь – металлическая; межкомнатные двери – простые филенчатые; класс инженерного оборудования – отечественное.Имеются электроснабжение теплоснабжение, водоснабжение; в помещении 1005 обустроены раковина и туалет.</t>
        </is>
      </c>
      <c r="F484" s="3" t="inlineStr">
        <is>
          <t>13.09.22 20:59</t>
        </is>
      </c>
      <c r="G484" t="inlineStr">
        <is>
          <t>г Псков, ул Алексея Алехина, д 5, помещ 1005</t>
        </is>
      </c>
      <c r="H484" s="4" t="n">
        <v>2524000</v>
      </c>
      <c r="I484" s="4" t="n">
        <v>21609.58904109589</v>
      </c>
      <c r="J484" t="inlineStr">
        <is>
          <t>Нежилое помещение</t>
        </is>
      </c>
      <c r="K484" s="5" t="n">
        <v>4.89</v>
      </c>
      <c r="L484" s="4" t="n">
        <v>654.8200000000001</v>
      </c>
      <c r="M484" t="n">
        <v>4419</v>
      </c>
      <c r="N484" s="6" t="n">
        <v>207571</v>
      </c>
      <c r="O484" t="n">
        <v>33</v>
      </c>
      <c r="P484" s="21" t="n">
        <v>0.243257257634869</v>
      </c>
      <c r="Q484" t="inlineStr">
        <is>
          <t>EA</t>
        </is>
      </c>
      <c r="R484" t="inlineStr">
        <is>
          <t>М</t>
        </is>
      </c>
      <c r="S484" s="2">
        <f>HYPERLINK("https://yandex.ru/maps/?&amp;text=57.836933, 28.291775", "57.836933, 28.291775")</f>
        <v/>
      </c>
      <c r="T484" s="2">
        <f>HYPERLINK("D:\venv_torgi\env\cache\objs_in_district/57.836933_28.291775.json", "57.836933_28.291775.json")</f>
        <v/>
      </c>
      <c r="U484" t="inlineStr">
        <is>
          <t>-</t>
        </is>
      </c>
      <c r="V484" s="7" t="inlineStr">
        <is>
          <t>1</t>
        </is>
      </c>
      <c r="W484" s="20" t="n">
        <v>26866.27840984939</v>
      </c>
      <c r="X484" s="22" t="n">
        <v>5256.689368753505</v>
      </c>
      <c r="Y484" t="n">
        <v>1</v>
      </c>
    </row>
    <row r="485">
      <c r="A485" s="8" t="n">
        <v>483</v>
      </c>
      <c r="B485" t="n">
        <v>61</v>
      </c>
      <c r="C485" s="1" t="n">
        <v>71.5</v>
      </c>
      <c r="D485" s="2">
        <f>HYPERLINK("https://torgi.gov.ru/new/public/lots/lot/21000026100000000005_1/(lotInfo:info)", "21000026100000000005_1")</f>
        <v/>
      </c>
      <c r="E485" t="inlineStr">
        <is>
          <t>Нежилое помещение находится в удовлетворительном состоянии,окна деревянные,двойные створные.Входная дверь деревянная,утепленная,межкомнатные двери филенчатые.Отделка стен,окраска,на полу линолеум.Отопление центральное.Водоснабжение и водоотведение от городских сетей.Состояние отделочных материалов удовлетворительное,требующее косметического ремонта.Помещение расположено на первом этаже двухэтажного дома.</t>
        </is>
      </c>
      <c r="F485" s="3" t="inlineStr">
        <is>
          <t>19.09.22 10:00</t>
        </is>
      </c>
      <c r="G485" t="inlineStr">
        <is>
          <t>Ростовская обл, г Гуково, мкр Алмазный, ул Кирова, д 3</t>
        </is>
      </c>
      <c r="H485" s="4" t="n">
        <v>158000</v>
      </c>
      <c r="I485" s="4" t="n">
        <v>2209.79020979021</v>
      </c>
      <c r="J485" t="inlineStr">
        <is>
          <t>Нежилое помещение</t>
        </is>
      </c>
      <c r="K485" s="5" t="n">
        <v>2.67</v>
      </c>
      <c r="M485" t="n">
        <v>828</v>
      </c>
      <c r="N485" s="6" t="n">
        <v>66332</v>
      </c>
      <c r="P485" s="21" t="n">
        <v>6.34122375601509</v>
      </c>
      <c r="Q485" t="inlineStr">
        <is>
          <t>PP</t>
        </is>
      </c>
      <c r="R485" t="inlineStr">
        <is>
          <t>М</t>
        </is>
      </c>
      <c r="S485" s="2">
        <f>HYPERLINK("https://yandex.ru/maps/?&amp;text=48.045517, 40.041191", "48.045517, 40.041191")</f>
        <v/>
      </c>
      <c r="U485" t="inlineStr">
        <is>
          <t xml:space="preserve">61:49:0060111:256, </t>
        </is>
      </c>
      <c r="V485" s="7" t="inlineStr">
        <is>
          <t>1</t>
        </is>
      </c>
      <c r="W485" s="20" t="n">
        <v>16222.56438392146</v>
      </c>
      <c r="X485" s="22" t="n">
        <v>14012.77417413125</v>
      </c>
      <c r="Y485" t="n">
        <v>0</v>
      </c>
    </row>
    <row r="486">
      <c r="A486" s="8" t="n">
        <v>484</v>
      </c>
      <c r="B486" t="n">
        <v>61</v>
      </c>
      <c r="C486" s="1" t="n">
        <v>56.3</v>
      </c>
      <c r="D486" s="2">
        <f>HYPERLINK("https://torgi.gov.ru/new/public/lots/lot/21000029610000000005_1/(lotInfo:info)", "21000029610000000005_1")</f>
        <v/>
      </c>
      <c r="E486" t="inlineStr">
        <is>
          <t>Приватизация нежилого помещения осуществляется одновременно с отчуждением победителю аукциона в собственность земельного участка площадью 486 кв.м., кадастровый номер 61:06:0060514:7 категория земель: земли населенных пунктов, разрешенное использование для индивидуального жилищного строительства, расположенного по адресу: Ростовская область, Веселовский район, х. Свобода, ул. Центральная,26,2. Цена выкупа земельного участка составляет   18128,00 (восемнадцать тысяч сто двадцать восемь) рублей 00 копеек.</t>
        </is>
      </c>
      <c r="F486" s="3" t="inlineStr">
        <is>
          <t>23.09.22 15:00</t>
        </is>
      </c>
      <c r="G486" t="inlineStr">
        <is>
          <t>Ростовская обл, Веселовский р-н, хутор Свобода, ул Центральная, д 26</t>
        </is>
      </c>
      <c r="H486" s="4" t="n">
        <v>236814</v>
      </c>
      <c r="I486" s="4" t="n">
        <v>4206.287744227354</v>
      </c>
      <c r="J486" t="inlineStr">
        <is>
          <t>Нежилое помещение</t>
        </is>
      </c>
      <c r="K486" s="5" t="n">
        <v>43.36</v>
      </c>
      <c r="M486" t="n">
        <v>97</v>
      </c>
      <c r="N486" s="6" t="n">
        <v>516</v>
      </c>
      <c r="P486" s="21" t="n">
        <v>5.181200325225293</v>
      </c>
      <c r="Q486" t="inlineStr">
        <is>
          <t>EA</t>
        </is>
      </c>
      <c r="R486" t="inlineStr">
        <is>
          <t>М</t>
        </is>
      </c>
      <c r="S486" s="2">
        <f>HYPERLINK("https://yandex.ru/maps/?&amp;text=47.183398, 40.65165", "47.183398, 40.65165")</f>
        <v/>
      </c>
      <c r="U486" t="inlineStr">
        <is>
          <t xml:space="preserve">61:06:0060514:7 </t>
        </is>
      </c>
      <c r="W486" s="20" t="n">
        <v>25999.90717260928</v>
      </c>
      <c r="X486" s="22" t="n">
        <v>21793.61942838193</v>
      </c>
      <c r="Y486" t="n">
        <v>0</v>
      </c>
    </row>
    <row r="487">
      <c r="A487" s="8" t="n">
        <v>485</v>
      </c>
      <c r="B487" t="n">
        <v>61</v>
      </c>
      <c r="C487" s="1" t="n">
        <v>72</v>
      </c>
      <c r="D487" s="2">
        <f>HYPERLINK("https://torgi.gov.ru/new/public/lots/lot/21000021890000000006_4/(lotInfo:info)", "21000021890000000006_4")</f>
        <v/>
      </c>
      <c r="E487" t="inlineStr">
        <is>
          <t>нежилое помещение, наименование: нежилое помещение, комнаты: 8, 11, 12, 13, 15, 18, 29. Площадь: общая 72 кв. м.Кадастровый (условный) номер 61:58:0001129:141</t>
        </is>
      </c>
      <c r="F487" s="3" t="inlineStr">
        <is>
          <t>19.09.22 15:00</t>
        </is>
      </c>
      <c r="G487" t="inlineStr">
        <is>
          <t>г. Таганрог, ул. Греческая, 99/пер. Антона Глушко, 2</t>
        </is>
      </c>
      <c r="H487" s="4" t="n">
        <v>593928</v>
      </c>
      <c r="I487" s="4" t="n">
        <v>8249</v>
      </c>
      <c r="J487" t="inlineStr">
        <is>
          <t>Нежилое помещение</t>
        </is>
      </c>
      <c r="K487" s="5" t="n">
        <v>1.22</v>
      </c>
      <c r="L487" s="4" t="n">
        <v>137.48</v>
      </c>
      <c r="M487" t="n">
        <v>6771</v>
      </c>
      <c r="N487" s="6" t="n">
        <v>250287</v>
      </c>
      <c r="O487" t="n">
        <v>60</v>
      </c>
      <c r="P487" s="21" t="n">
        <v>2.256913372511746</v>
      </c>
      <c r="Q487" t="inlineStr">
        <is>
          <t>EA</t>
        </is>
      </c>
      <c r="R487" t="inlineStr">
        <is>
          <t>М</t>
        </is>
      </c>
      <c r="S487" s="2">
        <f>HYPERLINK("https://yandex.ru/maps/?&amp;text=47.215425, 38.931107", "47.215425, 38.931107")</f>
        <v/>
      </c>
      <c r="T487" s="2">
        <f>HYPERLINK("D:\venv_torgi\env\cache\objs_in_district/47.215425_38.931107.json", "47.215425_38.931107.json")</f>
        <v/>
      </c>
      <c r="U487" t="inlineStr">
        <is>
          <t>61:58:0001129:141</t>
        </is>
      </c>
      <c r="W487" s="20" t="n">
        <v>26866.27840984939</v>
      </c>
      <c r="X487" s="22" t="n">
        <v>18617.27840984939</v>
      </c>
      <c r="Y487" t="n">
        <v>0</v>
      </c>
    </row>
    <row r="488">
      <c r="A488" s="8" t="n">
        <v>486</v>
      </c>
      <c r="B488" t="n">
        <v>61</v>
      </c>
      <c r="C488" s="1" t="n">
        <v>39.9</v>
      </c>
      <c r="D488" s="2">
        <f>HYPERLINK("https://torgi.gov.ru/new/public/lots/lot/22000075320000000001_2/(lotInfo:info)", "22000075320000000001_2")</f>
        <v/>
      </c>
      <c r="E488" t="inlineStr">
        <is>
          <t>жилой дом (жилое строение без права регистрации проживания, расположенное на садовом земельном участке) с кадастровым номером 61:15:0501301:512 площадью 39,9 кв.м., расположенный по адресу: Ростовская область, Каменский р-н, х.Абрамовка, с/т «Черёмушки», ул.Сиреневая, 115; расположенное на земельном участке площадью 526 кв.м.; категория земель: земли сельскохозяйственного назначения; вид разрешённого использования: для садоводства; кадастровый номер 61:15:0501301:258, расположенный по адресу: Ростовская область, Каменский р-н, х.Абрамовка, с/т «Черёмушки», ул.Сиреневая, 115</t>
        </is>
      </c>
      <c r="F488" s="3" t="inlineStr">
        <is>
          <t>01.09.22 21:00</t>
        </is>
      </c>
      <c r="G488" t="inlineStr">
        <is>
          <t>Ростовская область, Каменский р-н, х.Абрамовка, с/т «Черёмушки», ул.Сиреневая, 115;</t>
        </is>
      </c>
      <c r="H488" s="4" t="n">
        <v>480650</v>
      </c>
      <c r="I488" s="4" t="n">
        <v>12046.36591478697</v>
      </c>
      <c r="J488" t="inlineStr">
        <is>
          <t>Нежилое помещение</t>
        </is>
      </c>
      <c r="Q488" t="inlineStr">
        <is>
          <t>EA</t>
        </is>
      </c>
      <c r="R488" t="inlineStr">
        <is>
          <t>М</t>
        </is>
      </c>
      <c r="U488" t="inlineStr">
        <is>
          <t xml:space="preserve">61:15:0501301:512 </t>
        </is>
      </c>
      <c r="Y488" t="n">
        <v>0</v>
      </c>
    </row>
    <row r="489">
      <c r="A489" s="8" t="n">
        <v>487</v>
      </c>
      <c r="B489" t="n">
        <v>61</v>
      </c>
      <c r="C489" s="1" t="n">
        <v>35.7</v>
      </c>
      <c r="D489" s="2">
        <f>HYPERLINK("https://torgi.gov.ru/new/public/lots/lot/21000022720000000002_1/(lotInfo:info)", "21000022720000000002_1")</f>
        <v/>
      </c>
      <c r="E489" t="inlineStr">
        <is>
          <t>Недвижимое имущество - помещение, назначение: нежилое, с кадастровым номером 61:41:0010648:66, площадью 35,7 кв. м, расположенное по адресу: Российская Федерация, Ростовская область, Цимлянский район, Цимлянское городское поселение, г. Цимлянск, ул. Ленина, д. 103, помещение 2.</t>
        </is>
      </c>
      <c r="F489" s="3" t="inlineStr">
        <is>
          <t>02.09.22 14:00</t>
        </is>
      </c>
      <c r="G489" t="inlineStr">
        <is>
          <t>Ростовская обл, г Цимлянск, ул Ленина, д 103/26</t>
        </is>
      </c>
      <c r="H489" s="4" t="n">
        <v>544237</v>
      </c>
      <c r="I489" s="4" t="n">
        <v>15244.73389355742</v>
      </c>
      <c r="J489" t="inlineStr">
        <is>
          <t>Нежилое помещение</t>
        </is>
      </c>
      <c r="K489" s="5" t="n">
        <v>9.77</v>
      </c>
      <c r="L489" s="4" t="n">
        <v>2540.67</v>
      </c>
      <c r="M489" t="n">
        <v>1560</v>
      </c>
      <c r="N489" s="6" t="n">
        <v>14643</v>
      </c>
      <c r="O489" t="n">
        <v>6</v>
      </c>
      <c r="P489" s="21" t="n">
        <v>0.7055008866764874</v>
      </c>
      <c r="Q489" t="inlineStr">
        <is>
          <t>EA</t>
        </is>
      </c>
      <c r="R489" t="inlineStr">
        <is>
          <t>М</t>
        </is>
      </c>
      <c r="S489" s="2">
        <f>HYPERLINK("https://yandex.ru/maps/?&amp;text=47.646378, 42.089799", "47.646378, 42.089799")</f>
        <v/>
      </c>
      <c r="T489" s="2">
        <f>HYPERLINK("D:\venv_torgi\env\cache\objs_in_district/47.646378_42.089799.json", "47.646378_42.089799.json")</f>
        <v/>
      </c>
      <c r="U489" t="inlineStr">
        <is>
          <t xml:space="preserve">61:41:0010648:66, </t>
        </is>
      </c>
      <c r="V489" s="7" t="inlineStr">
        <is>
          <t>1</t>
        </is>
      </c>
      <c r="W489" s="20" t="n">
        <v>25999.90717260928</v>
      </c>
      <c r="X489" s="22" t="n">
        <v>10755.17327905186</v>
      </c>
      <c r="Y489" t="n">
        <v>0</v>
      </c>
    </row>
    <row r="490">
      <c r="A490" s="8" t="n">
        <v>488</v>
      </c>
      <c r="B490" t="n">
        <v>61</v>
      </c>
      <c r="C490" s="1" t="n">
        <v>148.4</v>
      </c>
      <c r="D490" s="2">
        <f>HYPERLINK("https://torgi.gov.ru/new/public/lots/lot/21000031020000000003_3/(lotInfo:info)", "21000031020000000003_3")</f>
        <v/>
      </c>
      <c r="E490" t="inlineStr">
        <is>
          <t>Нежилое помещение, расположенное на первом этаже в пятиэтажном жилом здании; фундамент –ж/б, техническое состояние хорошее; стены и перегородки– кирпичные, местами выветривание швов, техническое состояние хорошее; перекрытия – ж/б, техническое состояние хорошее; кровля – мягкая совмещенная, техническое состояние удовлетворительное; полы – деревянные,  техническое состояние удовлетворительное; проемы (оконные) – двойные створные, металлические решетки,  техническое состояние удовлетворительное; проемы (дверные)  - входная дверь металлическая, внутренние двери деревянные простые, техническое состояние  - хорошее;  внутренняя отделка – штукатурка, окраска, обои, побелка,  плитка, линолеум, местами подвесные потолки, техническое состояние удовлетворительное; коммуникации – электроосвещение,  отопление, водопровод,  канализация, техническое состояние удовлетворительное, прочие работы – отмостка, ступени, сигнализация, техническое состояние - удовлетворительное</t>
        </is>
      </c>
      <c r="F490" s="3" t="inlineStr">
        <is>
          <t>22.09.22 14:00</t>
        </is>
      </c>
      <c r="G490" t="inlineStr">
        <is>
          <t>Ростовская обл, г Донецк, мкр 14-й, д 8А, помещ 3</t>
        </is>
      </c>
      <c r="H490" s="4" t="n">
        <v>2364000</v>
      </c>
      <c r="I490" s="4" t="n">
        <v>15929.91913746631</v>
      </c>
      <c r="J490" t="inlineStr">
        <is>
          <t>Нежилое помещение</t>
        </is>
      </c>
      <c r="K490" s="5" t="n">
        <v>6.22</v>
      </c>
      <c r="L490" s="4" t="n">
        <v>568.89</v>
      </c>
      <c r="M490" t="n">
        <v>2561</v>
      </c>
      <c r="N490" s="6" t="n">
        <v>48428</v>
      </c>
      <c r="O490" t="n">
        <v>28</v>
      </c>
      <c r="P490" s="21" t="n">
        <v>0.6865294907028975</v>
      </c>
      <c r="Q490" t="inlineStr">
        <is>
          <t>EA</t>
        </is>
      </c>
      <c r="R490" t="inlineStr">
        <is>
          <t>М</t>
        </is>
      </c>
      <c r="S490" s="2">
        <f>HYPERLINK("https://yandex.ru/maps/?&amp;text=48.3344706, 39.9443865", "48.3344706, 39.9443865")</f>
        <v/>
      </c>
      <c r="T490" s="2">
        <f>HYPERLINK("D:\venv_torgi\env\cache\objs_in_district/48.3344706_39.9443865.json", "48.3344706_39.9443865.json")</f>
        <v/>
      </c>
      <c r="U490" t="inlineStr">
        <is>
          <t>61:50:0040103:219</t>
        </is>
      </c>
      <c r="V490" s="7" t="inlineStr">
        <is>
          <t>1</t>
        </is>
      </c>
      <c r="W490" s="20" t="n">
        <v>26866.27840984939</v>
      </c>
      <c r="X490" s="22" t="n">
        <v>10936.35927238308</v>
      </c>
      <c r="Y490" t="n">
        <v>0</v>
      </c>
    </row>
    <row r="491">
      <c r="A491" s="8" t="n">
        <v>489</v>
      </c>
      <c r="B491" t="n">
        <v>61</v>
      </c>
      <c r="C491" s="1" t="n">
        <v>11.2</v>
      </c>
      <c r="D491" s="2">
        <f>HYPERLINK("https://torgi.gov.ru/new/public/lots/lot/22000075320000000001_1/(lotInfo:info)", "22000075320000000001_1")</f>
        <v/>
      </c>
      <c r="E491" t="inlineStr">
        <is>
          <t>нежилое строение (хозяйственное строение) с кадастровым номером 61:15:0501301:504 площадью 11,2 кв.м. на земельном участке площадью 526 кв.м.; категория земель: земли сельскохозяйственного назначения; вид разрешённого использования: для садоводства; кадастровый номер 61:15:0501301:257</t>
        </is>
      </c>
      <c r="F491" s="3" t="inlineStr">
        <is>
          <t>01.09.22 21:00</t>
        </is>
      </c>
      <c r="G491" t="inlineStr">
        <is>
          <t>Ростовская область, Каменский р-н, х.Абрамовка, с/т «Черёмушки», ул.Сиреневая, 115</t>
        </is>
      </c>
      <c r="H491" s="4" t="n">
        <v>221170</v>
      </c>
      <c r="I491" s="4" t="n">
        <v>19747.32142857143</v>
      </c>
      <c r="J491" t="inlineStr">
        <is>
          <t>Нежилое помещение</t>
        </is>
      </c>
      <c r="Q491" t="inlineStr">
        <is>
          <t>EA</t>
        </is>
      </c>
      <c r="R491" t="inlineStr">
        <is>
          <t>М</t>
        </is>
      </c>
      <c r="U491" t="inlineStr">
        <is>
          <t xml:space="preserve">61:15:0501301:504 </t>
        </is>
      </c>
      <c r="Y491" t="n">
        <v>0</v>
      </c>
    </row>
    <row r="492">
      <c r="A492" s="8" t="n">
        <v>490</v>
      </c>
      <c r="B492" t="n">
        <v>61</v>
      </c>
      <c r="C492" s="1" t="n">
        <v>12.3</v>
      </c>
      <c r="D492" s="2">
        <f>HYPERLINK("https://torgi.gov.ru/new/public/lots/lot/21000030790000000017_7/(lotInfo:info)", "21000030790000000017_7")</f>
        <v/>
      </c>
      <c r="E492" t="inlineStr">
        <is>
          <t>Муниципальное нежилое помещение по адресу: Ростовская область, г.Ростов-на-Дону, ул. Казахская, 76/1, литер А, этаж № 1, к.к №№ 32,34, общей площадью 12,3 кв.м (кадастровый номер 61:44:0022602:130)</t>
        </is>
      </c>
      <c r="F492" s="3" t="inlineStr">
        <is>
          <t>26.09.22 15:00</t>
        </is>
      </c>
      <c r="G492" t="inlineStr">
        <is>
          <t>г Ростов-на-Дону, ул Казахская, д 76/1</t>
        </is>
      </c>
      <c r="H492" s="4" t="n">
        <v>420746</v>
      </c>
      <c r="I492" s="4" t="n">
        <v>34206.9918699187</v>
      </c>
      <c r="J492" t="inlineStr">
        <is>
          <t>Нежилое помещение</t>
        </is>
      </c>
      <c r="K492" s="5" t="n">
        <v>6.51</v>
      </c>
      <c r="M492" t="n">
        <v>5251</v>
      </c>
      <c r="N492" s="6" t="n">
        <v>1125299</v>
      </c>
      <c r="P492" s="16" t="n">
        <v>0.3376901935703819</v>
      </c>
      <c r="Q492" t="inlineStr">
        <is>
          <t>EA</t>
        </is>
      </c>
      <c r="R492" t="inlineStr">
        <is>
          <t>М</t>
        </is>
      </c>
      <c r="S492" s="2">
        <f>HYPERLINK("https://yandex.ru/maps/?&amp;text=47.276603, 39.738252", "47.276603, 39.738252")</f>
        <v/>
      </c>
      <c r="U492" t="inlineStr">
        <is>
          <t>61:44:0022602:130</t>
        </is>
      </c>
      <c r="V492" s="7" t="inlineStr">
        <is>
          <t>1</t>
        </is>
      </c>
      <c r="W492" s="17" t="n">
        <v>45758.35757593202</v>
      </c>
      <c r="X492" s="18" t="n">
        <v>11551.36570601333</v>
      </c>
      <c r="Y492" t="n">
        <v>0</v>
      </c>
    </row>
    <row r="493">
      <c r="A493" s="8" t="n">
        <v>491</v>
      </c>
      <c r="B493" t="n">
        <v>61</v>
      </c>
      <c r="C493" s="1" t="n">
        <v>60.2</v>
      </c>
      <c r="D493" s="2">
        <f>HYPERLINK("https://torgi.gov.ru/new/public/lots/lot/21000030790000000018_1/(lotInfo:info)", "21000030790000000018_1")</f>
        <v/>
      </c>
      <c r="E493" t="inlineStr">
        <is>
          <t>Муниципальное нежилое помещение по адресу: Ростовская область, г. Ростов-на-Дону, пр-кт Чехова, д. 37/29, литер «А»,  этаж № 1, к.к. №№ 1,2,1а,1б,2г,1в-2б,2а-2в, общей площадью 60,2 кв.м (кадастровый номер 61:44:0040710:411)</t>
        </is>
      </c>
      <c r="F493" s="3" t="inlineStr">
        <is>
          <t>03.10.22 15:00</t>
        </is>
      </c>
      <c r="G493" t="inlineStr">
        <is>
          <t>г Ростов-на-Дону, пр-кт Чехова, д 37/29</t>
        </is>
      </c>
      <c r="H493" s="4" t="n">
        <v>3095424</v>
      </c>
      <c r="I493" s="4" t="n">
        <v>51419.00332225914</v>
      </c>
      <c r="J493" t="inlineStr">
        <is>
          <t>Нежилое помещение</t>
        </is>
      </c>
      <c r="K493" s="5" t="n">
        <v>9.800000000000001</v>
      </c>
      <c r="L493" s="4" t="n">
        <v>364.67</v>
      </c>
      <c r="M493" t="n">
        <v>5246</v>
      </c>
      <c r="N493" s="6" t="n">
        <v>1125299</v>
      </c>
      <c r="O493" t="n">
        <v>141</v>
      </c>
      <c r="Q493" t="inlineStr">
        <is>
          <t>EK</t>
        </is>
      </c>
      <c r="R493" t="inlineStr">
        <is>
          <t>М</t>
        </is>
      </c>
      <c r="S493" s="2">
        <f>HYPERLINK("https://yandex.ru/maps/?&amp;text=47.224673, 39.723169", "47.224673, 39.723169")</f>
        <v/>
      </c>
      <c r="T493" s="2">
        <f>HYPERLINK("D:\venv_torgi\env\cache\objs_in_district/47.224673_39.723169.json", "47.224673_39.723169.json")</f>
        <v/>
      </c>
      <c r="U493" t="inlineStr">
        <is>
          <t>61:44:0040710:411</t>
        </is>
      </c>
      <c r="V493" s="7" t="inlineStr">
        <is>
          <t>1</t>
        </is>
      </c>
      <c r="W493" s="17" t="n">
        <v>51419.00332225914</v>
      </c>
      <c r="X493" s="17" t="n">
        <v>0</v>
      </c>
      <c r="Y493" t="n">
        <v>0</v>
      </c>
    </row>
    <row r="494">
      <c r="A494" s="8" t="n">
        <v>492</v>
      </c>
      <c r="B494" t="n">
        <v>61</v>
      </c>
      <c r="C494" s="1" t="n">
        <v>23.1</v>
      </c>
      <c r="D494" s="2">
        <f>HYPERLINK("https://torgi.gov.ru/new/public/lots/lot/21000030790000000017_4/(lotInfo:info)", "21000030790000000017_4")</f>
        <v/>
      </c>
      <c r="E494" t="inlineStr">
        <is>
          <t>Муниципальное нежилое помещение, расположенное по адресу: Россия, Ростовская область, г.Ростов-на-Дону, Первомайский район, пр. Шолохова, № 266/1, литер «А», этаж 1, к.к. №№ 40, 40а, общей площадью 23,1 кв.м (кадастровый номер 61:44:0020202:996)</t>
        </is>
      </c>
      <c r="F494" s="3" t="inlineStr">
        <is>
          <t>26.09.22 15:00</t>
        </is>
      </c>
      <c r="G494" t="inlineStr">
        <is>
          <t>г.Ростов-на-Дону, Первомайский район,  пр. Шолохова, № 266/1</t>
        </is>
      </c>
      <c r="H494" s="4" t="n">
        <v>1279186</v>
      </c>
      <c r="I494" s="4" t="n">
        <v>55376.01731601731</v>
      </c>
      <c r="J494" t="inlineStr">
        <is>
          <t>Нежилое помещение</t>
        </is>
      </c>
      <c r="K494" s="5" t="n">
        <v>20.74</v>
      </c>
      <c r="L494" s="4" t="n">
        <v>3955.43</v>
      </c>
      <c r="M494" t="n">
        <v>2670</v>
      </c>
      <c r="O494" t="n">
        <v>14</v>
      </c>
      <c r="Q494" t="inlineStr">
        <is>
          <t>EA</t>
        </is>
      </c>
      <c r="R494" t="inlineStr">
        <is>
          <t>М</t>
        </is>
      </c>
      <c r="S494" s="2">
        <f>HYPERLINK("https://yandex.ru/maps/?&amp;text=47.25621, 39.800398", "47.25621, 39.800398")</f>
        <v/>
      </c>
      <c r="T494" s="2">
        <f>HYPERLINK("D:\venv_torgi\env\cache\objs_in_district/47.25621_39.800398.json", "47.25621_39.800398.json")</f>
        <v/>
      </c>
      <c r="U494" t="inlineStr">
        <is>
          <t>61:44:0020202:996</t>
        </is>
      </c>
      <c r="V494" s="7" t="inlineStr">
        <is>
          <t>1</t>
        </is>
      </c>
      <c r="Y494" t="n">
        <v>0</v>
      </c>
    </row>
    <row r="495">
      <c r="A495" s="8" t="n">
        <v>493</v>
      </c>
      <c r="B495" t="n">
        <v>62</v>
      </c>
      <c r="C495" s="1" t="n">
        <v>680.6</v>
      </c>
      <c r="D495" s="2">
        <f>HYPERLINK("https://torgi.gov.ru/new/public/lots/lot/21000006080000000004_1/(lotInfo:info)", "21000006080000000004_1")</f>
        <v/>
      </c>
      <c r="E495" t="inlineStr">
        <is>
          <t>Нежилое помещение (часть здания), назначение: нежилое, этаж № 1, общей площадью 680,6 кв.м, кадастровый номер 62:26:0010802:567, расположенное по адресу: Рязанская область, г. Касимов, ул. Московская, д. 69</t>
        </is>
      </c>
      <c r="F495" s="3" t="inlineStr">
        <is>
          <t>26.09.22 20:59</t>
        </is>
      </c>
      <c r="G495" t="inlineStr">
        <is>
          <t>Рязанская обл, г Касимов, ул Московская, д 69</t>
        </is>
      </c>
      <c r="H495" s="4" t="n">
        <v>2270000</v>
      </c>
      <c r="I495" s="4" t="n">
        <v>3335.292389068469</v>
      </c>
      <c r="J495" t="inlineStr">
        <is>
          <t>Нежилое помещение</t>
        </is>
      </c>
      <c r="K495" s="5" t="n">
        <v>2.43</v>
      </c>
      <c r="M495" t="n">
        <v>1371</v>
      </c>
      <c r="N495" s="6" t="n">
        <v>30696</v>
      </c>
      <c r="P495" s="21" t="n">
        <v>0.3477445032221678</v>
      </c>
      <c r="Q495" t="inlineStr">
        <is>
          <t>EA</t>
        </is>
      </c>
      <c r="R495" t="inlineStr">
        <is>
          <t>М</t>
        </is>
      </c>
      <c r="S495" s="2">
        <f>HYPERLINK("https://yandex.ru/maps/?&amp;text=54.945293, 41.372584", "54.945293, 41.372584")</f>
        <v/>
      </c>
      <c r="U495" t="inlineStr">
        <is>
          <t xml:space="preserve">62:26:0010802:567, </t>
        </is>
      </c>
      <c r="V495" s="7" t="inlineStr">
        <is>
          <t>1</t>
        </is>
      </c>
      <c r="W495" s="20" t="n">
        <v>4495.121984005761</v>
      </c>
      <c r="X495" s="22" t="n">
        <v>1159.829594937292</v>
      </c>
      <c r="Y495" t="n">
        <v>0</v>
      </c>
    </row>
    <row r="496">
      <c r="A496" s="8" t="n">
        <v>494</v>
      </c>
      <c r="B496" t="n">
        <v>62</v>
      </c>
      <c r="C496" s="1" t="n">
        <v>17</v>
      </c>
      <c r="D496" s="2">
        <f>HYPERLINK("https://torgi.gov.ru/new/public/lots/lot/21000001570000000044_1/(lotInfo:info)", "21000001570000000044_1")</f>
        <v/>
      </c>
      <c r="E496" t="inlineStr">
        <is>
          <t>нежилое помещение с кадастровым номером 62:29:0030031:1290, назначение: нежилое, площадью 17 кв. м, этаж № 2, расположенное по адресу: Рязанская область, г. Рязань, ул. Бирюзова, 24, стр.1, Н2, ГСК «Заполярник», реестровый номер 291232.</t>
        </is>
      </c>
      <c r="F496" s="3" t="inlineStr">
        <is>
          <t>08.09.22 07:00</t>
        </is>
      </c>
      <c r="G496" t="inlineStr">
        <is>
          <t>г Рязань, ул Бирюзова, д 24 стр 1</t>
        </is>
      </c>
      <c r="H496" s="4" t="n">
        <v>116382</v>
      </c>
      <c r="I496" s="4" t="n">
        <v>6846</v>
      </c>
      <c r="J496" t="inlineStr">
        <is>
          <t>Нежилое помещение</t>
        </is>
      </c>
      <c r="K496" s="5" t="n">
        <v>1.66</v>
      </c>
      <c r="M496" t="n">
        <v>4116</v>
      </c>
      <c r="N496" s="6" t="n">
        <v>537622</v>
      </c>
      <c r="P496" s="21" t="n">
        <v>4.64227169919401</v>
      </c>
      <c r="Q496" t="inlineStr">
        <is>
          <t>EA</t>
        </is>
      </c>
      <c r="R496" t="inlineStr">
        <is>
          <t>М</t>
        </is>
      </c>
      <c r="S496" s="2">
        <f>HYPERLINK("https://yandex.ru/maps/?&amp;text=54.66204, 39.66041", "54.66204, 39.66041")</f>
        <v/>
      </c>
      <c r="U496" t="inlineStr">
        <is>
          <t xml:space="preserve">62:29:0030031:1290, </t>
        </is>
      </c>
      <c r="V496" s="7" t="inlineStr">
        <is>
          <t>2</t>
        </is>
      </c>
      <c r="W496" s="20" t="n">
        <v>38626.9920526822</v>
      </c>
      <c r="X496" s="22" t="n">
        <v>31780.9920526822</v>
      </c>
      <c r="Y496" t="n">
        <v>0</v>
      </c>
    </row>
    <row r="497">
      <c r="A497" s="8" t="n">
        <v>495</v>
      </c>
      <c r="B497" t="n">
        <v>62</v>
      </c>
      <c r="C497" s="1" t="n">
        <v>34.4</v>
      </c>
      <c r="D497" s="2">
        <f>HYPERLINK("https://torgi.gov.ru/new/public/lots/lot/21000001570000000043_1/(lotInfo:info)", "21000001570000000043_1")</f>
        <v/>
      </c>
      <c r="E497" t="inlineStr">
        <is>
          <t>нежилое помещение с кадастровым номером 62:29:0060002:1364, назначение: нежилое, площадью 34,4 кв. м, этаж № 13, расположенное по адресу: г. Рязань, ул. Крупской, д.15/18, Н2, реестровый номер 26168</t>
        </is>
      </c>
      <c r="F497" s="3" t="inlineStr">
        <is>
          <t>01.09.22 07:00</t>
        </is>
      </c>
      <c r="G497" t="inlineStr">
        <is>
          <t>г Рязань, ул Крупской, д 15/18</t>
        </is>
      </c>
      <c r="H497" s="4" t="n">
        <v>983358</v>
      </c>
      <c r="I497" s="4" t="n">
        <v>28585.98837209302</v>
      </c>
      <c r="J497" t="inlineStr">
        <is>
          <t>Нежилое помещение</t>
        </is>
      </c>
      <c r="K497" s="5" t="n">
        <v>4.44</v>
      </c>
      <c r="L497" s="4" t="n">
        <v>649.66</v>
      </c>
      <c r="M497" t="n">
        <v>6438</v>
      </c>
      <c r="N497" s="6" t="n">
        <v>537622</v>
      </c>
      <c r="O497" t="n">
        <v>44</v>
      </c>
      <c r="Q497" t="inlineStr">
        <is>
          <t>EA</t>
        </is>
      </c>
      <c r="R497" t="inlineStr">
        <is>
          <t>М</t>
        </is>
      </c>
      <c r="S497" s="2">
        <f>HYPERLINK("https://yandex.ru/maps/?&amp;text=54.63918, 39.650887", "54.63918, 39.650887")</f>
        <v/>
      </c>
      <c r="T497" s="2">
        <f>HYPERLINK("D:\venv_torgi\env\cache\objs_in_district/54.63918_39.650887.json", "54.63918_39.650887.json")</f>
        <v/>
      </c>
      <c r="U497" t="inlineStr">
        <is>
          <t xml:space="preserve">62:29:0060002:1364, </t>
        </is>
      </c>
      <c r="V497" s="7" t="inlineStr">
        <is>
          <t>1</t>
        </is>
      </c>
      <c r="W497" s="20" t="n">
        <v>26866.27840984939</v>
      </c>
      <c r="X497" s="23" t="n">
        <v>-1719.709962243625</v>
      </c>
      <c r="Y497" t="n">
        <v>0</v>
      </c>
    </row>
    <row r="498">
      <c r="A498" s="8" t="n">
        <v>496</v>
      </c>
      <c r="B498" t="n">
        <v>63</v>
      </c>
      <c r="C498" s="1" t="n">
        <v>573.3</v>
      </c>
      <c r="D498" s="2">
        <f>HYPERLINK("https://torgi.gov.ru/new/public/lots/lot/21000005400000000098_1/(lotInfo:info)", "21000005400000000098_1")</f>
        <v/>
      </c>
      <c r="E498" t="inlineStr">
        <is>
          <t>Нежилое помещение, расположенное по адресу: Самарская область, г. Тольятти, Комсомольский район, ул. Громовой, д. 44, площадью 573,3 кв. м, состоящее из двух нежилых помещений площадью 484,3 кв.м, подземный этаж № 1, кадастровый номер: 63:09:0201059:2417 и 89 кв.м, подземный этаж № 1, кадастровый номер 63:09:0201059:2416</t>
        </is>
      </c>
      <c r="F498" s="3" t="inlineStr">
        <is>
          <t>21.09.22 13:00</t>
        </is>
      </c>
      <c r="G498" t="inlineStr">
        <is>
          <t>Самарская обл, г Тольятти, ул Громовой, д 44</t>
        </is>
      </c>
      <c r="H498" s="4" t="n">
        <v>1968542</v>
      </c>
      <c r="I498" s="4" t="n">
        <v>3433.703122274551</v>
      </c>
      <c r="J498" t="inlineStr">
        <is>
          <t>Нежилое помещение</t>
        </is>
      </c>
      <c r="K498" s="5" t="n">
        <v>0.92</v>
      </c>
      <c r="L498" s="4" t="n">
        <v>343.3</v>
      </c>
      <c r="M498" t="n">
        <v>3729</v>
      </c>
      <c r="N498" s="6" t="n">
        <v>731544</v>
      </c>
      <c r="O498" t="n">
        <v>10</v>
      </c>
      <c r="P498" s="21" t="n">
        <v>0.9642931830872251</v>
      </c>
      <c r="Q498" t="inlineStr">
        <is>
          <t>EA</t>
        </is>
      </c>
      <c r="R498" t="inlineStr">
        <is>
          <t>М</t>
        </is>
      </c>
      <c r="S498" s="2">
        <f>HYPERLINK("https://yandex.ru/maps/?&amp;text=53.485703, 49.48154", "53.485703, 49.48154")</f>
        <v/>
      </c>
      <c r="T498" s="2">
        <f>HYPERLINK("D:\venv_torgi\env\cache\objs_in_district/53.485703_49.48154.json", "53.485703_49.48154.json")</f>
        <v/>
      </c>
      <c r="U498" t="inlineStr">
        <is>
          <t xml:space="preserve">63:09:0201059:2417 </t>
        </is>
      </c>
      <c r="V498" s="7" t="inlineStr">
        <is>
          <t>1</t>
        </is>
      </c>
      <c r="W498" s="20" t="n">
        <v>6744.799635829221</v>
      </c>
      <c r="X498" s="22" t="n">
        <v>3311.09651355467</v>
      </c>
      <c r="Y498" t="n">
        <v>0</v>
      </c>
    </row>
    <row r="499">
      <c r="A499" s="8" t="n">
        <v>497</v>
      </c>
      <c r="B499" t="n">
        <v>63</v>
      </c>
      <c r="C499" s="1" t="n">
        <v>210.3</v>
      </c>
      <c r="D499" s="2">
        <f>HYPERLINK("https://torgi.gov.ru/new/public/lots/lot/21000002320000000007_1/(lotInfo:info)", "21000002320000000007_1")</f>
        <v/>
      </c>
      <c r="E499" t="inlineStr">
        <is>
          <t>наименование: нежилое помещение, назначение: нежилое, номер, тип этажа, на котором расположено помещение: этаж № 1, площадь 210,3 кв.м, кадастровый номер: 63:36:0105027:90, расположенное по адресу: Самарская область, Шенталинский район, станция Шентала, улица Советская, дом 22, квартира б/н</t>
        </is>
      </c>
      <c r="F499" s="3" t="inlineStr">
        <is>
          <t>19.09.22 11:00</t>
        </is>
      </c>
      <c r="G499" t="inlineStr">
        <is>
          <t>Самарская обл, ж/д_ст Шентала, ул Советская, влд 22</t>
        </is>
      </c>
      <c r="H499" s="4" t="n">
        <v>799771</v>
      </c>
      <c r="I499" s="4" t="n">
        <v>3803.000475511174</v>
      </c>
      <c r="J499" t="inlineStr">
        <is>
          <t>Нежилое помещение</t>
        </is>
      </c>
      <c r="K499" s="5" t="n">
        <v>3.04</v>
      </c>
      <c r="L499" s="10" t="n"/>
      <c r="M499" t="n">
        <v>1251</v>
      </c>
      <c r="N499" s="6" t="n">
        <v>6614</v>
      </c>
      <c r="O499" t="inlineStr">
        <is>
          <t>0</t>
        </is>
      </c>
      <c r="P499" s="21" t="n">
        <v>1.678031911954241</v>
      </c>
      <c r="Q499" t="inlineStr">
        <is>
          <t>EA</t>
        </is>
      </c>
      <c r="R499" t="inlineStr">
        <is>
          <t>М</t>
        </is>
      </c>
      <c r="S499" s="2">
        <f>HYPERLINK("https://yandex.ru/maps/?&amp;text=54.425954, 51.471022", "54.425954, 51.471022")</f>
        <v/>
      </c>
      <c r="T499" s="11">
        <f>HYPERLINK("D:\venv_torgi\env\cache\objs_in_district/54.425954_51.471022.json", "54.425954_51.471022.json")</f>
        <v/>
      </c>
      <c r="U499" t="inlineStr">
        <is>
          <t xml:space="preserve">63:36:0105027:90, </t>
        </is>
      </c>
      <c r="V499" s="7" t="inlineStr">
        <is>
          <t>1</t>
        </is>
      </c>
      <c r="W499" s="20" t="n">
        <v>10184.55663459608</v>
      </c>
      <c r="X499" s="22" t="n">
        <v>6381.556159084902</v>
      </c>
      <c r="Y499" t="n">
        <v>0</v>
      </c>
    </row>
    <row r="500">
      <c r="A500" s="8" t="n">
        <v>498</v>
      </c>
      <c r="B500" t="n">
        <v>63</v>
      </c>
      <c r="C500" s="1" t="n">
        <v>489</v>
      </c>
      <c r="D500" s="2">
        <f>HYPERLINK("https://torgi.gov.ru/new/public/lots/lot/21000005400000000091_1/(lotInfo:info)", "21000005400000000091_1")</f>
        <v/>
      </c>
      <c r="E500" t="inlineStr">
        <is>
          <t>Нежилое помещение, расположенное по адресу: Самарская область,  г. Тольятти, Комсомольский район, ул. Коммунистическая, д. 53, пом. Б/Н (1005), площадью 489 кв.м, подземный этаж № 1, кадастровый номер: 63:09:0201057:3310</t>
        </is>
      </c>
      <c r="F500" s="3" t="inlineStr">
        <is>
          <t>07.09.22 13:00</t>
        </is>
      </c>
      <c r="G500" t="inlineStr">
        <is>
          <t>Самарская обл, г Тольятти, ул Коммунистическая, д 53</t>
        </is>
      </c>
      <c r="H500" s="4" t="n">
        <v>1962646</v>
      </c>
      <c r="I500" s="4" t="n">
        <v>4013.59100204499</v>
      </c>
      <c r="J500" t="inlineStr">
        <is>
          <t>Нежилое помещение</t>
        </is>
      </c>
      <c r="K500" s="5" t="n">
        <v>0.84</v>
      </c>
      <c r="L500" s="4" t="n">
        <v>236.06</v>
      </c>
      <c r="M500" t="n">
        <v>4762</v>
      </c>
      <c r="N500" s="6" t="n">
        <v>731544</v>
      </c>
      <c r="O500" t="n">
        <v>17</v>
      </c>
      <c r="P500" s="21" t="n">
        <v>0.8886561274935295</v>
      </c>
      <c r="Q500" t="inlineStr">
        <is>
          <t>EA</t>
        </is>
      </c>
      <c r="R500" t="inlineStr">
        <is>
          <t>М</t>
        </is>
      </c>
      <c r="S500" s="2">
        <f>HYPERLINK("https://yandex.ru/maps/?&amp;text=53.475365, 49.46731", "53.475365, 49.46731")</f>
        <v/>
      </c>
      <c r="T500" s="2">
        <f>HYPERLINK("D:\venv_torgi\env\cache\objs_in_district/53.475365_49.46731.json", "53.475365_49.46731.json")</f>
        <v/>
      </c>
      <c r="U500" t="inlineStr">
        <is>
          <t>63:09:0201057:3310</t>
        </is>
      </c>
      <c r="V500" s="7" t="inlineStr">
        <is>
          <t>1</t>
        </is>
      </c>
      <c r="W500" s="20" t="n">
        <v>7580.293239265166</v>
      </c>
      <c r="X500" s="22" t="n">
        <v>3566.702237220175</v>
      </c>
      <c r="Y500" t="n">
        <v>0</v>
      </c>
    </row>
    <row r="501">
      <c r="A501" s="8" t="n">
        <v>499</v>
      </c>
      <c r="B501" t="n">
        <v>63</v>
      </c>
      <c r="C501" s="1" t="n">
        <v>339.6</v>
      </c>
      <c r="D501" s="2">
        <f>HYPERLINK("https://torgi.gov.ru/new/public/lots/lot/21000005400000000095_1/(lotInfo:info)", "21000005400000000095_1")</f>
        <v/>
      </c>
      <c r="E501" t="inlineStr">
        <is>
          <t>Нежилое помещение, расположенное по адресу: Самарская область,  г. Тольятти, Комсомольский район, ул. Громовой, д. 24, площадью 339,6 кв.м, подземный этаж      № 1, кадастровый номер: 63:09:0201059:12825</t>
        </is>
      </c>
      <c r="F501" s="3" t="inlineStr">
        <is>
          <t>19.09.22 13:00</t>
        </is>
      </c>
      <c r="G501" t="inlineStr">
        <is>
          <t>Самарская обл, г Тольятти, ул Громовой, д 24</t>
        </is>
      </c>
      <c r="H501" s="4" t="n">
        <v>1398710</v>
      </c>
      <c r="I501" s="4" t="n">
        <v>4118.698468786808</v>
      </c>
      <c r="J501" t="inlineStr">
        <is>
          <t>Нежилое помещение</t>
        </is>
      </c>
      <c r="K501" s="5" t="n">
        <v>1</v>
      </c>
      <c r="L501" s="4" t="n">
        <v>316.77</v>
      </c>
      <c r="M501" t="n">
        <v>4106</v>
      </c>
      <c r="N501" s="6" t="n">
        <v>731544</v>
      </c>
      <c r="O501" t="n">
        <v>13</v>
      </c>
      <c r="P501" s="21" t="n">
        <v>0.6376046187755886</v>
      </c>
      <c r="Q501" t="inlineStr">
        <is>
          <t>EA</t>
        </is>
      </c>
      <c r="R501" t="inlineStr">
        <is>
          <t>М</t>
        </is>
      </c>
      <c r="S501" s="2">
        <f>HYPERLINK("https://yandex.ru/maps/?&amp;text=53.48615, 49.475918", "53.48615, 49.475918")</f>
        <v/>
      </c>
      <c r="T501" s="2">
        <f>HYPERLINK("D:\venv_torgi\env\cache\objs_in_district/53.48615_49.475918.json", "53.48615_49.475918.json")</f>
        <v/>
      </c>
      <c r="U501" t="inlineStr">
        <is>
          <t>63:09:0201059:12825</t>
        </is>
      </c>
      <c r="V501" s="7" t="inlineStr">
        <is>
          <t>1</t>
        </is>
      </c>
      <c r="W501" s="20" t="n">
        <v>6744.799635829221</v>
      </c>
      <c r="X501" s="22" t="n">
        <v>2626.101167042413</v>
      </c>
      <c r="Y501" t="n">
        <v>0</v>
      </c>
    </row>
    <row r="502">
      <c r="A502" s="8" t="n">
        <v>500</v>
      </c>
      <c r="B502" t="n">
        <v>63</v>
      </c>
      <c r="C502" s="1" t="n">
        <v>433.3</v>
      </c>
      <c r="D502" s="2">
        <f>HYPERLINK("https://torgi.gov.ru/new/public/lots/lot/21000005400000000096_1/(lotInfo:info)", "21000005400000000096_1")</f>
        <v/>
      </c>
      <c r="E502" t="inlineStr">
        <is>
          <t>Нежилое помещение, расположенное по адресу: Самарская область, г. Тольятти, Центральный район, ул. Карла Маркса, д. 27А, пом. 1002, площадью 433,3 кв.м, подземный этаж № 1, кадастровый номер: 63:09:0301146:1262</t>
        </is>
      </c>
      <c r="F502" s="3" t="inlineStr">
        <is>
          <t>21.09.22 13:00</t>
        </is>
      </c>
      <c r="G502" t="inlineStr">
        <is>
          <t>Самарская обл, г Тольятти, ул Карла Маркса, д 27А</t>
        </is>
      </c>
      <c r="H502" s="4" t="n">
        <v>2192287</v>
      </c>
      <c r="I502" s="4" t="n">
        <v>5059.513039464574</v>
      </c>
      <c r="J502" t="inlineStr">
        <is>
          <t>Нежилое помещение</t>
        </is>
      </c>
      <c r="K502" s="5" t="n">
        <v>0.83</v>
      </c>
      <c r="L502" s="4" t="n">
        <v>107.64</v>
      </c>
      <c r="M502" t="n">
        <v>6086</v>
      </c>
      <c r="N502" s="6" t="n">
        <v>731544</v>
      </c>
      <c r="O502" t="n">
        <v>47</v>
      </c>
      <c r="P502" s="21" t="n">
        <v>0.4982258529898669</v>
      </c>
      <c r="Q502" t="inlineStr">
        <is>
          <t>EA</t>
        </is>
      </c>
      <c r="R502" t="inlineStr">
        <is>
          <t>М</t>
        </is>
      </c>
      <c r="S502" s="2">
        <f>HYPERLINK("https://yandex.ru/maps/?&amp;text=53.51761, 49.404285", "53.51761, 49.404285")</f>
        <v/>
      </c>
      <c r="T502" s="2">
        <f>HYPERLINK("D:\venv_torgi\env\cache\objs_in_district/53.51761_49.404285.json", "53.51761_49.404285.json")</f>
        <v/>
      </c>
      <c r="U502" t="inlineStr">
        <is>
          <t>63:09:0301146:1262</t>
        </is>
      </c>
      <c r="V502" s="7" t="inlineStr">
        <is>
          <t>1</t>
        </is>
      </c>
      <c r="W502" s="20" t="n">
        <v>7580.293239265166</v>
      </c>
      <c r="X502" s="22" t="n">
        <v>2520.780199800592</v>
      </c>
      <c r="Y502" t="n">
        <v>0</v>
      </c>
    </row>
    <row r="503">
      <c r="A503" s="8" t="n">
        <v>501</v>
      </c>
      <c r="B503" t="n">
        <v>63</v>
      </c>
      <c r="C503" s="1" t="n">
        <v>323.5</v>
      </c>
      <c r="D503" s="2">
        <f>HYPERLINK("https://torgi.gov.ru/new/public/lots/lot/21000005400000000094_1/(lotInfo:info)", "21000005400000000094_1")</f>
        <v/>
      </c>
      <c r="E503" t="inlineStr">
        <is>
          <t>Нежилое помещение, расположенное по адресу: Самарская область, г. Тольятти, Комсомольский район, ул. Никонова, д. 6, площадью 323,5 кв.м, этаж № -1, кадастровый номер: 63:09:0201060:15519</t>
        </is>
      </c>
      <c r="F503" s="3" t="inlineStr">
        <is>
          <t>19.09.22 13:00</t>
        </is>
      </c>
      <c r="G503" t="inlineStr">
        <is>
          <t>Самарская обл, г Тольятти, ул Никонова, д 6</t>
        </is>
      </c>
      <c r="H503" s="4" t="n">
        <v>1715885</v>
      </c>
      <c r="I503" s="4" t="n">
        <v>5304.126738794436</v>
      </c>
      <c r="J503" t="inlineStr">
        <is>
          <t>Нежилое помещение</t>
        </is>
      </c>
      <c r="K503" s="5" t="n">
        <v>1.19</v>
      </c>
      <c r="L503" s="4" t="n">
        <v>241.09</v>
      </c>
      <c r="M503" t="n">
        <v>4471</v>
      </c>
      <c r="N503" s="6" t="n">
        <v>731544</v>
      </c>
      <c r="O503" t="n">
        <v>22</v>
      </c>
      <c r="P503" s="21" t="n">
        <v>1.115736694491285</v>
      </c>
      <c r="Q503" t="inlineStr">
        <is>
          <t>EA</t>
        </is>
      </c>
      <c r="R503" t="inlineStr">
        <is>
          <t>М</t>
        </is>
      </c>
      <c r="S503" s="2">
        <f>HYPERLINK("https://yandex.ru/maps/?&amp;text=53.4653, 49.53047", "53.4653, 49.53047")</f>
        <v/>
      </c>
      <c r="T503" s="2">
        <f>HYPERLINK("D:\venv_torgi\env\cache\objs_in_district/53.4653_49.53047.json", "53.4653_49.53047.json")</f>
        <v/>
      </c>
      <c r="U503" t="inlineStr">
        <is>
          <t>63:09:0201060:15519</t>
        </is>
      </c>
      <c r="W503" s="20" t="n">
        <v>11222.13557349978</v>
      </c>
      <c r="X503" s="22" t="n">
        <v>5918.008834705345</v>
      </c>
      <c r="Y503" t="n">
        <v>0</v>
      </c>
    </row>
    <row r="504">
      <c r="A504" s="8" t="n">
        <v>502</v>
      </c>
      <c r="B504" t="n">
        <v>63</v>
      </c>
      <c r="C504" s="1" t="n">
        <v>200.9</v>
      </c>
      <c r="D504" s="2">
        <f>HYPERLINK("https://torgi.gov.ru/new/public/lots/lot/21000005400000000092_1/(lotInfo:info)", "21000005400000000092_1")</f>
        <v/>
      </c>
      <c r="E504" t="inlineStr">
        <is>
          <t>Нежилое помещение, расположенное по адресу: Самарская область, г. Тольятти, Центральный район, ул. Мира, д. 50, площадью 200,9 кв. м (этаж № 1, подземный этаж № 1),  кадастровый номер: 63:09:0301083:721</t>
        </is>
      </c>
      <c r="F504" s="3" t="inlineStr">
        <is>
          <t>07.09.22 13:00</t>
        </is>
      </c>
      <c r="G504" t="inlineStr">
        <is>
          <t>Самарская обл, г Тольятти, ул Мира, д 50</t>
        </is>
      </c>
      <c r="H504" s="4" t="n">
        <v>1711312</v>
      </c>
      <c r="I504" s="4" t="n">
        <v>8518.227974116475</v>
      </c>
      <c r="J504" t="inlineStr">
        <is>
          <t>Нежилое помещение</t>
        </is>
      </c>
      <c r="K504" s="5" t="n">
        <v>1.41</v>
      </c>
      <c r="L504" s="4" t="n">
        <v>170.36</v>
      </c>
      <c r="M504" t="n">
        <v>6059</v>
      </c>
      <c r="N504" s="6" t="n">
        <v>731544</v>
      </c>
      <c r="O504" t="n">
        <v>50</v>
      </c>
      <c r="P504" s="21" t="n">
        <v>0.9931680488147524</v>
      </c>
      <c r="Q504" t="inlineStr">
        <is>
          <t>EA</t>
        </is>
      </c>
      <c r="R504" t="inlineStr">
        <is>
          <t>М</t>
        </is>
      </c>
      <c r="S504" s="2">
        <f>HYPERLINK("https://yandex.ru/maps/?&amp;text=53.50692, 49.40048", "53.50692, 49.40048")</f>
        <v/>
      </c>
      <c r="T504" s="2">
        <f>HYPERLINK("D:\venv_torgi\env\cache\objs_in_district/53.50692_49.40048.json", "53.50692_49.40048.json")</f>
        <v/>
      </c>
      <c r="U504" t="inlineStr">
        <is>
          <t>63:09:0301083:721</t>
        </is>
      </c>
      <c r="V504" s="7" t="inlineStr">
        <is>
          <t>1</t>
        </is>
      </c>
      <c r="W504" s="20" t="n">
        <v>16978.25983052898</v>
      </c>
      <c r="X504" s="22" t="n">
        <v>8460.031856412501</v>
      </c>
      <c r="Y504" t="n">
        <v>0</v>
      </c>
    </row>
    <row r="505">
      <c r="A505" s="8" t="n">
        <v>503</v>
      </c>
      <c r="B505" t="n">
        <v>63</v>
      </c>
      <c r="C505" s="1" t="n">
        <v>754.3</v>
      </c>
      <c r="D505" s="2">
        <f>HYPERLINK("https://torgi.gov.ru/new/public/lots/lot/21000005400000000099_1/(lotInfo:info)", "21000005400000000099_1")</f>
        <v/>
      </c>
      <c r="E505" t="inlineStr">
        <is>
          <t>Нежилое помещение, расположенное по адресу: Самарская область,             г. Тольятти, Центральный район, ул. Новопромышленная, д. 15, площадью 754,30 кв.м, состоящее из двух нежилых помещений площадью 575,5 кв.м подземный этаж № 1, пом. Б/Н (1001) кадастровый номер: 63:09:0301140:890 и 178,8 кв.м, -1 этаж: комнаты №№ 42, 43, 44, 45, 46, 50, 51, 52, 53, 54, 55, 56 кадастровый номер: 63:09:0301140:3401</t>
        </is>
      </c>
      <c r="F505" s="3" t="inlineStr">
        <is>
          <t>09.09.22 13:00</t>
        </is>
      </c>
      <c r="G505" t="inlineStr">
        <is>
          <t>Самарская обл, г Тольятти, ул Новопромышленная, д 15</t>
        </is>
      </c>
      <c r="H505" s="4" t="n">
        <v>7704202</v>
      </c>
      <c r="I505" s="4" t="n">
        <v>10213.71072517566</v>
      </c>
      <c r="J505" t="inlineStr">
        <is>
          <t>Нежилое помещение</t>
        </is>
      </c>
      <c r="K505" s="5" t="n">
        <v>1.76</v>
      </c>
      <c r="L505" s="4" t="n">
        <v>352.17</v>
      </c>
      <c r="M505" t="n">
        <v>5797</v>
      </c>
      <c r="N505" s="6" t="n">
        <v>731544</v>
      </c>
      <c r="O505" t="n">
        <v>29</v>
      </c>
      <c r="Q505" t="inlineStr">
        <is>
          <t>EA</t>
        </is>
      </c>
      <c r="R505" t="inlineStr">
        <is>
          <t>М</t>
        </is>
      </c>
      <c r="S505" s="2">
        <f>HYPERLINK("https://yandex.ru/maps/?&amp;text=53.52138, 49.429665", "53.52138, 49.429665")</f>
        <v/>
      </c>
      <c r="T505" s="2">
        <f>HYPERLINK("D:\venv_torgi\env\cache\objs_in_district/53.52138_49.429665.json", "53.52138_49.429665.json")</f>
        <v/>
      </c>
      <c r="U505" t="inlineStr">
        <is>
          <t xml:space="preserve">63:09:0301140:890 </t>
        </is>
      </c>
      <c r="V505" s="7" t="inlineStr">
        <is>
          <t>1</t>
        </is>
      </c>
      <c r="W505" s="20" t="n">
        <v>7580.293239265166</v>
      </c>
      <c r="X505" s="23" t="n">
        <v>-2633.417485910495</v>
      </c>
      <c r="Y505" t="n">
        <v>0</v>
      </c>
    </row>
    <row r="506">
      <c r="A506" s="8" t="n">
        <v>504</v>
      </c>
      <c r="B506" t="n">
        <v>63</v>
      </c>
      <c r="C506" s="1" t="n">
        <v>95.3</v>
      </c>
      <c r="D506" s="2">
        <f>HYPERLINK("https://torgi.gov.ru/new/public/lots/lot/21000005400000000101_1/(lotInfo:info)", "21000005400000000101_1")</f>
        <v/>
      </c>
      <c r="E506" t="inlineStr">
        <is>
          <t>Нежилое помещение, расположенное по адресу: Самарская область,  г. Тольятти, Комсомольский район, ул. Носова, д. 5, пом. б/н, площадью 95,3 кв. м, этаж 1, номера на поэтажном плане 1 этаж комнаты №№ 11, 12, 13, 14, 15, 16, 17, 18, 19, 20, 21, 22, 23, 24, кадастровый номер: 63:09:0201060:2244, являющееся объектом культурного наследия регионального значения в соответствии с постановлением Правительства Самарской области от 08.08.2013 № 376</t>
        </is>
      </c>
      <c r="F506" s="3" t="inlineStr">
        <is>
          <t>14.09.22 13:00</t>
        </is>
      </c>
      <c r="G506" t="inlineStr">
        <is>
          <t>Самарская обл, г Тольятти, ул Носова, д 5</t>
        </is>
      </c>
      <c r="H506" s="4" t="n">
        <v>1146603</v>
      </c>
      <c r="I506" s="4" t="n">
        <v>12031.51101783841</v>
      </c>
      <c r="J506" t="inlineStr">
        <is>
          <t>Нежилое помещение</t>
        </is>
      </c>
      <c r="K506" s="5" t="n">
        <v>3.41</v>
      </c>
      <c r="L506" s="4" t="n">
        <v>572.9</v>
      </c>
      <c r="M506" t="n">
        <v>3523</v>
      </c>
      <c r="N506" s="6" t="n">
        <v>731544</v>
      </c>
      <c r="O506" t="n">
        <v>21</v>
      </c>
      <c r="P506" s="21" t="n">
        <v>1.232992877620804</v>
      </c>
      <c r="Q506" t="inlineStr">
        <is>
          <t>EK</t>
        </is>
      </c>
      <c r="R506" t="inlineStr">
        <is>
          <t>М</t>
        </is>
      </c>
      <c r="S506" s="2">
        <f>HYPERLINK("https://yandex.ru/maps/?&amp;text=53.464523, 49.530527", "53.464523, 49.530527")</f>
        <v/>
      </c>
      <c r="T506" s="2">
        <f>HYPERLINK("D:\venv_torgi\env\cache\objs_in_district/53.464523_49.530527.json", "53.464523_49.530527.json")</f>
        <v/>
      </c>
      <c r="U506" t="inlineStr">
        <is>
          <t xml:space="preserve">63:09:0201060:2244, </t>
        </is>
      </c>
      <c r="V506" s="7" t="inlineStr">
        <is>
          <t>1</t>
        </is>
      </c>
      <c r="W506" s="20" t="n">
        <v>26866.27840984939</v>
      </c>
      <c r="X506" s="22" t="n">
        <v>14834.76739201098</v>
      </c>
      <c r="Y506" t="n">
        <v>0</v>
      </c>
      <c r="Z506" t="n">
        <v>1</v>
      </c>
    </row>
    <row r="507">
      <c r="A507" s="8" t="n">
        <v>505</v>
      </c>
      <c r="B507" t="n">
        <v>63</v>
      </c>
      <c r="C507" s="1" t="n">
        <v>89.90000000000001</v>
      </c>
      <c r="D507" s="2">
        <f>HYPERLINK("https://torgi.gov.ru/new/public/lots/lot/21000005400000000100_1/(lotInfo:info)", "21000005400000000100_1")</f>
        <v/>
      </c>
      <c r="E507" t="inlineStr">
        <is>
          <t>Нежилое помещение, расположенное по адресу: Самарская область, г. Тольятти, Комсомольский район, ул. Никонова, д. 8, площадью 89,9 кв. м, этаж № 1, кадастровый номер: 63:09:0202054:757, являющееся объектом культурного наследия регионального значения в соответствии с постановлением Правительства Самарской области от 08.08.2013 № 376.</t>
        </is>
      </c>
      <c r="F507" s="3" t="inlineStr">
        <is>
          <t>14.09.22 13:00</t>
        </is>
      </c>
      <c r="G507" t="inlineStr">
        <is>
          <t>Самарская обл, г Тольятти, ул Никонова, д 8</t>
        </is>
      </c>
      <c r="H507" s="4" t="n">
        <v>1162535</v>
      </c>
      <c r="I507" s="4" t="n">
        <v>12931.42380422692</v>
      </c>
      <c r="J507" t="inlineStr">
        <is>
          <t>Нежилое помещение</t>
        </is>
      </c>
      <c r="K507" s="5" t="n">
        <v>3.67</v>
      </c>
      <c r="L507" s="4" t="n">
        <v>497.35</v>
      </c>
      <c r="M507" t="n">
        <v>3523</v>
      </c>
      <c r="N507" s="6" t="n">
        <v>731544</v>
      </c>
      <c r="O507" t="n">
        <v>26</v>
      </c>
      <c r="P507" s="21" t="n">
        <v>1.077596312408194</v>
      </c>
      <c r="Q507" t="inlineStr">
        <is>
          <t>EK</t>
        </is>
      </c>
      <c r="R507" t="inlineStr">
        <is>
          <t>М</t>
        </is>
      </c>
      <c r="S507" s="2">
        <f>HYPERLINK("https://yandex.ru/maps/?&amp;text=53.464818, 49.531443", "53.464818, 49.531443")</f>
        <v/>
      </c>
      <c r="T507" s="2">
        <f>HYPERLINK("D:\venv_torgi\env\cache\objs_in_district/53.464818_49.531443.json", "53.464818_49.531443.json")</f>
        <v/>
      </c>
      <c r="U507" t="inlineStr">
        <is>
          <t xml:space="preserve">63:09:0202054:757, </t>
        </is>
      </c>
      <c r="V507" s="7" t="inlineStr">
        <is>
          <t>1</t>
        </is>
      </c>
      <c r="W507" s="20" t="n">
        <v>26866.27840984939</v>
      </c>
      <c r="X507" s="22" t="n">
        <v>13934.85460562247</v>
      </c>
      <c r="Y507" t="n">
        <v>0</v>
      </c>
      <c r="Z507" t="n">
        <v>1</v>
      </c>
    </row>
    <row r="508">
      <c r="A508" s="8" t="n">
        <v>506</v>
      </c>
      <c r="B508" t="n">
        <v>63</v>
      </c>
      <c r="C508" s="1" t="n">
        <v>91.09999999999999</v>
      </c>
      <c r="D508" s="2">
        <f>HYPERLINK("https://torgi.gov.ru/new/public/lots/lot/21000002520000000006_3/(lotInfo:info)", "21000002520000000006_3")</f>
        <v/>
      </c>
      <c r="E508" t="inlineStr">
        <is>
          <t>Нежилое помещение площадью 91,1 кв.м, Этаж № 2, расположенное по адресу: Самарская область, г. Самара, п. Красная Глинка, ул. Батайская, д. 10. Кадастровый номер: 63:01:0301001:3131.</t>
        </is>
      </c>
      <c r="F508" s="3" t="inlineStr">
        <is>
          <t>09.09.22 05:00</t>
        </is>
      </c>
      <c r="G508" t="inlineStr">
        <is>
          <t>г Самара, поселок Красная Глинка, ул Батайская, д 10</t>
        </is>
      </c>
      <c r="H508" s="4" t="n">
        <v>2080000</v>
      </c>
      <c r="I508" s="4" t="n">
        <v>22832.05268935236</v>
      </c>
      <c r="J508" t="inlineStr">
        <is>
          <t>Нежилое помещение</t>
        </is>
      </c>
      <c r="K508" s="5" t="n">
        <v>8.949999999999999</v>
      </c>
      <c r="L508" s="4" t="n">
        <v>7610.67</v>
      </c>
      <c r="M508" t="n">
        <v>2550</v>
      </c>
      <c r="N508" s="6" t="n">
        <v>1156608</v>
      </c>
      <c r="O508" t="n">
        <v>3</v>
      </c>
      <c r="P508" s="16" t="n">
        <v>0.1758269391174481</v>
      </c>
      <c r="Q508" t="inlineStr">
        <is>
          <t>PP</t>
        </is>
      </c>
      <c r="R508" t="inlineStr">
        <is>
          <t>М</t>
        </is>
      </c>
      <c r="S508" s="2">
        <f>HYPERLINK("https://yandex.ru/maps/?&amp;text=53.394547, 50.176065", "53.394547, 50.176065")</f>
        <v/>
      </c>
      <c r="T508" s="2">
        <f>HYPERLINK("D:\venv_torgi\env\cache\objs_in_district/53.394547_50.176065.json", "53.394547_50.176065.json")</f>
        <v/>
      </c>
      <c r="U508" t="inlineStr">
        <is>
          <t>63:01:0301001:3131</t>
        </is>
      </c>
      <c r="V508" s="7" t="inlineStr">
        <is>
          <t>2</t>
        </is>
      </c>
      <c r="W508" s="17" t="n">
        <v>26846.54262748949</v>
      </c>
      <c r="X508" s="18" t="n">
        <v>4014.489938137125</v>
      </c>
      <c r="Y508" t="n">
        <v>0</v>
      </c>
    </row>
    <row r="509">
      <c r="A509" s="8" t="n">
        <v>507</v>
      </c>
      <c r="B509" t="n">
        <v>64</v>
      </c>
      <c r="C509" s="1" t="n">
        <v>317.6</v>
      </c>
      <c r="D509" s="2">
        <f>HYPERLINK("https://torgi.gov.ru/new/public/lots/lot/21000014620000000003_1/(lotInfo:info)", "21000014620000000003_1")</f>
        <v/>
      </c>
      <c r="E509" t="inlineStr">
        <is>
          <t>Лот №1Нежилое помещение, 317,6 кв.м., кадастровый номер 64:38:090147:372, собственность 64:38:090147:372-64/017/2017-1 от 02.06.2017г., расположенное на 1 этаже многоквартирного дома, расположенного по адресу: Саратовская область, Энгельсский район, с. Красный Яр, ул. Свободы, 3 пом. 1Обременения отсутствуют.</t>
        </is>
      </c>
      <c r="F509" s="3" t="inlineStr">
        <is>
          <t>19.09.22 14:00</t>
        </is>
      </c>
      <c r="G509" t="inlineStr">
        <is>
          <t>Саратовская обл, Энгельсский р-н, село Красный Яр, ул Свободы, д 3</t>
        </is>
      </c>
      <c r="H509" s="4" t="n">
        <v>1200000</v>
      </c>
      <c r="I509" s="4" t="n">
        <v>3778.337531486146</v>
      </c>
      <c r="J509" t="inlineStr">
        <is>
          <t>Нежилое помещение</t>
        </is>
      </c>
      <c r="K509" s="5" t="n">
        <v>3.67</v>
      </c>
      <c r="L509" s="4" t="n">
        <v>3778</v>
      </c>
      <c r="M509" t="n">
        <v>1029</v>
      </c>
      <c r="N509" s="6" t="n">
        <v>3485</v>
      </c>
      <c r="O509" t="n">
        <v>1</v>
      </c>
      <c r="P509" s="21" t="n">
        <v>0.1897089517668581</v>
      </c>
      <c r="Q509" t="inlineStr">
        <is>
          <t>PP</t>
        </is>
      </c>
      <c r="R509" t="inlineStr">
        <is>
          <t>М</t>
        </is>
      </c>
      <c r="S509" s="2">
        <f>HYPERLINK("https://yandex.ru/maps/?&amp;text=51.625726, 46.417586", "51.625726, 46.417586")</f>
        <v/>
      </c>
      <c r="T509" s="2">
        <f>HYPERLINK("D:\venv_torgi\env\cache\objs_in_district/51.625726_46.417586.json", "51.625726_46.417586.json")</f>
        <v/>
      </c>
      <c r="U509" t="inlineStr">
        <is>
          <t xml:space="preserve">64:38:090147:372, </t>
        </is>
      </c>
      <c r="V509" s="7" t="inlineStr">
        <is>
          <t>1</t>
        </is>
      </c>
      <c r="W509" s="20" t="n">
        <v>4495.121984005761</v>
      </c>
      <c r="X509" s="22" t="n">
        <v>716.7844525196151</v>
      </c>
      <c r="Y509" t="n">
        <v>0</v>
      </c>
    </row>
    <row r="510">
      <c r="A510" s="8" t="n">
        <v>508</v>
      </c>
      <c r="B510" t="n">
        <v>64</v>
      </c>
      <c r="C510" s="1" t="n">
        <v>82.3</v>
      </c>
      <c r="D510" s="2">
        <f>HYPERLINK("https://torgi.gov.ru/new/public/lots/lot/21000021970000000021_1/(lotInfo:info)", "21000021970000000021_1")</f>
        <v/>
      </c>
      <c r="E510" t="inlineStr">
        <is>
          <t>Нежилое здание- Котельная №12  (кадастровый номер 64:13:005401:51), площадь – 82,3 кв. м с земельным участком (кадастровый номер 64:13:005404:99) , площадь- 259 кв. м.</t>
        </is>
      </c>
      <c r="F510" s="3" t="inlineStr">
        <is>
          <t>07.09.22 13:00</t>
        </is>
      </c>
      <c r="G510" t="inlineStr">
        <is>
          <t>г.Ершов, ул. Лесхозная, д.27К</t>
        </is>
      </c>
      <c r="H510" s="4" t="n">
        <v>335500</v>
      </c>
      <c r="I510" s="4" t="n">
        <v>4076.549210206561</v>
      </c>
      <c r="J510" t="inlineStr">
        <is>
          <t xml:space="preserve">здание- </t>
        </is>
      </c>
      <c r="Q510" t="inlineStr">
        <is>
          <t>PP</t>
        </is>
      </c>
      <c r="R510" t="inlineStr">
        <is>
          <t>М</t>
        </is>
      </c>
      <c r="U510" t="inlineStr">
        <is>
          <t>64:13:005401:51</t>
        </is>
      </c>
      <c r="V510" s="7" t="inlineStr">
        <is>
          <t>1</t>
        </is>
      </c>
      <c r="Y510" t="n">
        <v>0</v>
      </c>
    </row>
    <row r="511">
      <c r="A511" s="8" t="n">
        <v>509</v>
      </c>
      <c r="B511" t="n">
        <v>64</v>
      </c>
      <c r="C511" s="1" t="n">
        <v>32.1</v>
      </c>
      <c r="D511" s="2">
        <f>HYPERLINK("https://torgi.gov.ru/new/public/lots/lot/21000001900000000018_1/(lotInfo:info)", "21000001900000000018_1")</f>
        <v/>
      </c>
      <c r="E511" t="inlineStr">
        <is>
          <t>состояние объекта- удовлетворительное, требуется капитальный ремонт; текущее использование: не используется длительное время</t>
        </is>
      </c>
      <c r="F511" s="3" t="inlineStr">
        <is>
          <t>12.09.22 14:00</t>
        </is>
      </c>
      <c r="G511" t="inlineStr">
        <is>
          <t>Саратовская обл, Энгельсский р-н, поселок Малая Тополевка, ул Луговая, д 20/2</t>
        </is>
      </c>
      <c r="H511" s="4" t="n">
        <v>164000</v>
      </c>
      <c r="I511" s="4" t="n">
        <v>5109.034267912773</v>
      </c>
      <c r="J511" t="inlineStr">
        <is>
          <t>Нежилое помещение</t>
        </is>
      </c>
      <c r="K511" s="5" t="n">
        <v>50.09</v>
      </c>
      <c r="M511" t="n">
        <v>102</v>
      </c>
      <c r="N511" s="6" t="n">
        <v>123</v>
      </c>
      <c r="P511" s="21" t="n">
        <v>4.089006220980232</v>
      </c>
      <c r="Q511" t="inlineStr">
        <is>
          <t>PP</t>
        </is>
      </c>
      <c r="R511" t="inlineStr">
        <is>
          <t>М</t>
        </is>
      </c>
      <c r="S511" s="2">
        <f>HYPERLINK("https://yandex.ru/maps/?&amp;text=51.571689, 46.29148", "51.571689, 46.29148")</f>
        <v/>
      </c>
      <c r="U511" t="inlineStr">
        <is>
          <t xml:space="preserve">64:38:080201:296, </t>
        </is>
      </c>
      <c r="W511" s="20" t="n">
        <v>25999.90717260928</v>
      </c>
      <c r="X511" s="22" t="n">
        <v>20890.87290469651</v>
      </c>
      <c r="Y511" t="n">
        <v>0</v>
      </c>
    </row>
    <row r="512">
      <c r="A512" s="8" t="n">
        <v>510</v>
      </c>
      <c r="B512" t="n">
        <v>64</v>
      </c>
      <c r="C512" s="1" t="n">
        <v>841.8</v>
      </c>
      <c r="D512" s="2">
        <f>HYPERLINK("https://torgi.gov.ru/new/public/lots/lot/21000016920000000004_3/(lotInfo:info)", "21000016920000000004_3")</f>
        <v/>
      </c>
      <c r="E512" t="inlineStr">
        <is>
          <t>Нежилое помещение (кадастровый номер 64:06:110101:422) общей площадью 841,8 кв. м, здание котельной (в составе «Комплекс строений школы») (кадастровый номер 64:06:110101:415) общей площадью 21,3 кв. м, туалет (в составе «Комплекс строений школы») (кадастровый номер 64:06:110101:420) общей площадью 64 кв. м, с земельным участком (кадастровый номер 64:06:110101:465) общей площадью 9839 кв. м по адресу: Саратовская обл., Балашовский район, с. Рассказань, ул. Ленина, д. 99А</t>
        </is>
      </c>
      <c r="F512" s="3" t="inlineStr">
        <is>
          <t>05.09.22 12:00</t>
        </is>
      </c>
      <c r="G512" t="inlineStr">
        <is>
          <t>Саратовская обл, Балашовский р-н, село Рассказань, ул Ленина, д 99а</t>
        </is>
      </c>
      <c r="H512" s="4" t="n">
        <v>7912154</v>
      </c>
      <c r="I512" s="4" t="n">
        <v>9399.090045141364</v>
      </c>
      <c r="J512" t="inlineStr">
        <is>
          <t xml:space="preserve">здание </t>
        </is>
      </c>
      <c r="K512" s="5" t="n">
        <v>103.29</v>
      </c>
      <c r="L512" s="10" t="n"/>
      <c r="M512" t="n">
        <v>91</v>
      </c>
      <c r="N512" s="6" t="n">
        <v>167</v>
      </c>
      <c r="O512" t="inlineStr">
        <is>
          <t>0</t>
        </is>
      </c>
      <c r="Q512" t="inlineStr">
        <is>
          <t>EA</t>
        </is>
      </c>
      <c r="R512" t="inlineStr">
        <is>
          <t>М</t>
        </is>
      </c>
      <c r="S512" s="2">
        <f>HYPERLINK("https://yandex.ru/maps/?&amp;text=51.566549, 42.655324", "51.566549, 42.655324")</f>
        <v/>
      </c>
      <c r="T512" s="11">
        <f>HYPERLINK("D:\venv_torgi\env\cache\objs_in_district/51.566549_42.655324.json", "51.566549_42.655324.json")</f>
        <v/>
      </c>
      <c r="U512" t="inlineStr">
        <is>
          <t>64:06:110101:422</t>
        </is>
      </c>
      <c r="V512" s="7" t="inlineStr">
        <is>
          <t>1</t>
        </is>
      </c>
      <c r="W512" s="20" t="n">
        <v>4495.121984005761</v>
      </c>
      <c r="X512" s="23" t="n">
        <v>-4903.968061135603</v>
      </c>
      <c r="Y512" t="n">
        <v>0</v>
      </c>
    </row>
    <row r="513">
      <c r="A513" s="8" t="n">
        <v>511</v>
      </c>
      <c r="B513" t="n">
        <v>64</v>
      </c>
      <c r="C513" s="1" t="n">
        <v>49.3</v>
      </c>
      <c r="D513" s="2">
        <f>HYPERLINK("https://torgi.gov.ru/new/public/lots/lot/22000008170000000008_3/(lotInfo:info)", "22000008170000000008_3")</f>
        <v/>
      </c>
      <c r="E513" t="inlineStr">
        <is>
          <t>Нежилое помещение общей площадью 49,3 кв.м с кадастровым номером 64:48:050174:1179 на втором этаже нежилого здания по адресу: г. Саратов, улица Лесная, д. 1, пом. А2-9</t>
        </is>
      </c>
      <c r="F513" s="3" t="inlineStr">
        <is>
          <t>19.09.22 12:00</t>
        </is>
      </c>
      <c r="G513" t="inlineStr">
        <is>
          <t>410048, г Саратов, ул Лесная, д 1</t>
        </is>
      </c>
      <c r="H513" s="4" t="n">
        <v>606734.9</v>
      </c>
      <c r="I513" s="4" t="n">
        <v>12306.99594320487</v>
      </c>
      <c r="J513" t="inlineStr">
        <is>
          <t>Нежилое помещение</t>
        </is>
      </c>
      <c r="K513" s="5" t="n">
        <v>3.58</v>
      </c>
      <c r="L513" s="4" t="n">
        <v>647.6799999999999</v>
      </c>
      <c r="M513" t="n">
        <v>3439</v>
      </c>
      <c r="N513" s="6" t="n">
        <v>840785</v>
      </c>
      <c r="O513" t="n">
        <v>19</v>
      </c>
      <c r="P513" s="21" t="n">
        <v>1.183008634587486</v>
      </c>
      <c r="Q513" t="inlineStr">
        <is>
          <t>EA</t>
        </is>
      </c>
      <c r="R513" t="inlineStr">
        <is>
          <t>М</t>
        </is>
      </c>
      <c r="S513" s="2">
        <f>HYPERLINK("https://yandex.ru/maps/?&amp;text=51.48103, 45.883205", "51.48103, 45.883205")</f>
        <v/>
      </c>
      <c r="T513" s="2">
        <f>HYPERLINK("D:\venv_torgi\env\cache\objs_in_district/51.48103_45.883205.json", "51.48103_45.883205.json")</f>
        <v/>
      </c>
      <c r="U513" t="inlineStr">
        <is>
          <t xml:space="preserve">64:48:050174:1179 </t>
        </is>
      </c>
      <c r="V513" s="7" t="inlineStr">
        <is>
          <t>2</t>
        </is>
      </c>
      <c r="W513" s="20" t="n">
        <v>26866.27840984939</v>
      </c>
      <c r="X513" s="22" t="n">
        <v>14559.28246664452</v>
      </c>
      <c r="Y513" t="n">
        <v>0</v>
      </c>
    </row>
    <row r="514">
      <c r="A514" s="8" t="n">
        <v>512</v>
      </c>
      <c r="B514" t="n">
        <v>64</v>
      </c>
      <c r="C514" s="1" t="n">
        <v>10.9</v>
      </c>
      <c r="D514" s="2">
        <f>HYPERLINK("https://torgi.gov.ru/new/public/lots/lot/22000008170000000008_1/(lotInfo:info)", "22000008170000000008_1")</f>
        <v/>
      </c>
      <c r="E514" t="inlineStr">
        <is>
          <t>Нежилое помещение общей площадью 10,9 кв.м с кадастровым номером 64:48:050174:1181 на втором этаже нежилого здания по адресу: г. Саратов, улица Лесная, д. 1, пом. А2-9</t>
        </is>
      </c>
      <c r="F514" s="3" t="inlineStr">
        <is>
          <t>19.09.22 12:00</t>
        </is>
      </c>
      <c r="G514" t="inlineStr">
        <is>
          <t>410048, г Саратов, ул Лесная, д 1</t>
        </is>
      </c>
      <c r="H514" s="4" t="n">
        <v>134146.26</v>
      </c>
      <c r="I514" s="4" t="n">
        <v>12306.99633027523</v>
      </c>
      <c r="J514" t="inlineStr">
        <is>
          <t>Нежилое помещение</t>
        </is>
      </c>
      <c r="K514" s="5" t="n">
        <v>3.58</v>
      </c>
      <c r="L514" s="4" t="n">
        <v>647.6799999999999</v>
      </c>
      <c r="M514" t="n">
        <v>3439</v>
      </c>
      <c r="N514" s="6" t="n">
        <v>840785</v>
      </c>
      <c r="O514" t="n">
        <v>19</v>
      </c>
      <c r="P514" s="21" t="n">
        <v>2.138620587515716</v>
      </c>
      <c r="Q514" t="inlineStr">
        <is>
          <t>EA</t>
        </is>
      </c>
      <c r="R514" t="inlineStr">
        <is>
          <t>М</t>
        </is>
      </c>
      <c r="S514" s="2">
        <f>HYPERLINK("https://yandex.ru/maps/?&amp;text=51.48103, 45.883205", "51.48103, 45.883205")</f>
        <v/>
      </c>
      <c r="T514" s="2">
        <f>HYPERLINK("D:\venv_torgi\env\cache\objs_in_district/51.48103_45.883205.json", "51.48103_45.883205.json")</f>
        <v/>
      </c>
      <c r="U514" t="inlineStr">
        <is>
          <t xml:space="preserve">64:48:050174:1181 </t>
        </is>
      </c>
      <c r="V514" s="7" t="inlineStr">
        <is>
          <t>2</t>
        </is>
      </c>
      <c r="W514" s="20" t="n">
        <v>38626.9920526822</v>
      </c>
      <c r="X514" s="22" t="n">
        <v>26319.99572240697</v>
      </c>
      <c r="Y514" t="n">
        <v>0</v>
      </c>
    </row>
    <row r="515">
      <c r="A515" s="8" t="n">
        <v>513</v>
      </c>
      <c r="B515" t="n">
        <v>64</v>
      </c>
      <c r="C515" s="1" t="n">
        <v>65.3</v>
      </c>
      <c r="D515" s="2">
        <f>HYPERLINK("https://torgi.gov.ru/new/public/lots/lot/22000008170000000008_4/(lotInfo:info)", "22000008170000000008_4")</f>
        <v/>
      </c>
      <c r="E515" t="inlineStr">
        <is>
          <t>Нежилое помещение общей площадью 65,3 кв.м с кадастровым номером 64:48:010335:807 на первом этаже пятиэтажного жилого дома по адресу: г. Саратов, 1-й Тульский проезд, д. 12, пом. 2 (за исключением нежилого помещения № 8 общей площадью 13,2 кв.м)</t>
        </is>
      </c>
      <c r="F515" s="3" t="inlineStr">
        <is>
          <t>19.09.22 12:00</t>
        </is>
      </c>
      <c r="G515" t="inlineStr">
        <is>
          <t>г Саратов, 1-й Тульский проезд, д 12</t>
        </is>
      </c>
      <c r="H515" s="4" t="n">
        <v>871259.8</v>
      </c>
      <c r="I515" s="4" t="n">
        <v>13342.41653905054</v>
      </c>
      <c r="J515" t="inlineStr">
        <is>
          <t>Нежилое помещение</t>
        </is>
      </c>
      <c r="K515" s="5" t="n">
        <v>3.34</v>
      </c>
      <c r="L515" s="4" t="n">
        <v>606.45</v>
      </c>
      <c r="M515" t="n">
        <v>3999</v>
      </c>
      <c r="N515" s="6" t="n">
        <v>840785</v>
      </c>
      <c r="O515" t="n">
        <v>22</v>
      </c>
      <c r="P515" s="21" t="n">
        <v>1.013599135600156</v>
      </c>
      <c r="Q515" t="inlineStr">
        <is>
          <t>EA</t>
        </is>
      </c>
      <c r="R515" t="inlineStr">
        <is>
          <t>М</t>
        </is>
      </c>
      <c r="S515" s="2">
        <f>HYPERLINK("https://yandex.ru/maps/?&amp;text=51.475061, 45.897829", "51.475061, 45.897829")</f>
        <v/>
      </c>
      <c r="T515" s="2">
        <f>HYPERLINK("D:\venv_torgi\env\cache\objs_in_district/51.475061_45.897829.json", "51.475061_45.897829.json")</f>
        <v/>
      </c>
      <c r="U515" t="inlineStr">
        <is>
          <t xml:space="preserve">64:48:010335:807 </t>
        </is>
      </c>
      <c r="V515" s="7" t="inlineStr">
        <is>
          <t>1</t>
        </is>
      </c>
      <c r="W515" s="20" t="n">
        <v>26866.27840984939</v>
      </c>
      <c r="X515" s="22" t="n">
        <v>13523.86187079885</v>
      </c>
      <c r="Y515" t="n">
        <v>0</v>
      </c>
    </row>
    <row r="516">
      <c r="A516" s="8" t="n">
        <v>514</v>
      </c>
      <c r="B516" t="n">
        <v>64</v>
      </c>
      <c r="C516" s="1" t="n">
        <v>73.5</v>
      </c>
      <c r="D516" s="2">
        <f>HYPERLINK("https://torgi.gov.ru/new/public/lots/lot/22000008170000000008_5/(lotInfo:info)", "22000008170000000008_5")</f>
        <v/>
      </c>
      <c r="E516" t="inlineStr">
        <is>
          <t>Нежилое помещение общей площадью 73,5 кв. м с кадастровым номером 64:48:030449:386 в цокольном этаже одноэтажного жилого дома по адресу: г. Саратов, ул. им. Зарубина В.С., д. 85</t>
        </is>
      </c>
      <c r="F516" s="3" t="inlineStr">
        <is>
          <t>19.09.22 12:00</t>
        </is>
      </c>
      <c r="G516" t="inlineStr">
        <is>
          <t>г Саратов, ул им Зарубина В.С., д 85</t>
        </is>
      </c>
      <c r="H516" s="4" t="n">
        <v>1128653.95</v>
      </c>
      <c r="I516" s="4" t="n">
        <v>15355.83605442177</v>
      </c>
      <c r="J516" t="inlineStr">
        <is>
          <t>Нежилое помещение</t>
        </is>
      </c>
      <c r="K516" s="5" t="n">
        <v>2.31</v>
      </c>
      <c r="L516" s="4" t="n">
        <v>348.98</v>
      </c>
      <c r="M516" t="n">
        <v>6638</v>
      </c>
      <c r="N516" s="6" t="n">
        <v>840785</v>
      </c>
      <c r="O516" t="n">
        <v>44</v>
      </c>
      <c r="P516" s="21" t="n">
        <v>0.7495809615727924</v>
      </c>
      <c r="Q516" t="inlineStr">
        <is>
          <t>EA</t>
        </is>
      </c>
      <c r="R516" t="inlineStr">
        <is>
          <t>М</t>
        </is>
      </c>
      <c r="S516" s="2">
        <f>HYPERLINK("https://yandex.ru/maps/?&amp;text=51.5394813, 46.0263478", "51.5394813, 46.0263478")</f>
        <v/>
      </c>
      <c r="T516" s="2">
        <f>HYPERLINK("D:\venv_torgi\env\cache\objs_in_district/51.5394813_46.0263478.json", "51.5394813_46.0263478.json")</f>
        <v/>
      </c>
      <c r="U516" t="inlineStr">
        <is>
          <t xml:space="preserve">64:48:030449:386 </t>
        </is>
      </c>
      <c r="V516" s="7" t="inlineStr">
        <is>
          <t>0</t>
        </is>
      </c>
      <c r="W516" s="20" t="n">
        <v>26866.27840984939</v>
      </c>
      <c r="X516" s="22" t="n">
        <v>11510.44235542762</v>
      </c>
      <c r="Y516" t="n">
        <v>0</v>
      </c>
    </row>
    <row r="517">
      <c r="A517" s="8" t="n">
        <v>515</v>
      </c>
      <c r="B517" t="n">
        <v>64</v>
      </c>
      <c r="C517" s="1" t="n">
        <v>85.5</v>
      </c>
      <c r="D517" s="2">
        <f>HYPERLINK("https://torgi.gov.ru/new/public/lots/lot/21000018640000000015_3/(lotInfo:info)", "21000018640000000015_3")</f>
        <v/>
      </c>
      <c r="E517" t="inlineStr">
        <is>
          <t>Нежилые помещения, этаж: надземный, кадастровый номер 64:40:010247:1160, площадь 85,5 кв.м, адрес: Саратовская область, г. Балаково, ул. Ленина, д. 60</t>
        </is>
      </c>
      <c r="F517" s="3" t="inlineStr">
        <is>
          <t>06.09.22 19:59</t>
        </is>
      </c>
      <c r="G517" t="inlineStr">
        <is>
          <t>Саратовская обл, г Балаково, ул Ленина, д 60</t>
        </is>
      </c>
      <c r="H517" s="4" t="n">
        <v>2238000</v>
      </c>
      <c r="I517" s="4" t="n">
        <v>26175.43859649123</v>
      </c>
      <c r="J517" t="inlineStr">
        <is>
          <t>Нежилое помещение</t>
        </is>
      </c>
      <c r="K517" s="5" t="n">
        <v>2.97</v>
      </c>
      <c r="L517" s="4" t="n">
        <v>227.61</v>
      </c>
      <c r="M517" t="n">
        <v>8811</v>
      </c>
      <c r="N517" s="6" t="n">
        <v>188414</v>
      </c>
      <c r="O517" t="n">
        <v>115</v>
      </c>
      <c r="P517" s="21" t="n">
        <v>0.02639267383472882</v>
      </c>
      <c r="Q517" t="inlineStr">
        <is>
          <t>EA</t>
        </is>
      </c>
      <c r="R517" t="inlineStr">
        <is>
          <t>М</t>
        </is>
      </c>
      <c r="S517" s="2">
        <f>HYPERLINK("https://yandex.ru/maps/?&amp;text=52.03235, 47.781464", "52.03235, 47.781464")</f>
        <v/>
      </c>
      <c r="T517" s="2">
        <f>HYPERLINK("D:\venv_torgi\env\cache\objs_in_district/52.03235_47.781464.json", "52.03235_47.781464.json")</f>
        <v/>
      </c>
      <c r="U517" t="inlineStr">
        <is>
          <t xml:space="preserve">64:40:010247:1160, </t>
        </is>
      </c>
      <c r="V517" s="7" t="inlineStr">
        <is>
          <t>2</t>
        </is>
      </c>
      <c r="W517" s="20" t="n">
        <v>26866.27840984939</v>
      </c>
      <c r="X517" s="22" t="n">
        <v>690.839813358165</v>
      </c>
      <c r="Y517" t="n">
        <v>0</v>
      </c>
    </row>
    <row r="518">
      <c r="A518" s="8" t="n">
        <v>516</v>
      </c>
      <c r="B518" t="n">
        <v>66</v>
      </c>
      <c r="C518" s="1" t="n">
        <v>68.2</v>
      </c>
      <c r="D518" s="2">
        <f>HYPERLINK("https://torgi.gov.ru/new/public/lots/lot/21000003140000000024_1/(lotInfo:info)", "21000003140000000024_1")</f>
        <v/>
      </c>
      <c r="E518" t="inlineStr">
        <is>
          <t>здание (часть здания) нежилого назначения, общей площадью 68,2 кв.м. (кадастровый номер 66:19:0000000:7601) и земельный участок, площадью 534 кв.м. (кадастровый номер 66:19:4801001:141), категория земель – земли населенных пунктов, расположенные по адресу: Свердловская область, Пригородный район, д. Новая, ул. Уральская, д.3.</t>
        </is>
      </c>
      <c r="F518" s="3" t="inlineStr">
        <is>
          <t>12.09.22 15:00</t>
        </is>
      </c>
      <c r="G518" t="inlineStr">
        <is>
          <t>Свердловская обл, Пригородный р-н, деревня Новая, ул Уральская, д 3</t>
        </is>
      </c>
      <c r="H518" s="4" t="n">
        <v>214040</v>
      </c>
      <c r="I518" s="4" t="n">
        <v>3138.41642228739</v>
      </c>
      <c r="J518" t="inlineStr">
        <is>
          <t>здание (</t>
        </is>
      </c>
      <c r="K518" s="5" t="n">
        <v>44.2</v>
      </c>
      <c r="M518" t="n">
        <v>71</v>
      </c>
      <c r="Q518" t="inlineStr">
        <is>
          <t>EA</t>
        </is>
      </c>
      <c r="R518" t="inlineStr">
        <is>
          <t>М</t>
        </is>
      </c>
      <c r="S518" s="2">
        <f>HYPERLINK("https://yandex.ru/maps/?&amp;text=57.706537, 60.919637", "57.706537, 60.919637")</f>
        <v/>
      </c>
      <c r="U518" t="inlineStr">
        <is>
          <t>66:19:0000000:7601</t>
        </is>
      </c>
      <c r="V518" s="7" t="inlineStr">
        <is>
          <t>1</t>
        </is>
      </c>
      <c r="Y518" t="n">
        <v>0</v>
      </c>
    </row>
    <row r="519">
      <c r="A519" s="8" t="n">
        <v>517</v>
      </c>
      <c r="B519" t="n">
        <v>66</v>
      </c>
      <c r="C519" s="1" t="n">
        <v>37.1</v>
      </c>
      <c r="D519" s="2">
        <f>HYPERLINK("https://torgi.gov.ru/new/public/lots/lot/21000003140000000022_1/(lotInfo:info)", "21000003140000000022_1")</f>
        <v/>
      </c>
      <c r="E519" t="inlineStr">
        <is>
          <t>помещения нежилого назначения, общей площадью 37,1 кв.м. (кадастровый номер 66:19:0000000:3724), расположенное по адресу: Свердловская область, Пригородный район, д. Корнилова, ул. Октябрьская, д. 55.</t>
        </is>
      </c>
      <c r="F519" s="3" t="inlineStr">
        <is>
          <t>05.09.22 15:00</t>
        </is>
      </c>
      <c r="G519" t="inlineStr">
        <is>
          <t>Свердловская обл, Пригородный р-н, деревня Корнилова, ул Октябрьская, д 55</t>
        </is>
      </c>
      <c r="H519" s="4" t="n">
        <v>122592</v>
      </c>
      <c r="I519" s="4" t="n">
        <v>3304.366576819407</v>
      </c>
      <c r="J519" t="inlineStr">
        <is>
          <t>Нежилое помещение</t>
        </is>
      </c>
      <c r="K519" s="5" t="n">
        <v>31.47</v>
      </c>
      <c r="L519" s="10" t="n"/>
      <c r="M519" t="n">
        <v>105</v>
      </c>
      <c r="O519" t="inlineStr">
        <is>
          <t>0</t>
        </is>
      </c>
      <c r="Q519" t="inlineStr">
        <is>
          <t>EA</t>
        </is>
      </c>
      <c r="R519" t="inlineStr">
        <is>
          <t>М</t>
        </is>
      </c>
      <c r="S519" s="2">
        <f>HYPERLINK("https://yandex.ru/maps/?&amp;text=57.599045, 61.039553", "57.599045, 61.039553")</f>
        <v/>
      </c>
      <c r="T519" s="11">
        <f>HYPERLINK("D:\venv_torgi\env\cache\objs_in_district/57.599045_61.039553.json", "57.599045_61.039553.json")</f>
        <v/>
      </c>
      <c r="U519" t="inlineStr">
        <is>
          <t>66:19:0000000:3724</t>
        </is>
      </c>
      <c r="Y519" t="n">
        <v>0</v>
      </c>
    </row>
    <row r="520">
      <c r="A520" s="8" t="n">
        <v>518</v>
      </c>
      <c r="B520" t="n">
        <v>66</v>
      </c>
      <c r="C520" s="1" t="n">
        <v>67.3</v>
      </c>
      <c r="D520" s="2">
        <f>HYPERLINK("https://torgi.gov.ru/new/public/lots/lot/22000027540000000001_2/(lotInfo:info)", "22000027540000000001_2")</f>
        <v/>
      </c>
      <c r="E520" t="inlineStr">
        <is>
          <t>Нежилое помещение с кадастровым номером 66:15:0000000:4544 общей площадью 67,3 кв.м, номера на поэтажном плане: 1, 2, 3, расположенное по адресу: Свердловская область, город Невьянск, проспект Октябрьский, дом 9.</t>
        </is>
      </c>
      <c r="F520" s="3" t="inlineStr">
        <is>
          <t>05.09.22 19:00</t>
        </is>
      </c>
      <c r="G520" t="inlineStr">
        <is>
          <t>Свердловская обл, г Невьянск, Октябрьский пр-кт, д 9</t>
        </is>
      </c>
      <c r="H520" s="4" t="n">
        <v>248875</v>
      </c>
      <c r="I520" s="4" t="n">
        <v>3697.994056463596</v>
      </c>
      <c r="J520" t="inlineStr">
        <is>
          <t>Нежилое помещение</t>
        </is>
      </c>
      <c r="K520" s="5" t="n">
        <v>3.99</v>
      </c>
      <c r="M520" t="n">
        <v>926</v>
      </c>
      <c r="N520" s="6" t="n">
        <v>24157</v>
      </c>
      <c r="P520" s="21" t="n">
        <v>3.386855180463743</v>
      </c>
      <c r="Q520" t="inlineStr">
        <is>
          <t>EA</t>
        </is>
      </c>
      <c r="R520" t="inlineStr">
        <is>
          <t>М</t>
        </is>
      </c>
      <c r="S520" s="2">
        <f>HYPERLINK("https://yandex.ru/maps/?&amp;text=57.49239, 60.219982", "57.49239, 60.219982")</f>
        <v/>
      </c>
      <c r="U520" t="inlineStr">
        <is>
          <t xml:space="preserve">66:15:0000000:4544 </t>
        </is>
      </c>
      <c r="W520" s="20" t="n">
        <v>16222.56438392146</v>
      </c>
      <c r="X520" s="22" t="n">
        <v>12524.57032745786</v>
      </c>
      <c r="Y520" t="n">
        <v>0</v>
      </c>
    </row>
    <row r="521">
      <c r="A521" s="8" t="n">
        <v>519</v>
      </c>
      <c r="B521" t="n">
        <v>66</v>
      </c>
      <c r="C521" s="1" t="n">
        <v>48.4</v>
      </c>
      <c r="D521" s="2">
        <f>HYPERLINK("https://torgi.gov.ru/new/public/lots/lot/21000014250000000035_1/(lotInfo:info)", "21000014250000000035_1")</f>
        <v/>
      </c>
      <c r="E521" t="inlineStr">
        <is>
          <t>Нежилое помещение, кадастровый номер 66:56:0203001:6271, площадью 48,4 кв. м. Помещение находится на 1 этаже одноэтажного нежилого здания. Год постройки 1975. Сети инженерно-технического обеспечения здания – централизованные. Помещение свободно. Обременений нет. Ранее в помещении располагалась парикмахерская. Адрес: г. Нижний Тагил, ул. Металлургов (в районе трамвайного кольца, остановка «Тагилстрой»).</t>
        </is>
      </c>
      <c r="F521" s="3" t="inlineStr">
        <is>
          <t>31.08.22 17:00</t>
        </is>
      </c>
      <c r="G521" t="inlineStr">
        <is>
          <t>Свердловская обл, г Нижний Тагил, ул Металлургов</t>
        </is>
      </c>
      <c r="H521" s="4" t="n">
        <v>495000</v>
      </c>
      <c r="I521" s="4" t="n">
        <v>10227.27272727273</v>
      </c>
      <c r="J521" t="inlineStr">
        <is>
          <t>Нежилое помещение</t>
        </is>
      </c>
      <c r="K521" s="5" t="n">
        <v>4.18</v>
      </c>
      <c r="M521" t="n">
        <v>2449</v>
      </c>
      <c r="N521" s="6" t="n">
        <v>356886</v>
      </c>
      <c r="P521" s="21" t="n">
        <v>1.626925000074163</v>
      </c>
      <c r="Q521" t="inlineStr">
        <is>
          <t>EA</t>
        </is>
      </c>
      <c r="R521" t="inlineStr">
        <is>
          <t>М</t>
        </is>
      </c>
      <c r="S521" s="2">
        <f>HYPERLINK("https://yandex.ru/maps/?&amp;text=57.939901, 60.00738", "57.939901, 60.00738")</f>
        <v/>
      </c>
      <c r="U521" t="inlineStr">
        <is>
          <t xml:space="preserve">66:56:0203001:6271, </t>
        </is>
      </c>
      <c r="V521" s="7" t="inlineStr">
        <is>
          <t>1</t>
        </is>
      </c>
      <c r="W521" s="20" t="n">
        <v>26866.27840984939</v>
      </c>
      <c r="X521" s="22" t="n">
        <v>16639.00568257667</v>
      </c>
      <c r="Y521" t="n">
        <v>0</v>
      </c>
    </row>
    <row r="522">
      <c r="A522" s="8" t="n">
        <v>520</v>
      </c>
      <c r="B522" t="n">
        <v>66</v>
      </c>
      <c r="C522" s="1" t="n">
        <v>114.4</v>
      </c>
      <c r="D522" s="2">
        <f>HYPERLINK("https://torgi.gov.ru/new/public/lots/lot/21000020190000000012_1/(lotInfo:info)", "21000020190000000012_1")</f>
        <v/>
      </c>
      <c r="E522" t="inlineStr">
        <is>
          <t>расположено в многоквартирном доме, нежилое помещение по поэтажному плану цокольного этажа, отделка стен – штукатурка, покраска; пол – плитка, бетон; потолок побелка, материал стен – кирпич. Имеется электричество, отопление, водоснабжение, канализация. Физическое состояние объекта муниципального нежилого фонда удовлетворительное. В настоящее время Объект продажи не эксплуатируется</t>
        </is>
      </c>
      <c r="F522" s="3" t="inlineStr">
        <is>
          <t>20.09.22 13:00</t>
        </is>
      </c>
      <c r="G522" t="inlineStr">
        <is>
          <t>Свердловская обл, г Первоуральск, ул Ватутина, д 30</t>
        </is>
      </c>
      <c r="H522" s="4" t="n">
        <v>1512000</v>
      </c>
      <c r="I522" s="4" t="n">
        <v>13216.78321678322</v>
      </c>
      <c r="J522" t="inlineStr">
        <is>
          <t>Нежилое помещение</t>
        </is>
      </c>
      <c r="K522" s="5" t="n">
        <v>6.34</v>
      </c>
      <c r="L522" s="4" t="n">
        <v>440.53</v>
      </c>
      <c r="M522" t="n">
        <v>2084</v>
      </c>
      <c r="N522" s="6" t="n">
        <v>148282</v>
      </c>
      <c r="O522" t="n">
        <v>30</v>
      </c>
      <c r="P522" s="21" t="n">
        <v>0.2274215380427343</v>
      </c>
      <c r="Q522" t="inlineStr">
        <is>
          <t>PP</t>
        </is>
      </c>
      <c r="R522" t="inlineStr">
        <is>
          <t>М</t>
        </is>
      </c>
      <c r="S522" s="2">
        <f>HYPERLINK("https://yandex.ru/maps/?&amp;text=56.90082, 59.942917", "56.90082, 59.942917")</f>
        <v/>
      </c>
      <c r="T522" s="2">
        <f>HYPERLINK("D:\venv_torgi\env\cache\objs_in_district/56.90082_59.942917.json", "56.90082_59.942917.json")</f>
        <v/>
      </c>
      <c r="U522" t="inlineStr">
        <is>
          <t>66:58:0118006:3729</t>
        </is>
      </c>
      <c r="V522" s="7" t="inlineStr">
        <is>
          <t>0</t>
        </is>
      </c>
      <c r="W522" s="20" t="n">
        <v>16222.56438392146</v>
      </c>
      <c r="X522" s="22" t="n">
        <v>3005.781167138237</v>
      </c>
      <c r="Y522" t="n">
        <v>0</v>
      </c>
    </row>
    <row r="523">
      <c r="A523" s="8" t="n">
        <v>521</v>
      </c>
      <c r="B523" t="n">
        <v>66</v>
      </c>
      <c r="C523" s="1" t="n">
        <v>191.6</v>
      </c>
      <c r="D523" s="2">
        <f>HYPERLINK("https://torgi.gov.ru/new/public/lots/lot/21000000900000000007_2/(lotInfo:info)", "21000000900000000007_2")</f>
        <v/>
      </c>
      <c r="E523" t="inlineStr">
        <is>
          <t>Наименование имущества: Нежилые помещения,этаж расположения: 1,общей площадью 191,6 кв.м., кадастровый №66:57:0102031:4426, расположенные по адресу: Свердловская область, г. Новоуральск, ул. Победы,30А</t>
        </is>
      </c>
      <c r="F523" s="3" t="inlineStr">
        <is>
          <t>12.09.22 10:00</t>
        </is>
      </c>
      <c r="G523" t="inlineStr">
        <is>
          <t>Свердловская обл, г Новоуральск, ул Победы, д 30А</t>
        </is>
      </c>
      <c r="H523" s="4" t="n">
        <v>2939910</v>
      </c>
      <c r="I523" s="4" t="n">
        <v>15343.99791231733</v>
      </c>
      <c r="J523" t="inlineStr">
        <is>
          <t>Нежилое помещение</t>
        </is>
      </c>
      <c r="K523" s="5" t="n">
        <v>5.43</v>
      </c>
      <c r="L523" s="4" t="n">
        <v>494.94</v>
      </c>
      <c r="M523" t="n">
        <v>2823</v>
      </c>
      <c r="N523" s="6" t="n">
        <v>87992</v>
      </c>
      <c r="O523" t="n">
        <v>31</v>
      </c>
      <c r="P523" s="21" t="n">
        <v>0.106508220839873</v>
      </c>
      <c r="Q523" t="inlineStr">
        <is>
          <t>PP</t>
        </is>
      </c>
      <c r="R523" t="inlineStr">
        <is>
          <t>М</t>
        </is>
      </c>
      <c r="S523" s="2">
        <f>HYPERLINK("https://yandex.ru/maps/?&amp;text=57.245277, 60.076218", "57.245277, 60.076218")</f>
        <v/>
      </c>
      <c r="T523" s="2">
        <f>HYPERLINK("D:\venv_torgi\env\cache\objs_in_district/57.245277_60.076218.json", "57.245277_60.076218.json")</f>
        <v/>
      </c>
      <c r="U523" t="inlineStr">
        <is>
          <t xml:space="preserve">66:57:0102031:4426, </t>
        </is>
      </c>
      <c r="V523" s="7" t="inlineStr">
        <is>
          <t>1</t>
        </is>
      </c>
      <c r="W523" s="20" t="n">
        <v>16978.25983052898</v>
      </c>
      <c r="X523" s="22" t="n">
        <v>1634.261918211645</v>
      </c>
      <c r="Y523" t="n">
        <v>0</v>
      </c>
    </row>
    <row r="524">
      <c r="A524" s="8" t="n">
        <v>522</v>
      </c>
      <c r="B524" t="n">
        <v>66</v>
      </c>
      <c r="C524" s="1" t="n">
        <v>152.5</v>
      </c>
      <c r="D524" s="2">
        <f>HYPERLINK("https://torgi.gov.ru/new/public/lots/lot/21000033030000000002_2/(lotInfo:info)", "21000033030000000002_2")</f>
        <v/>
      </c>
      <c r="E524" t="inlineStr">
        <is>
          <t>Нежилое помещение с кадастровым номером 66:08:0804006:1478, общей площадью 152,5 кв.м. расположенное по адресу: Свердловская область, город Верхняя Салда, улица 25 Октября, дом 7</t>
        </is>
      </c>
      <c r="F524" s="3" t="inlineStr">
        <is>
          <t>31.08.22 17:00</t>
        </is>
      </c>
      <c r="G524" t="inlineStr">
        <is>
          <t>Свердловская обл, г Верхняя Салда, ул 25 Октября, д 7</t>
        </is>
      </c>
      <c r="H524" s="4" t="n">
        <v>2397605</v>
      </c>
      <c r="I524" s="4" t="n">
        <v>15722</v>
      </c>
      <c r="J524" t="inlineStr">
        <is>
          <t>Нежилое помещение</t>
        </is>
      </c>
      <c r="K524" s="5" t="n">
        <v>8.16</v>
      </c>
      <c r="L524" s="4" t="n">
        <v>982.62</v>
      </c>
      <c r="M524" t="n">
        <v>1926</v>
      </c>
      <c r="N524" s="6" t="n">
        <v>45737</v>
      </c>
      <c r="O524" t="n">
        <v>16</v>
      </c>
      <c r="P524" s="21" t="n">
        <v>0.03183846736556781</v>
      </c>
      <c r="Q524" t="inlineStr">
        <is>
          <t>EA</t>
        </is>
      </c>
      <c r="R524" t="inlineStr">
        <is>
          <t>М</t>
        </is>
      </c>
      <c r="S524" s="2">
        <f>HYPERLINK("https://yandex.ru/maps/?&amp;text=58.053188, 60.545516", "58.053188, 60.545516")</f>
        <v/>
      </c>
      <c r="T524" s="2">
        <f>HYPERLINK("D:\venv_torgi\env\cache\objs_in_district/58.053188_60.545516.json", "58.053188_60.545516.json")</f>
        <v/>
      </c>
      <c r="U524" t="inlineStr">
        <is>
          <t xml:space="preserve">66:08:0804006:1478, </t>
        </is>
      </c>
      <c r="W524" s="20" t="n">
        <v>16222.56438392146</v>
      </c>
      <c r="X524" s="22" t="n">
        <v>500.5643839214572</v>
      </c>
      <c r="Y524" t="n">
        <v>0</v>
      </c>
    </row>
    <row r="525">
      <c r="A525" s="8" t="n">
        <v>523</v>
      </c>
      <c r="B525" t="n">
        <v>66</v>
      </c>
      <c r="C525" s="1" t="n">
        <v>140.1</v>
      </c>
      <c r="D525" s="2">
        <f>HYPERLINK("https://torgi.gov.ru/new/public/lots/lot/21000033030000000002_1/(lotInfo:info)", "21000033030000000002_1")</f>
        <v/>
      </c>
      <c r="E525" t="inlineStr">
        <is>
          <t>Нежилое помещение с кадастровым номером 66:08:0804006:1432, общей площадью 140,1 кв.м., расположенное по адресу: Свердловская область, город Верхняя Салда, улица 25 Октября, дом 7.</t>
        </is>
      </c>
      <c r="F525" s="3" t="inlineStr">
        <is>
          <t>31.08.22 17:00</t>
        </is>
      </c>
      <c r="G525" t="inlineStr">
        <is>
          <t>Свердловская обл, г Верхняя Салда, ул 25 Октября, д 7</t>
        </is>
      </c>
      <c r="H525" s="4" t="n">
        <v>2232914</v>
      </c>
      <c r="I525" s="4" t="n">
        <v>15938.00142755175</v>
      </c>
      <c r="J525" t="inlineStr">
        <is>
          <t>Нежилое помещение</t>
        </is>
      </c>
      <c r="K525" s="5" t="n">
        <v>8.279999999999999</v>
      </c>
      <c r="L525" s="4" t="n">
        <v>996.12</v>
      </c>
      <c r="M525" t="n">
        <v>1926</v>
      </c>
      <c r="N525" s="6" t="n">
        <v>45737</v>
      </c>
      <c r="O525" t="n">
        <v>16</v>
      </c>
      <c r="P525" s="21" t="n">
        <v>0.01785436885943481</v>
      </c>
      <c r="Q525" t="inlineStr">
        <is>
          <t>EA</t>
        </is>
      </c>
      <c r="R525" t="inlineStr">
        <is>
          <t>М</t>
        </is>
      </c>
      <c r="S525" s="2">
        <f>HYPERLINK("https://yandex.ru/maps/?&amp;text=58.053188, 60.545516", "58.053188, 60.545516")</f>
        <v/>
      </c>
      <c r="T525" s="2">
        <f>HYPERLINK("D:\venv_torgi\env\cache\objs_in_district/58.053188_60.545516.json", "58.053188_60.545516.json")</f>
        <v/>
      </c>
      <c r="U525" t="inlineStr">
        <is>
          <t xml:space="preserve">66:08:0804006:1432, </t>
        </is>
      </c>
      <c r="W525" s="20" t="n">
        <v>16222.56438392146</v>
      </c>
      <c r="X525" s="22" t="n">
        <v>284.5629563697075</v>
      </c>
      <c r="Y525" t="n">
        <v>0</v>
      </c>
    </row>
    <row r="526">
      <c r="A526" s="8" t="n">
        <v>524</v>
      </c>
      <c r="B526" t="n">
        <v>66</v>
      </c>
      <c r="C526" s="1" t="n">
        <v>85.40000000000001</v>
      </c>
      <c r="D526" s="2">
        <f>HYPERLINK("https://torgi.gov.ru/new/public/lots/lot/21000000900000000007_4/(lotInfo:info)", "21000000900000000007_4")</f>
        <v/>
      </c>
      <c r="E526" t="inlineStr">
        <is>
          <t>Наименование имущества: Нежилые помещения, пом II,этаж расположения: 1,общей площадью 85,4 кв.м.,кадастровый №66:57:0102064:947, расположенные по адресу: Свердловская область, г. Новоуральск, ул. Фурманова, 39.</t>
        </is>
      </c>
      <c r="F526" s="3" t="inlineStr">
        <is>
          <t>12.09.22 10:00</t>
        </is>
      </c>
      <c r="G526" t="inlineStr">
        <is>
          <t>Свердловская обл, г Новоуральск, ул Фурманова, д 39</t>
        </is>
      </c>
      <c r="H526" s="4" t="n">
        <v>1434464.4</v>
      </c>
      <c r="I526" s="4" t="n">
        <v>16797.00702576112</v>
      </c>
      <c r="J526" t="inlineStr">
        <is>
          <t>Нежилое помещение</t>
        </is>
      </c>
      <c r="K526" s="5" t="n">
        <v>9.66</v>
      </c>
      <c r="L526" s="4" t="n">
        <v>1527</v>
      </c>
      <c r="M526" t="n">
        <v>1739</v>
      </c>
      <c r="N526" s="6" t="n">
        <v>87992</v>
      </c>
      <c r="O526" t="n">
        <v>11</v>
      </c>
      <c r="Q526" t="inlineStr">
        <is>
          <t>PP</t>
        </is>
      </c>
      <c r="R526" t="inlineStr">
        <is>
          <t>М</t>
        </is>
      </c>
      <c r="S526" s="2">
        <f>HYPERLINK("https://yandex.ru/maps/?&amp;text=57.230167, 60.086647", "57.230167, 60.086647")</f>
        <v/>
      </c>
      <c r="T526" s="2">
        <f>HYPERLINK("D:\venv_torgi\env\cache\objs_in_district/57.230167_60.086647.json", "57.230167_60.086647.json")</f>
        <v/>
      </c>
      <c r="U526" t="inlineStr">
        <is>
          <t xml:space="preserve">66:57:0102064:947, </t>
        </is>
      </c>
      <c r="V526" s="7" t="inlineStr">
        <is>
          <t>1</t>
        </is>
      </c>
      <c r="W526" s="20" t="n">
        <v>16222.56438392146</v>
      </c>
      <c r="X526" s="23" t="n">
        <v>-574.4426418396615</v>
      </c>
      <c r="Y526" t="n">
        <v>0</v>
      </c>
    </row>
    <row r="527">
      <c r="A527" s="8" t="n">
        <v>525</v>
      </c>
      <c r="B527" t="n">
        <v>66</v>
      </c>
      <c r="C527" s="1" t="n">
        <v>57.7</v>
      </c>
      <c r="D527" s="2">
        <f>HYPERLINK("https://torgi.gov.ru/new/public/lots/lot/21000017510000000010_1/(lotInfo:info)", "21000017510000000010_1")</f>
        <v/>
      </c>
      <c r="E527" t="inlineStr">
        <is>
          <t>Помещение, назначение: нежилое. Площадь: общая  57,7 кв.м., номера на поэтажном плане: 22.  Этаж: 1. Кадастровый номер 66:32:0402009:1093, расположенное по адресу: Российская Федерация, Свердловская область, Муниципальное образование город Алапаевск, городской округ, город Алапаевск, ул. Третьего Интернационала, дом 12.</t>
        </is>
      </c>
      <c r="F527" s="3" t="inlineStr">
        <is>
          <t>11.09.22 19:00</t>
        </is>
      </c>
      <c r="G527" t="inlineStr">
        <is>
          <t>Российская Федерация, Свердловская область, город Алапаевск, ул. Третьего Интернационала, д. 12</t>
        </is>
      </c>
      <c r="H527" s="4" t="n">
        <v>1255838</v>
      </c>
      <c r="I527" s="4" t="n">
        <v>21764.95667244367</v>
      </c>
      <c r="J527" t="inlineStr">
        <is>
          <t>Нежилое помещение</t>
        </is>
      </c>
      <c r="K527" s="5" t="n">
        <v>17.23</v>
      </c>
      <c r="L527" s="4" t="n">
        <v>1280.24</v>
      </c>
      <c r="M527" t="n">
        <v>1263</v>
      </c>
      <c r="N527" s="6" t="n">
        <v>47930</v>
      </c>
      <c r="O527" t="n">
        <v>17</v>
      </c>
      <c r="Q527" t="inlineStr">
        <is>
          <t>EA</t>
        </is>
      </c>
      <c r="R527" t="inlineStr">
        <is>
          <t>М</t>
        </is>
      </c>
      <c r="S527" s="2">
        <f>HYPERLINK("https://yandex.ru/maps/?&amp;text=57.849317, 61.685379", "57.849317, 61.685379")</f>
        <v/>
      </c>
      <c r="T527" s="2">
        <f>HYPERLINK("D:\venv_torgi\env\cache\objs_in_district/57.849317_61.685379.json", "57.849317_61.685379.json")</f>
        <v/>
      </c>
      <c r="U527" t="inlineStr">
        <is>
          <t xml:space="preserve">66:32:0402009:1093, </t>
        </is>
      </c>
      <c r="V527" s="7" t="inlineStr">
        <is>
          <t>1</t>
        </is>
      </c>
      <c r="W527" s="20" t="n">
        <v>16222.56438392146</v>
      </c>
      <c r="X527" s="23" t="n">
        <v>-5542.392288522213</v>
      </c>
      <c r="Y527" t="n">
        <v>0</v>
      </c>
    </row>
    <row r="528">
      <c r="A528" s="8" t="n">
        <v>526</v>
      </c>
      <c r="B528" t="n">
        <v>66</v>
      </c>
      <c r="C528" s="1" t="n">
        <v>67.90000000000001</v>
      </c>
      <c r="D528" s="2">
        <f>HYPERLINK("https://torgi.gov.ru/new/public/lots/lot/21000000900000000010_2/(lotInfo:info)", "21000000900000000010_2")</f>
        <v/>
      </c>
      <c r="E528" t="inlineStr">
        <is>
          <t>Наименование имущества: Нежилые помещения, этаж №1, общей площадью 67,9 кв.м.,   кадастровый №№66:57:0102036:64,  расположенные по адресу: Свердловская область, г. Новоуральск, ул. Крупской 13, кв.2.</t>
        </is>
      </c>
      <c r="F528" s="3" t="inlineStr">
        <is>
          <t>10.10.22 10:00</t>
        </is>
      </c>
      <c r="G528" t="inlineStr">
        <is>
          <t>Свердловская обл, г Новоуральск, ул Крупской, д 13</t>
        </is>
      </c>
      <c r="H528" s="4" t="n">
        <v>1540949.23</v>
      </c>
      <c r="I528" s="4" t="n">
        <v>22694.39219440353</v>
      </c>
      <c r="J528" t="inlineStr">
        <is>
          <t>Нежилое помещение</t>
        </is>
      </c>
      <c r="K528" s="5" t="n">
        <v>6.8</v>
      </c>
      <c r="L528" s="4" t="n">
        <v>840.52</v>
      </c>
      <c r="M528" t="n">
        <v>3336</v>
      </c>
      <c r="N528" s="6" t="n">
        <v>87992</v>
      </c>
      <c r="O528" t="n">
        <v>27</v>
      </c>
      <c r="P528" s="21" t="n">
        <v>0.1838289468036363</v>
      </c>
      <c r="Q528" t="inlineStr">
        <is>
          <t>PP</t>
        </is>
      </c>
      <c r="R528" t="inlineStr">
        <is>
          <t>М</t>
        </is>
      </c>
      <c r="S528" s="2">
        <f>HYPERLINK("https://yandex.ru/maps/?&amp;text=57.243187, 60.092297", "57.243187, 60.092297")</f>
        <v/>
      </c>
      <c r="T528" s="2">
        <f>HYPERLINK("D:\venv_torgi\env\cache\objs_in_district/57.243187_60.092297.json", "57.243187_60.092297.json")</f>
        <v/>
      </c>
      <c r="U528" t="inlineStr">
        <is>
          <t>66:57:0102036:64</t>
        </is>
      </c>
      <c r="V528" s="7" t="inlineStr">
        <is>
          <t>1</t>
        </is>
      </c>
      <c r="W528" s="20" t="n">
        <v>26866.27840984939</v>
      </c>
      <c r="X528" s="22" t="n">
        <v>4171.886215445866</v>
      </c>
      <c r="Y528" t="n">
        <v>0</v>
      </c>
    </row>
    <row r="529">
      <c r="A529" s="8" t="n">
        <v>527</v>
      </c>
      <c r="B529" t="n">
        <v>66</v>
      </c>
      <c r="C529" s="1" t="n">
        <v>49.5</v>
      </c>
      <c r="D529" s="2">
        <f>HYPERLINK("https://torgi.gov.ru/new/public/lots/lot/21000000900000000010_1/(lotInfo:info)", "21000000900000000010_1")</f>
        <v/>
      </c>
      <c r="E529" t="inlineStr">
        <is>
          <t>Наименование имущества: Нежилые помещения, этаж №1, общей площадью 49,5 кв.м.,   кадастровый №№66:57:0102036:63,  расположенные по адресу: Свердловская область, г. Новоуральск, ул. Крупской 13, кв.1.</t>
        </is>
      </c>
      <c r="F529" s="3" t="inlineStr">
        <is>
          <t>10.10.22 10:00</t>
        </is>
      </c>
      <c r="G529" t="inlineStr">
        <is>
          <t>Свердловская обл, г Новоуральск, ул Крупской, д 13</t>
        </is>
      </c>
      <c r="H529" s="4" t="n">
        <v>1159078.26</v>
      </c>
      <c r="I529" s="4" t="n">
        <v>23415.72242424242</v>
      </c>
      <c r="J529" t="inlineStr">
        <is>
          <t>Нежилое помещение</t>
        </is>
      </c>
      <c r="K529" s="5" t="n">
        <v>7.02</v>
      </c>
      <c r="L529" s="4" t="n">
        <v>867.22</v>
      </c>
      <c r="M529" t="n">
        <v>3336</v>
      </c>
      <c r="N529" s="6" t="n">
        <v>87992</v>
      </c>
      <c r="O529" t="n">
        <v>27</v>
      </c>
      <c r="P529" s="21" t="n">
        <v>0.1473606461116312</v>
      </c>
      <c r="Q529" t="inlineStr">
        <is>
          <t>PP</t>
        </is>
      </c>
      <c r="R529" t="inlineStr">
        <is>
          <t>М</t>
        </is>
      </c>
      <c r="S529" s="2">
        <f>HYPERLINK("https://yandex.ru/maps/?&amp;text=57.243187, 60.092297", "57.243187, 60.092297")</f>
        <v/>
      </c>
      <c r="T529" s="2">
        <f>HYPERLINK("D:\venv_torgi\env\cache\objs_in_district/57.243187_60.092297.json", "57.243187_60.092297.json")</f>
        <v/>
      </c>
      <c r="U529" t="inlineStr">
        <is>
          <t>66:57:0102036</t>
        </is>
      </c>
      <c r="V529" s="7" t="inlineStr">
        <is>
          <t>1</t>
        </is>
      </c>
      <c r="W529" s="20" t="n">
        <v>26866.27840984939</v>
      </c>
      <c r="X529" s="22" t="n">
        <v>3450.555985606974</v>
      </c>
      <c r="Y529" t="n">
        <v>0</v>
      </c>
    </row>
    <row r="530">
      <c r="A530" s="8" t="n">
        <v>528</v>
      </c>
      <c r="B530" t="n">
        <v>66</v>
      </c>
      <c r="C530" s="1" t="n">
        <v>50.3</v>
      </c>
      <c r="D530" s="2">
        <f>HYPERLINK("https://torgi.gov.ru/new/public/lots/lot/21000017510000000011_2/(lotInfo:info)", "21000017510000000011_2")</f>
        <v/>
      </c>
      <c r="E530" t="inlineStr">
        <is>
          <t>Нежилое помещение. Площадь: 50,3 кв.м. Этаж: 1. Кадастровый номер 66:32:0402013:1302, расположенное по адресу: Свердловская область, город Алапаевск ул. Ленина, д. 16.</t>
        </is>
      </c>
      <c r="F530" s="3" t="inlineStr">
        <is>
          <t>18.09.22 19:00</t>
        </is>
      </c>
      <c r="G530" t="inlineStr">
        <is>
          <t>Свердловская обл, г Алапаевск, ул Ленина, д 16</t>
        </is>
      </c>
      <c r="H530" s="4" t="n">
        <v>1640415</v>
      </c>
      <c r="I530" s="4" t="n">
        <v>32612.62425447316</v>
      </c>
      <c r="J530" t="inlineStr">
        <is>
          <t>Нежилое помещение</t>
        </is>
      </c>
      <c r="K530" s="5" t="n">
        <v>13.11</v>
      </c>
      <c r="L530" s="4" t="n">
        <v>562.28</v>
      </c>
      <c r="M530" t="n">
        <v>2487</v>
      </c>
      <c r="N530" s="6" t="n">
        <v>47930</v>
      </c>
      <c r="O530" t="n">
        <v>58</v>
      </c>
      <c r="Q530" t="inlineStr">
        <is>
          <t>PP</t>
        </is>
      </c>
      <c r="R530" t="inlineStr">
        <is>
          <t>М</t>
        </is>
      </c>
      <c r="S530" s="2">
        <f>HYPERLINK("https://yandex.ru/maps/?&amp;text=57.852776, 61.703506", "57.852776, 61.703506")</f>
        <v/>
      </c>
      <c r="T530" s="2">
        <f>HYPERLINK("D:\venv_torgi\env\cache\objs_in_district/57.852776_61.703506.json", "57.852776_61.703506.json")</f>
        <v/>
      </c>
      <c r="U530" t="inlineStr">
        <is>
          <t xml:space="preserve">66:32:0402013:1302, </t>
        </is>
      </c>
      <c r="V530" s="7" t="inlineStr">
        <is>
          <t>1</t>
        </is>
      </c>
      <c r="W530" s="20" t="n">
        <v>26866.27840984939</v>
      </c>
      <c r="X530" s="23" t="n">
        <v>-5746.345844623767</v>
      </c>
      <c r="Y530" t="n">
        <v>0</v>
      </c>
    </row>
    <row r="531">
      <c r="A531" s="8" t="n">
        <v>529</v>
      </c>
      <c r="B531" t="n">
        <v>66</v>
      </c>
      <c r="C531" s="1" t="n">
        <v>94.7</v>
      </c>
      <c r="D531" s="2">
        <f>HYPERLINK("https://torgi.gov.ru/new/public/lots/lot/21000024130000000026_1/(lotInfo:info)", "21000024130000000026_1")</f>
        <v/>
      </c>
      <c r="E531" t="inlineStr">
        <is>
          <t>«Помещение Назначение: Нежилое Площадь: 94.7 Номер, тип этажа, на котором расположено помещение, машино-место: Этаж № 1 Местоположение: Свердловская область, г.Екатеринбург, ул. Малышева, д. 23 / ул. Хохрякова, д. 23» с кадастровым номером 66:41:0704045:10023, являющегося частью объекта культурного наследия регионального (областного) значения «Жилой дом» (1958 г.)</t>
        </is>
      </c>
      <c r="F531" s="3" t="inlineStr">
        <is>
          <t>12.09.22 10:00</t>
        </is>
      </c>
      <c r="G531" t="inlineStr">
        <is>
          <t>Свердловская область, г. Екатеринбург, ул. Малышева, д. 23 /  ул. Хохрякова, д. 23</t>
        </is>
      </c>
      <c r="H531" s="4" t="n">
        <v>7222000</v>
      </c>
      <c r="I531" s="4" t="n">
        <v>76261.87961985216</v>
      </c>
      <c r="J531" t="inlineStr">
        <is>
          <t>Нежилое помещение</t>
        </is>
      </c>
      <c r="K531" s="5" t="n">
        <v>7.65</v>
      </c>
      <c r="L531" s="4" t="n">
        <v>381.31</v>
      </c>
      <c r="M531" t="n">
        <v>9973</v>
      </c>
      <c r="N531" s="6" t="n">
        <v>1579461</v>
      </c>
      <c r="O531" t="n">
        <v>200</v>
      </c>
      <c r="Q531" t="inlineStr">
        <is>
          <t>EK</t>
        </is>
      </c>
      <c r="R531" t="inlineStr">
        <is>
          <t>М</t>
        </is>
      </c>
      <c r="S531" s="2">
        <f>HYPERLINK("https://yandex.ru/maps/?&amp;text=56.833486, 60.592839", "56.833486, 60.592839")</f>
        <v/>
      </c>
      <c r="T531" s="2">
        <f>HYPERLINK("D:\venv_torgi\env\cache\objs_in_district/56.833486_60.592839.json", "56.833486_60.592839.json")</f>
        <v/>
      </c>
      <c r="U531" t="inlineStr">
        <is>
          <t xml:space="preserve">66:41:0704045:10023, </t>
        </is>
      </c>
      <c r="V531" s="7" t="inlineStr">
        <is>
          <t>1</t>
        </is>
      </c>
      <c r="W531" s="17" t="n">
        <v>76261.87961985216</v>
      </c>
      <c r="X531" s="17" t="n">
        <v>0</v>
      </c>
      <c r="Y531" t="n">
        <v>0</v>
      </c>
      <c r="Z531" t="n">
        <v>1</v>
      </c>
    </row>
    <row r="532">
      <c r="A532" s="8" t="n">
        <v>530</v>
      </c>
      <c r="B532" t="n">
        <v>68</v>
      </c>
      <c r="C532" s="1" t="n">
        <v>192.3</v>
      </c>
      <c r="D532" s="2">
        <f>HYPERLINK("https://torgi.gov.ru/new/public/lots/lot/21000015740000000008_1/(lotInfo:info)", "21000015740000000008_1")</f>
        <v/>
      </c>
      <c r="E532" t="inlineStr">
        <is>
          <t>помещение, назначение: нежилое, площадь: 40,8 кв.м, этаж № 1, КН: 68:29:0101040:186, расположенное по адресу: РФ, Тамбовская область, г. Тамбов, ул. Комсомольская, дом 41, помещение 2; помещение, назначение: нежилое, площадь: 17,8 кв.м, этаж № 1, КН: 68:29:0101040:188, расположенное по адресу: РФ, Тамбовская область, г. Тамбов, ул. Комсомольская, дом 41, помещение 3; помещение, назначение: нежилое, площадь: 77,5 кв.м, этаж № 1, КН: 68:29:0101040:189, расположенное по адресу: Тамбовская область, г. Тамбов, ул. Комсомольская, дом 41, помещение 4; помещение, назначение: нежилое, площадь: 39,6 кв.м, этаж № 1, КН: 68:29:0101040:185, расположенное по адресу: РФ, Тамбовская область, г. Тамбов, ул. Комсомольская, дом 41, помещение 5; помещение, назначение: нежилое, площадь: 16,6 кв.м, этаж № 1, КН: 68:29:0101040:190, расположенное по адресу: РФ, Тамбовская область, г. Тамбов, ул. Комсомольская, дом 41, помещение 6. Продается единым лотом (см. Документы, файл Извещение)</t>
        </is>
      </c>
      <c r="F532" s="3" t="inlineStr">
        <is>
          <t>05.09.22 14:30</t>
        </is>
      </c>
      <c r="G532" t="inlineStr">
        <is>
          <t>г Тамбов, ул Комсомольская, д 41</t>
        </is>
      </c>
      <c r="H532" s="4" t="n">
        <v>555338.4</v>
      </c>
      <c r="I532" s="4" t="n">
        <v>2887.8751950078</v>
      </c>
      <c r="J532" t="inlineStr">
        <is>
          <t>Нежилое помещение</t>
        </is>
      </c>
      <c r="K532" s="5" t="n">
        <v>0.57</v>
      </c>
      <c r="L532" s="4" t="n">
        <v>43.09</v>
      </c>
      <c r="M532" t="n">
        <v>5063</v>
      </c>
      <c r="N532" s="6" t="n">
        <v>291663</v>
      </c>
      <c r="O532" t="n">
        <v>67</v>
      </c>
      <c r="P532" s="21" t="n">
        <v>4.879152901025252</v>
      </c>
      <c r="Q532" t="inlineStr">
        <is>
          <t>EA</t>
        </is>
      </c>
      <c r="R532" t="inlineStr">
        <is>
          <t>М</t>
        </is>
      </c>
      <c r="S532" s="2">
        <f>HYPERLINK("https://yandex.ru/maps/?&amp;text=52.717537, 41.4549", "52.717537, 41.4549")</f>
        <v/>
      </c>
      <c r="T532" s="2">
        <f>HYPERLINK("D:\venv_torgi\env\cache\objs_in_district/52.717537_41.4549.json", "52.717537_41.4549.json")</f>
        <v/>
      </c>
      <c r="V532" s="7" t="inlineStr">
        <is>
          <t>1</t>
        </is>
      </c>
      <c r="W532" s="20" t="n">
        <v>16978.25983052898</v>
      </c>
      <c r="X532" s="22" t="n">
        <v>14090.38463552118</v>
      </c>
      <c r="Y532" t="n">
        <v>0</v>
      </c>
    </row>
    <row r="533">
      <c r="A533" s="8" t="n">
        <v>531</v>
      </c>
      <c r="B533" t="n">
        <v>68</v>
      </c>
      <c r="C533" s="1" t="n">
        <v>144.4</v>
      </c>
      <c r="D533" s="2">
        <f>HYPERLINK("https://torgi.gov.ru/new/public/lots/lot/21000015740000000019_1/(lotInfo:info)", "21000015740000000019_1")</f>
        <v/>
      </c>
      <c r="E533" t="inlineStr">
        <is>
          <t>нежилые помещения, расположенные по адресу: Российская Федерация, Тамбовская область, город Тамбов,  улица Интернациональная, дом 43/1, помещение 1, назначение: нежилое площадь: 37,2 кв.м, номер, тип этажа,  на котором расположено помещение: этаж № 2, кадастровый номер: 68:29:0101028:73;  помещение 2а, назначение: нежилое, площадь: 19,7 кв.м, номер, тип этажа, на котором расположено помещение: этаж № 2, кадастровый номер: 68:29:0101028:65; помещение 5, назначение: нежилое, площадь: 74,6 кв.м, номер, тип этажа, на котором расположено помещение: этаж № 2, кадастровый номер: 68:29:0101028:68;- помещение 25, назначение: нежилое, площадь: 12,9 кв.м, номер, тип этажа, на котором расположено помещение: этаж № 1, кадастровый номер: 68:29:0101028:74. Продается единым лотом.</t>
        </is>
      </c>
      <c r="F533" s="3" t="inlineStr">
        <is>
          <t>20.09.22 14:30</t>
        </is>
      </c>
      <c r="G533" t="inlineStr">
        <is>
          <t>г Тамбов, ул Интернациональная, д 43/1</t>
        </is>
      </c>
      <c r="H533" s="4" t="n">
        <v>1216275.6</v>
      </c>
      <c r="I533" s="4" t="n">
        <v>8422.961218836565</v>
      </c>
      <c r="J533" t="inlineStr">
        <is>
          <t>Нежилое помещение</t>
        </is>
      </c>
      <c r="K533" s="5" t="n">
        <v>1.42</v>
      </c>
      <c r="L533" s="4" t="n">
        <v>42.11</v>
      </c>
      <c r="M533" t="n">
        <v>5947</v>
      </c>
      <c r="N533" s="6" t="n">
        <v>291663</v>
      </c>
      <c r="O533" t="n">
        <v>200</v>
      </c>
      <c r="P533" s="21" t="n">
        <v>2.18964764431865</v>
      </c>
      <c r="Q533" t="inlineStr">
        <is>
          <t>EK</t>
        </is>
      </c>
      <c r="R533" t="inlineStr">
        <is>
          <t>М</t>
        </is>
      </c>
      <c r="S533" s="2">
        <f>HYPERLINK("https://yandex.ru/maps/?&amp;text=52.720657, 41.443104", "52.720657, 41.443104")</f>
        <v/>
      </c>
      <c r="T533" s="2">
        <f>HYPERLINK("D:\venv_torgi\env\cache\objs_in_district/52.720657_41.443104.json", "52.720657_41.443104.json")</f>
        <v/>
      </c>
      <c r="U533" t="inlineStr">
        <is>
          <t xml:space="preserve">68:29:0101028:73;  </t>
        </is>
      </c>
      <c r="V533" s="7" t="inlineStr">
        <is>
          <t>2</t>
        </is>
      </c>
      <c r="W533" s="20" t="n">
        <v>26866.27840984939</v>
      </c>
      <c r="X533" s="22" t="n">
        <v>18443.31719101283</v>
      </c>
      <c r="Y533" t="n">
        <v>0</v>
      </c>
    </row>
    <row r="534">
      <c r="A534" s="8" t="n">
        <v>532</v>
      </c>
      <c r="B534" t="n">
        <v>68</v>
      </c>
      <c r="C534" s="1" t="n">
        <v>114.1</v>
      </c>
      <c r="D534" s="2">
        <f>HYPERLINK("https://torgi.gov.ru/new/public/lots/lot/21000015740000000006_1/(lotInfo:info)", "21000015740000000006_1")</f>
        <v/>
      </c>
      <c r="E534" t="inlineStr">
        <is>
          <t>склад, назначение: нежилое, площадь: 114,1 кв.м, номер, тип этажа, на котором расположено помещение: этаж № 1, кадастровый номер: 68:29:0101029:139, расположенный по адресу: Тамбовская область, город Тамбов, улица Коммунальная, дом 26, помещение 37</t>
        </is>
      </c>
      <c r="F534" s="3" t="inlineStr">
        <is>
          <t>05.09.22 14:30</t>
        </is>
      </c>
      <c r="G534" t="inlineStr">
        <is>
          <t>г Тамбов, ул Коммунальная, д 26</t>
        </is>
      </c>
      <c r="H534" s="4" t="n">
        <v>1346628</v>
      </c>
      <c r="I534" s="4" t="n">
        <v>11802.17353198948</v>
      </c>
      <c r="J534" t="inlineStr">
        <is>
          <t>Нежилое помещение</t>
        </is>
      </c>
      <c r="K534" s="5" t="n">
        <v>1.92</v>
      </c>
      <c r="L534" s="4" t="n">
        <v>41.7</v>
      </c>
      <c r="M534" t="n">
        <v>6162</v>
      </c>
      <c r="N534" s="6" t="n">
        <v>291663</v>
      </c>
      <c r="O534" t="n">
        <v>283</v>
      </c>
      <c r="P534" s="21" t="n">
        <v>1.276383950551909</v>
      </c>
      <c r="Q534" t="inlineStr">
        <is>
          <t>EA</t>
        </is>
      </c>
      <c r="R534" t="inlineStr">
        <is>
          <t>М</t>
        </is>
      </c>
      <c r="S534" s="2">
        <f>HYPERLINK("https://yandex.ru/maps/?&amp;text=52.722347, 41.446175", "52.722347, 41.446175")</f>
        <v/>
      </c>
      <c r="T534" s="2">
        <f>HYPERLINK("D:\venv_torgi\env\cache\objs_in_district/52.722347_41.446175.json", "52.722347_41.446175.json")</f>
        <v/>
      </c>
      <c r="U534" t="inlineStr">
        <is>
          <t xml:space="preserve">68:29:0101029:139, </t>
        </is>
      </c>
      <c r="V534" s="7" t="inlineStr">
        <is>
          <t>1</t>
        </is>
      </c>
      <c r="W534" s="20" t="n">
        <v>26866.27840984939</v>
      </c>
      <c r="X534" s="22" t="n">
        <v>15064.10487785991</v>
      </c>
      <c r="Y534" t="n">
        <v>0</v>
      </c>
    </row>
    <row r="535">
      <c r="A535" s="8" t="n">
        <v>533</v>
      </c>
      <c r="B535" t="n">
        <v>68</v>
      </c>
      <c r="C535" s="1" t="n">
        <v>10.5</v>
      </c>
      <c r="D535" s="2">
        <f>HYPERLINK("https://torgi.gov.ru/new/public/lots/lot/21000015740000000005_1/(lotInfo:info)", "21000015740000000005_1")</f>
        <v/>
      </c>
      <c r="E535" t="inlineStr">
        <is>
          <t>помещение, назначение: нежилое, площадь: 10,5 кв.м, номер, тип этажа, на котором расположено помещение: этаж № 1, кадастровый номер: 68:29:0304017:359, расположенное по адресу: Российская Федерация, Тамбовская область, городской округ - город Тамбов, город Тамбов, улица Авиационная, дом 74, помещение 1</t>
        </is>
      </c>
      <c r="F535" s="3" t="inlineStr">
        <is>
          <t>05.09.22 14:30</t>
        </is>
      </c>
      <c r="G535" t="inlineStr">
        <is>
          <t>г Тамбов, ул Авиационная, д 74</t>
        </is>
      </c>
      <c r="H535" s="4" t="n">
        <v>132913.2</v>
      </c>
      <c r="I535" s="4" t="n">
        <v>12658.4</v>
      </c>
      <c r="J535" t="inlineStr">
        <is>
          <t>Нежилое помещение</t>
        </is>
      </c>
      <c r="K535" s="5" t="n">
        <v>3.08</v>
      </c>
      <c r="M535" t="n">
        <v>4115</v>
      </c>
      <c r="N535" s="6" t="n">
        <v>291663</v>
      </c>
      <c r="P535" s="21" t="n">
        <v>2.051490871886035</v>
      </c>
      <c r="Q535" t="inlineStr">
        <is>
          <t>EA</t>
        </is>
      </c>
      <c r="R535" t="inlineStr">
        <is>
          <t>М</t>
        </is>
      </c>
      <c r="S535" s="2">
        <f>HYPERLINK("https://yandex.ru/maps/?&amp;text=52.726517, 41.402733", "52.726517, 41.402733")</f>
        <v/>
      </c>
      <c r="U535" t="inlineStr">
        <is>
          <t xml:space="preserve">68:29:0304017:359, </t>
        </is>
      </c>
      <c r="V535" s="7" t="inlineStr">
        <is>
          <t>1</t>
        </is>
      </c>
      <c r="W535" s="20" t="n">
        <v>38626.9920526822</v>
      </c>
      <c r="X535" s="22" t="n">
        <v>25968.59205268219</v>
      </c>
      <c r="Y535" t="n">
        <v>0</v>
      </c>
    </row>
    <row r="536">
      <c r="A536" s="8" t="n">
        <v>534</v>
      </c>
      <c r="B536" t="n">
        <v>68</v>
      </c>
      <c r="C536" s="1" t="n">
        <v>260.8</v>
      </c>
      <c r="D536" s="2">
        <f>HYPERLINK("https://torgi.gov.ru/new/public/lots/lot/21000015740000000018_1/(lotInfo:info)", "21000015740000000018_1")</f>
        <v/>
      </c>
      <c r="E536" t="inlineStr">
        <is>
          <t>административное помещение, назначение: нежилое, площадь: 260,8 кв.м, номер, тип этажа, на котором расположено помещение: этаж №1, Подвал № Подвал, кадастровый номер 68:29:0313007:226, расположенное по адресу: Тамбовская область, г. Тамбов, ул. Кавалерийская, д. 17, №4</t>
        </is>
      </c>
      <c r="F536" s="3" t="inlineStr">
        <is>
          <t>20.09.22 14:30</t>
        </is>
      </c>
      <c r="G536" t="inlineStr">
        <is>
          <t>г Тамбов, ул Кавалерийская, д 17</t>
        </is>
      </c>
      <c r="H536" s="4" t="n">
        <v>3517000</v>
      </c>
      <c r="I536" s="4" t="n">
        <v>13485.42944785276</v>
      </c>
      <c r="J536" t="inlineStr">
        <is>
          <t>Подвал</t>
        </is>
      </c>
      <c r="K536" s="5" t="n">
        <v>4.18</v>
      </c>
      <c r="L536" s="4" t="n">
        <v>13485</v>
      </c>
      <c r="M536" t="n">
        <v>3223</v>
      </c>
      <c r="N536" s="6" t="n">
        <v>291663</v>
      </c>
      <c r="O536" t="n">
        <v>1</v>
      </c>
      <c r="Q536" t="inlineStr">
        <is>
          <t>EA</t>
        </is>
      </c>
      <c r="R536" t="inlineStr">
        <is>
          <t>М</t>
        </is>
      </c>
      <c r="S536" s="2">
        <f>HYPERLINK("https://yandex.ru/maps/?&amp;text=52.72754, 41.419197", "52.72754, 41.419197")</f>
        <v/>
      </c>
      <c r="T536" s="2">
        <f>HYPERLINK("D:\venv_torgi\env\cache\objs_in_district/52.72754_41.419197.json", "52.72754_41.419197.json")</f>
        <v/>
      </c>
      <c r="U536" t="inlineStr">
        <is>
          <t xml:space="preserve">68:29:0313007:226, </t>
        </is>
      </c>
      <c r="V536" s="7" t="inlineStr">
        <is>
          <t>1</t>
        </is>
      </c>
      <c r="W536" s="20" t="n">
        <v>10184.55663459608</v>
      </c>
      <c r="X536" s="23" t="n">
        <v>-3300.872813256685</v>
      </c>
      <c r="Y536" t="n">
        <v>0</v>
      </c>
    </row>
    <row r="537">
      <c r="A537" s="8" t="n">
        <v>535</v>
      </c>
      <c r="B537" t="n">
        <v>68</v>
      </c>
      <c r="C537" s="1" t="n">
        <v>48.7</v>
      </c>
      <c r="D537" s="2">
        <f>HYPERLINK("https://torgi.gov.ru/new/public/lots/lot/21000001140000000054_5/(lotInfo:info)", "21000001140000000054_5")</f>
        <v/>
      </c>
      <c r="E537" t="inlineStr">
        <is>
          <t>Помещение, кадастровый (или условный) номер объекта: 68:27:0000053:241, назначение объекта: нежилое, площадь объекта: 48,70 кв.м., вид права: хозяйственное ведение.Собственник (правообладатель) имущества: МУП ТС г. Моршанска.</t>
        </is>
      </c>
      <c r="F537" s="3" t="inlineStr">
        <is>
          <t>26.09.22 13:00</t>
        </is>
      </c>
      <c r="G537" t="inlineStr">
        <is>
          <t>Тамбовская обл, г Моршанск, ул Красная, д 98, помещ 2</t>
        </is>
      </c>
      <c r="H537" s="4" t="n">
        <v>672741.85</v>
      </c>
      <c r="I537" s="4" t="n">
        <v>13814.00102669404</v>
      </c>
      <c r="J537" t="inlineStr">
        <is>
          <t>Нежилое помещение</t>
        </is>
      </c>
      <c r="K537" s="5" t="n">
        <v>6.47</v>
      </c>
      <c r="L537" s="4" t="n">
        <v>2302.33</v>
      </c>
      <c r="M537" t="n">
        <v>2134</v>
      </c>
      <c r="N537" s="6" t="n">
        <v>38230</v>
      </c>
      <c r="O537" t="n">
        <v>6</v>
      </c>
      <c r="P537" s="21" t="n">
        <v>0.8821416852631841</v>
      </c>
      <c r="Q537" t="inlineStr">
        <is>
          <t>EA</t>
        </is>
      </c>
      <c r="R537" t="inlineStr">
        <is>
          <t>Д</t>
        </is>
      </c>
      <c r="S537" s="2">
        <f>HYPERLINK("https://yandex.ru/maps/?&amp;text=53.449098, 41.814358", "53.449098, 41.814358")</f>
        <v/>
      </c>
      <c r="T537" s="2">
        <f>HYPERLINK("D:\venv_torgi\env\cache\objs_in_district/53.449098_41.814358.json", "53.449098_41.814358.json")</f>
        <v/>
      </c>
      <c r="U537" t="inlineStr">
        <is>
          <t xml:space="preserve">68:27:0000053:241, </t>
        </is>
      </c>
      <c r="V537" s="7" t="inlineStr">
        <is>
          <t>1</t>
        </is>
      </c>
      <c r="W537" s="20" t="n">
        <v>25999.90717260928</v>
      </c>
      <c r="X537" s="22" t="n">
        <v>12185.90614591524</v>
      </c>
      <c r="Y537" t="n">
        <v>0</v>
      </c>
    </row>
    <row r="538">
      <c r="A538" s="8" t="n">
        <v>536</v>
      </c>
      <c r="B538" t="n">
        <v>68</v>
      </c>
      <c r="C538" s="1" t="n">
        <v>176.9</v>
      </c>
      <c r="D538" s="2">
        <f>HYPERLINK("https://torgi.gov.ru/new/public/lots/lot/21000015740000000014_1/(lotInfo:info)", "21000015740000000014_1")</f>
        <v/>
      </c>
      <c r="E538" t="inlineStr">
        <is>
          <t>нежилое помещение, назначение: нежилое,  площадь: 176,9 кв.м, номер, тип этажа, на котором расположено помещение: этаж № 1, кадастровый номер: 68:29:0101047:230, расположенное по адресу: Тамбовская область,  г. Тамбов, ул. Ленинградская, д.42, пом.31</t>
        </is>
      </c>
      <c r="F538" s="3" t="inlineStr">
        <is>
          <t>14.09.22 14:30</t>
        </is>
      </c>
      <c r="G538" t="inlineStr">
        <is>
          <t>г Тамбов, ул Ленинградская, д 42</t>
        </is>
      </c>
      <c r="H538" s="4" t="n">
        <v>2846000</v>
      </c>
      <c r="I538" s="4" t="n">
        <v>16088.18541548898</v>
      </c>
      <c r="J538" t="inlineStr">
        <is>
          <t>Нежилое помещение</t>
        </is>
      </c>
      <c r="K538" s="5" t="n">
        <v>3.18</v>
      </c>
      <c r="L538" s="4" t="n">
        <v>1462.55</v>
      </c>
      <c r="M538" t="n">
        <v>5063</v>
      </c>
      <c r="N538" s="6" t="n">
        <v>291663</v>
      </c>
      <c r="O538" t="n">
        <v>11</v>
      </c>
      <c r="Q538" t="inlineStr">
        <is>
          <t>EK</t>
        </is>
      </c>
      <c r="R538" t="inlineStr">
        <is>
          <t>М</t>
        </is>
      </c>
      <c r="S538" s="2">
        <f>HYPERLINK("https://yandex.ru/maps/?&amp;text=52.715071, 41.452651", "52.715071, 41.452651")</f>
        <v/>
      </c>
      <c r="T538" s="2">
        <f>HYPERLINK("D:\venv_torgi\env\cache\objs_in_district/52.715071_41.452651.json", "52.715071_41.452651.json")</f>
        <v/>
      </c>
      <c r="U538" t="inlineStr">
        <is>
          <t xml:space="preserve">68:29:0101047:230, </t>
        </is>
      </c>
      <c r="V538" s="7" t="inlineStr">
        <is>
          <t>1</t>
        </is>
      </c>
      <c r="W538" s="20" t="n">
        <v>10184.55663459608</v>
      </c>
      <c r="X538" s="23" t="n">
        <v>-5903.628780892905</v>
      </c>
      <c r="Y538" t="n">
        <v>0</v>
      </c>
    </row>
    <row r="539">
      <c r="A539" s="8" t="n">
        <v>537</v>
      </c>
      <c r="B539" t="n">
        <v>68</v>
      </c>
      <c r="C539" s="1" t="n">
        <v>25.7</v>
      </c>
      <c r="D539" s="2">
        <f>HYPERLINK("https://torgi.gov.ru/new/public/lots/lot/21000001140000000051_1/(lotInfo:info)", "21000001140000000051_1")</f>
        <v/>
      </c>
      <c r="E539" t="inlineStr">
        <is>
          <t>Гараж, назначение объекта: нежилое помещение, кадастровый (или условный) номер объекта: 68:29:0209047:5737, общая площадь: 25,7 кв.м., вид права: собственность, расположенный на земельном участке, кадастровый (или условный) номер: 68:29:0209047:60, площадь объекта: 28,8 кв.м., вид права: собственность.Собственник (правообладатель) имущества: Синюков С.М.Начальная цена: 474 630 (четыреста семьдесят четыре тысячи шестьсот тридцать) рублей.Задаток: 237 315 (двести тридцать семь тысяч триста пятнадцать) рублей.Величина повышения начальной продажной цены имущества (шаг аукциона): 9 492 (девять тысяч четыреста девяносто два) рубля 60 копеек.Адрес (местоположение) объекта: Тамбовская область, г. Тамбов, гск Прожектор, гараж 103.Зарегистрированные ограничения (обременение) права: Арест. Запрет регистрации. У продавца отсутствует информация о наличии иных ограничений.</t>
        </is>
      </c>
      <c r="F539" s="3" t="inlineStr">
        <is>
          <t>19.09.22 13:00</t>
        </is>
      </c>
      <c r="G539" t="inlineStr">
        <is>
          <t>Тамбовская область, г. Тамбов, гск Прожектор, гараж 103</t>
        </is>
      </c>
      <c r="H539" s="4" t="n">
        <v>474630</v>
      </c>
      <c r="I539" s="4" t="n">
        <v>18468.09338521401</v>
      </c>
      <c r="J539" t="inlineStr">
        <is>
          <t>Гараж</t>
        </is>
      </c>
      <c r="Q539" t="inlineStr">
        <is>
          <t>EA</t>
        </is>
      </c>
      <c r="R539" t="inlineStr">
        <is>
          <t>Д</t>
        </is>
      </c>
      <c r="U539" t="inlineStr">
        <is>
          <t xml:space="preserve">68:29:0209047:5737, </t>
        </is>
      </c>
      <c r="Y539" t="n">
        <v>0</v>
      </c>
    </row>
    <row r="540">
      <c r="A540" s="8" t="n">
        <v>538</v>
      </c>
      <c r="B540" t="n">
        <v>68</v>
      </c>
      <c r="C540" s="1" t="n">
        <v>245.2</v>
      </c>
      <c r="D540" s="2">
        <f>HYPERLINK("https://torgi.gov.ru/new/public/lots/lot/21000015740000000015_1/(lotInfo:info)", "21000015740000000015_1")</f>
        <v/>
      </c>
      <c r="E540" t="inlineStr">
        <is>
          <t>помещение 1, площадь: 33,1 кв.м, этаж № 2, кадастровый номер: 68:29:0101040:654; помещение 2, площадь: 143,3 кв.м, этаж № 2, кадастровый номер: 68:29:0101040:996; помещение 3, площадь: 22,6 кв.м, этаж № 1, кадастровый номер: 68:29:0101040:1000; помещение 4, площадь: 15,6 кв.м, этаж № 2, кадастровый номер: 68:29:0101040:995; помещение 5, площадь: 30,6 кв.м, этаж № 2, кадастровый номер: 68:29:0101040:657, расположенные по адресу: Российская Федерация, Тамбовская область, городской округ - город Тамбов, город Тамбов, улица Советская, дом 98/27 (см. Документы, файл Извещение). Продается единым лотом. Обременение: объект культурного наследия регионального значения «Дом купца И.И. Волокитина», расположенный по адресу: Тамбовская область, г.Тамбов, ул.Советская/ул.Комсомольская, дом 98/27 (см. Охранное обязательство - Приложение № 3 к Условиям конкурса)</t>
        </is>
      </c>
      <c r="F540" s="3" t="inlineStr">
        <is>
          <t>14.09.22 14:30</t>
        </is>
      </c>
      <c r="G540" t="inlineStr">
        <is>
          <t>г Тамбов, ул Советская, д 98/27</t>
        </is>
      </c>
      <c r="H540" s="4" t="n">
        <v>4638000</v>
      </c>
      <c r="I540" s="4" t="n">
        <v>18915.17128874388</v>
      </c>
      <c r="J540" t="inlineStr">
        <is>
          <t>Нежилое помещение</t>
        </is>
      </c>
      <c r="K540" s="5" t="n">
        <v>3.28</v>
      </c>
      <c r="L540" s="4" t="n">
        <v>259.11</v>
      </c>
      <c r="M540" t="n">
        <v>5775</v>
      </c>
      <c r="N540" s="6" t="n">
        <v>291663</v>
      </c>
      <c r="O540" t="n">
        <v>73</v>
      </c>
      <c r="Q540" t="inlineStr">
        <is>
          <t>EK</t>
        </is>
      </c>
      <c r="R540" t="inlineStr">
        <is>
          <t>М</t>
        </is>
      </c>
      <c r="S540" s="2">
        <f>HYPERLINK("https://yandex.ru/maps/?&amp;text=52.7183838, 41.4580091", "52.7183838, 41.4580091")</f>
        <v/>
      </c>
      <c r="T540" s="2">
        <f>HYPERLINK("D:\venv_torgi\env\cache\objs_in_district/52.7183838_41.4580091.json", "52.7183838_41.4580091.json")</f>
        <v/>
      </c>
      <c r="U540" t="inlineStr">
        <is>
          <t xml:space="preserve">68:29:0101040:654; </t>
        </is>
      </c>
      <c r="V540" s="7" t="inlineStr">
        <is>
          <t>2</t>
        </is>
      </c>
      <c r="W540" s="20" t="n">
        <v>16978.25983052898</v>
      </c>
      <c r="X540" s="23" t="n">
        <v>-1936.911458214905</v>
      </c>
      <c r="Y540" t="n">
        <v>0</v>
      </c>
      <c r="Z540" t="n">
        <v>1</v>
      </c>
    </row>
    <row r="541">
      <c r="A541" s="8" t="n">
        <v>539</v>
      </c>
      <c r="B541" t="n">
        <v>68</v>
      </c>
      <c r="C541" s="1" t="n">
        <v>328.2</v>
      </c>
      <c r="D541" s="2">
        <f>HYPERLINK("https://torgi.gov.ru/new/public/lots/lot/21000015740000000013_1/(lotInfo:info)", "21000015740000000013_1")</f>
        <v/>
      </c>
      <c r="E541" t="inlineStr">
        <is>
          <t>помещение 1, площадь 27,3 кв.м, этаж №1, КН:68:29:0103004:263; помещение 2, площадь 18,5 кв.м, этаж №1, КН:68:29:0103004:262; помещение 3, площадь 33,5 кв.м, этаж №1, КН:68:29:0103004:244; помещение 4, площадь 25,9 кв.м, этаж  №1, КН:68:29:0103004:245; помещение 5, площадь 40,2 кв.м, этаж № 1, КН:68:29:0103004:259; помещение 6, площадь 11,3 кв.м, этаж №1, КН:68:29:0103004:258; помещение 7, площадь 9,0 кв.м, этаж №1, КН:68:29:0103004:257; помещение 8, площадь 20,1 кв.м, этаж №1, КН:68:29:0103004:247; помещение 9, площадь 27,4 кв.м, этаж №1, КН:68:29:0103004:248; помещение 10, площадь 31,6 кв.м, этаж  №1, КН:68:29:0103004:249; помещение 11, площадь 23,4 кв.м, этаж  №1, КН:68:29:0103004:253; помещение 12, площадь 36,2 кв.м, этаж  №1, КН:68:29:0103004:250; помещение 13, площадь 23,8 кв.м, этаж  №1, КН:68:29:0103004:251, расположенные по адресу: РФ, Тамбовская обл., городской округ–город Тамбов, г.Тамбов, ул.Советская, здание 61/8 (см. Документы, файл Извещение). Продается единым лотом</t>
        </is>
      </c>
      <c r="F541" s="3" t="inlineStr">
        <is>
          <t>14.09.22 14:30</t>
        </is>
      </c>
      <c r="G541" t="inlineStr">
        <is>
          <t>г Тамбов, ул Советская</t>
        </is>
      </c>
      <c r="H541" s="4" t="n">
        <v>6846000</v>
      </c>
      <c r="I541" s="4" t="n">
        <v>20859.23217550274</v>
      </c>
      <c r="J541" t="inlineStr">
        <is>
          <t xml:space="preserve">здание </t>
        </is>
      </c>
      <c r="K541" s="5" t="n">
        <v>3.01</v>
      </c>
      <c r="L541" s="4" t="n">
        <v>264.04</v>
      </c>
      <c r="M541" t="n">
        <v>6921</v>
      </c>
      <c r="N541" s="6" t="n">
        <v>291663</v>
      </c>
      <c r="O541" t="n">
        <v>79</v>
      </c>
      <c r="Q541" t="inlineStr">
        <is>
          <t>EK</t>
        </is>
      </c>
      <c r="R541" t="inlineStr">
        <is>
          <t>М</t>
        </is>
      </c>
      <c r="S541" s="2">
        <f>HYPERLINK("https://yandex.ru/maps/?&amp;text=52.741183, 41.451097", "52.741183, 41.451097")</f>
        <v/>
      </c>
      <c r="T541" s="2">
        <f>HYPERLINK("D:\venv_torgi\env\cache\objs_in_district/52.741183_41.451097.json", "52.741183_41.451097.json")</f>
        <v/>
      </c>
      <c r="V541" s="7" t="inlineStr">
        <is>
          <t>1</t>
        </is>
      </c>
      <c r="W541" s="20" t="n">
        <v>11222.13557349978</v>
      </c>
      <c r="X541" s="23" t="n">
        <v>-9637.096602002959</v>
      </c>
      <c r="Y541" t="n">
        <v>0</v>
      </c>
    </row>
    <row r="542">
      <c r="A542" s="8" t="n">
        <v>540</v>
      </c>
      <c r="B542" t="n">
        <v>69</v>
      </c>
      <c r="C542" s="1" t="n">
        <v>60.1</v>
      </c>
      <c r="D542" s="2">
        <f>HYPERLINK("https://torgi.gov.ru/new/public/lots/lot/21000010890000000004_1/(lotInfo:info)", "21000010890000000004_1")</f>
        <v/>
      </c>
      <c r="E542" t="inlineStr">
        <is>
          <t>Нежилое помещение (медпункт)</t>
        </is>
      </c>
      <c r="F542" s="3" t="inlineStr">
        <is>
          <t>12.09.22 14:00</t>
        </is>
      </c>
      <c r="G542" t="inlineStr">
        <is>
          <t>Тверская обл, г Кашин, поселок Первомайский, д 5, помещ 2</t>
        </is>
      </c>
      <c r="H542" s="4" t="n">
        <v>130000</v>
      </c>
      <c r="I542" s="4" t="n">
        <v>2163.0615640599</v>
      </c>
      <c r="J542" t="inlineStr">
        <is>
          <t>Нежилое помещение</t>
        </is>
      </c>
      <c r="K542" s="5" t="n">
        <v>36.05</v>
      </c>
      <c r="M542" t="n">
        <v>60</v>
      </c>
      <c r="N542" s="6" t="n">
        <v>14094</v>
      </c>
      <c r="P542" s="21" t="n">
        <v>6.49981630364369</v>
      </c>
      <c r="Q542" t="inlineStr">
        <is>
          <t>EA</t>
        </is>
      </c>
      <c r="R542" t="inlineStr">
        <is>
          <t>М</t>
        </is>
      </c>
      <c r="S542" s="2">
        <f>HYPERLINK("https://yandex.ru/maps/?&amp;text=57.356876, 37.449551", "57.356876, 37.449551")</f>
        <v/>
      </c>
      <c r="U542" t="inlineStr">
        <is>
          <t>69:12:0142301:130</t>
        </is>
      </c>
      <c r="V542" s="7" t="inlineStr">
        <is>
          <t>1</t>
        </is>
      </c>
      <c r="W542" s="20" t="n">
        <v>16222.56438392146</v>
      </c>
      <c r="X542" s="22" t="n">
        <v>14059.50281986156</v>
      </c>
      <c r="Y542" t="n">
        <v>0</v>
      </c>
    </row>
    <row r="543">
      <c r="A543" s="8" t="n">
        <v>541</v>
      </c>
      <c r="B543" t="n">
        <v>69</v>
      </c>
      <c r="C543" s="1" t="n">
        <v>95</v>
      </c>
      <c r="D543" s="2">
        <f>HYPERLINK("https://torgi.gov.ru/new/public/lots/lot/22000020460000000008_1/(lotInfo:info)", "22000020460000000008_1")</f>
        <v/>
      </c>
      <c r="E543" t="inlineStr">
        <is>
          <t>Помещение площадью 95 кв.м.</t>
        </is>
      </c>
      <c r="F543" s="3" t="inlineStr">
        <is>
          <t>15.09.22 21:00</t>
        </is>
      </c>
      <c r="G543" t="inlineStr">
        <is>
          <t>Тверская обл, Конаковский р-н, пгт Изоплит, ул Пионерская, д 13</t>
        </is>
      </c>
      <c r="H543" s="4" t="n">
        <v>350000</v>
      </c>
      <c r="I543" s="4" t="n">
        <v>3684.21052631579</v>
      </c>
      <c r="J543" t="inlineStr">
        <is>
          <t>Нежилое помещение</t>
        </is>
      </c>
      <c r="K543" s="5" t="n">
        <v>19.39</v>
      </c>
      <c r="M543" t="n">
        <v>190</v>
      </c>
      <c r="N543" s="6" t="n">
        <v>1627</v>
      </c>
      <c r="P543" s="21" t="n">
        <v>3.403267475635824</v>
      </c>
      <c r="Q543" t="inlineStr">
        <is>
          <t>EA</t>
        </is>
      </c>
      <c r="R543" t="inlineStr">
        <is>
          <t>М</t>
        </is>
      </c>
      <c r="S543" s="2">
        <f>HYPERLINK("https://yandex.ru/maps/?&amp;text=56.626673, 36.206903", "56.626673, 36.206903")</f>
        <v/>
      </c>
      <c r="U543" t="inlineStr">
        <is>
          <t xml:space="preserve">69:15:0000015:2703, </t>
        </is>
      </c>
      <c r="V543" s="7" t="inlineStr">
        <is>
          <t>2</t>
        </is>
      </c>
      <c r="W543" s="20" t="n">
        <v>16222.56438392146</v>
      </c>
      <c r="X543" s="22" t="n">
        <v>12538.35385760567</v>
      </c>
      <c r="Y543" t="n">
        <v>0</v>
      </c>
    </row>
    <row r="544">
      <c r="A544" s="8" t="n">
        <v>542</v>
      </c>
      <c r="B544" t="n">
        <v>69</v>
      </c>
      <c r="C544" s="1" t="n">
        <v>37.5</v>
      </c>
      <c r="D544" s="2">
        <f>HYPERLINK("https://torgi.gov.ru/new/public/lots/lot/22000038240000000009_2/(lotInfo:info)", "22000038240000000009_2")</f>
        <v/>
      </c>
      <c r="E544" t="inlineStr">
        <is>
          <t>нежилое помещение, площадью 37,5 кв.м., кадастровый номер 69:19:0070113:477, расположенное по адресу: Тверская область, г. Лихославль, пер. Привокзальный, д. 7, пом. II</t>
        </is>
      </c>
      <c r="F544" s="3" t="inlineStr">
        <is>
          <t>13.09.22 14:00</t>
        </is>
      </c>
      <c r="G544" t="inlineStr">
        <is>
          <t>Тверская обл, г Лихославль, Привокзальный пер, д 7</t>
        </is>
      </c>
      <c r="H544" s="4" t="n">
        <v>621000</v>
      </c>
      <c r="I544" s="4" t="n">
        <v>16560</v>
      </c>
      <c r="J544" t="inlineStr">
        <is>
          <t>Нежилое помещение</t>
        </is>
      </c>
      <c r="K544" s="5" t="n">
        <v>6.65</v>
      </c>
      <c r="L544" s="4" t="n">
        <v>571.03</v>
      </c>
      <c r="M544" t="n">
        <v>2490</v>
      </c>
      <c r="N544" s="6" t="n">
        <v>11790</v>
      </c>
      <c r="O544" t="n">
        <v>29</v>
      </c>
      <c r="P544" s="21" t="n">
        <v>0.6223598073580552</v>
      </c>
      <c r="Q544" t="inlineStr">
        <is>
          <t>EA</t>
        </is>
      </c>
      <c r="R544" t="inlineStr">
        <is>
          <t>М</t>
        </is>
      </c>
      <c r="S544" s="2">
        <f>HYPERLINK("https://yandex.ru/maps/?&amp;text=57.124472, 35.459963", "57.124472, 35.459963")</f>
        <v/>
      </c>
      <c r="T544" s="2">
        <f>HYPERLINK("D:\venv_torgi\env\cache\objs_in_district/57.124472_35.459963.json", "57.124472_35.459963.json")</f>
        <v/>
      </c>
      <c r="U544" t="inlineStr">
        <is>
          <t xml:space="preserve">69:19:0070113:477, </t>
        </is>
      </c>
      <c r="V544" s="7" t="inlineStr">
        <is>
          <t>1</t>
        </is>
      </c>
      <c r="W544" s="20" t="n">
        <v>26866.27840984939</v>
      </c>
      <c r="X544" s="22" t="n">
        <v>10306.27840984939</v>
      </c>
      <c r="Y544" t="n">
        <v>0</v>
      </c>
    </row>
    <row r="545">
      <c r="A545" s="8" t="n">
        <v>543</v>
      </c>
      <c r="B545" t="n">
        <v>69</v>
      </c>
      <c r="C545" s="1" t="n">
        <v>18.4</v>
      </c>
      <c r="D545" s="2">
        <f>HYPERLINK("https://torgi.gov.ru/new/public/lots/lot/22000038240000000009_3/(lotInfo:info)", "22000038240000000009_3")</f>
        <v/>
      </c>
      <c r="E545" t="inlineStr">
        <is>
          <t>нежилое помещение, общей площадью 18,4 кв.м., кадастровый номер 69:19:0070113:478.</t>
        </is>
      </c>
      <c r="F545" s="3" t="inlineStr">
        <is>
          <t>13.09.22 14:00</t>
        </is>
      </c>
      <c r="G545" t="inlineStr">
        <is>
          <t>Тверская область, г. Лихославль, пер. Привокзальный, д. 7, пом. III.</t>
        </is>
      </c>
      <c r="H545" s="4" t="n">
        <v>305000</v>
      </c>
      <c r="I545" s="4" t="n">
        <v>16576.08695652174</v>
      </c>
      <c r="J545" t="inlineStr">
        <is>
          <t>Нежилое помещение</t>
        </is>
      </c>
      <c r="Q545" t="inlineStr">
        <is>
          <t>EA</t>
        </is>
      </c>
      <c r="R545" t="inlineStr">
        <is>
          <t>М</t>
        </is>
      </c>
      <c r="U545" t="inlineStr">
        <is>
          <t>69:19:0070113:478</t>
        </is>
      </c>
      <c r="V545" s="7" t="inlineStr">
        <is>
          <t>1</t>
        </is>
      </c>
      <c r="Y545" t="n">
        <v>0</v>
      </c>
    </row>
    <row r="546">
      <c r="A546" s="8" t="n">
        <v>544</v>
      </c>
      <c r="B546" t="n">
        <v>69</v>
      </c>
      <c r="C546" s="1" t="n">
        <v>56.6</v>
      </c>
      <c r="D546" s="2">
        <f>HYPERLINK("https://torgi.gov.ru/new/public/lots/lot/21000014400000000014_3/(lotInfo:info)", "21000014400000000014_3")</f>
        <v/>
      </c>
      <c r="E546" t="inlineStr">
        <is>
          <t>Нежилое помещение на первом этаже пятиэтажного жилого дома</t>
        </is>
      </c>
      <c r="F546" s="3" t="inlineStr">
        <is>
          <t>28.08.22 14:00</t>
        </is>
      </c>
      <c r="G546" t="inlineStr">
        <is>
          <t>г Тверь, ул 1-я Силикатная, д 13а</t>
        </is>
      </c>
      <c r="H546" s="4" t="n">
        <v>993443</v>
      </c>
      <c r="I546" s="4" t="n">
        <v>17551.99646643109</v>
      </c>
      <c r="J546" t="inlineStr">
        <is>
          <t>Нежилое помещение</t>
        </is>
      </c>
      <c r="K546" s="5" t="n">
        <v>7.06</v>
      </c>
      <c r="L546" s="4" t="n">
        <v>1595.55</v>
      </c>
      <c r="M546" t="n">
        <v>2487</v>
      </c>
      <c r="N546" s="6" t="n">
        <v>426217</v>
      </c>
      <c r="O546" t="n">
        <v>11</v>
      </c>
      <c r="P546" s="21" t="n">
        <v>0.5306679477307465</v>
      </c>
      <c r="Q546" t="inlineStr">
        <is>
          <t>EA</t>
        </is>
      </c>
      <c r="R546" t="inlineStr">
        <is>
          <t>М</t>
        </is>
      </c>
      <c r="S546" s="2">
        <f>HYPERLINK("https://yandex.ru/maps/?&amp;text=56.866952, 35.956444", "56.866952, 35.956444")</f>
        <v/>
      </c>
      <c r="T546" s="2">
        <f>HYPERLINK("D:\venv_torgi\env\cache\objs_in_district/56.866952_35.956444.json", "56.866952_35.956444.json")</f>
        <v/>
      </c>
      <c r="U546" t="inlineStr">
        <is>
          <t>69:40:0100612:267</t>
        </is>
      </c>
      <c r="V546" s="7" t="inlineStr">
        <is>
          <t>1</t>
        </is>
      </c>
      <c r="W546" s="20" t="n">
        <v>26866.27840984939</v>
      </c>
      <c r="X546" s="22" t="n">
        <v>9314.281943418304</v>
      </c>
      <c r="Y546" t="n">
        <v>0</v>
      </c>
    </row>
    <row r="547">
      <c r="A547" s="8" t="n">
        <v>545</v>
      </c>
      <c r="B547" t="n">
        <v>69</v>
      </c>
      <c r="C547" s="1" t="n">
        <v>16.6</v>
      </c>
      <c r="D547" s="2">
        <f>HYPERLINK("https://torgi.gov.ru/new/public/lots/lot/21000014400000000014_1/(lotInfo:info)", "21000014400000000014_1")</f>
        <v/>
      </c>
      <c r="E547" t="inlineStr">
        <is>
          <t>Нежилое помещение на первом этаже пятиэтажного жилого дома</t>
        </is>
      </c>
      <c r="F547" s="3" t="inlineStr">
        <is>
          <t>28.08.22 14:00</t>
        </is>
      </c>
      <c r="G547" t="inlineStr">
        <is>
          <t>г Тверь, ул Александра Попова, д 3</t>
        </is>
      </c>
      <c r="H547" s="4" t="n">
        <v>827460</v>
      </c>
      <c r="I547" s="4" t="n">
        <v>49846.98795180723</v>
      </c>
      <c r="J547" t="inlineStr">
        <is>
          <t>Нежилое помещение</t>
        </is>
      </c>
      <c r="K547" s="5" t="n">
        <v>7.69</v>
      </c>
      <c r="L547" s="4" t="n">
        <v>445.05</v>
      </c>
      <c r="M547" t="n">
        <v>6480</v>
      </c>
      <c r="N547" s="6" t="n">
        <v>426217</v>
      </c>
      <c r="O547" t="n">
        <v>112</v>
      </c>
      <c r="Q547" t="inlineStr">
        <is>
          <t>EA</t>
        </is>
      </c>
      <c r="R547" t="inlineStr">
        <is>
          <t>М</t>
        </is>
      </c>
      <c r="S547" s="2">
        <f>HYPERLINK("https://yandex.ru/maps/?&amp;text=56.84423, 35.91551", "56.84423, 35.91551")</f>
        <v/>
      </c>
      <c r="T547" s="2">
        <f>HYPERLINK("D:\venv_torgi\env\cache\objs_in_district/56.84423_35.91551.json", "56.84423_35.91551.json")</f>
        <v/>
      </c>
      <c r="U547" t="inlineStr">
        <is>
          <t>69:40:0400089:34</t>
        </is>
      </c>
      <c r="V547" s="7" t="inlineStr">
        <is>
          <t>1</t>
        </is>
      </c>
      <c r="W547" s="20" t="n">
        <v>49846.98795180723</v>
      </c>
      <c r="X547" s="20" t="n">
        <v>0</v>
      </c>
      <c r="Y547" t="n">
        <v>0</v>
      </c>
    </row>
    <row r="548">
      <c r="A548" s="8" t="n">
        <v>546</v>
      </c>
      <c r="B548" t="n">
        <v>70</v>
      </c>
      <c r="C548" s="1" t="n">
        <v>285.2</v>
      </c>
      <c r="D548" s="2">
        <f>HYPERLINK("https://torgi.gov.ru/new/public/lots/lot/21000012290000000011_2/(lotInfo:info)", "21000012290000000011_2")</f>
        <v/>
      </c>
      <c r="E548" t="inlineStr">
        <is>
          <t>Характеристика объекта:Общая площадь 285,20 кв.м.Год постройки: 1956; фундамент – железобетонный; стены – кирпичные; перекрытия – сборные железобетонные пустотные плиты.</t>
        </is>
      </c>
      <c r="F548" s="3" t="inlineStr">
        <is>
          <t>02.09.22 10:00</t>
        </is>
      </c>
      <c r="G548" t="inlineStr">
        <is>
          <t>Томская обл, г Северск, ул Ленина, д 38</t>
        </is>
      </c>
      <c r="H548" s="4" t="n">
        <v>2040000</v>
      </c>
      <c r="I548" s="4" t="n">
        <v>7152.875175315568</v>
      </c>
      <c r="J548" t="inlineStr">
        <is>
          <t>Нежилое помещение</t>
        </is>
      </c>
      <c r="K548" s="5" t="n">
        <v>2.91</v>
      </c>
      <c r="L548" s="4" t="n">
        <v>550.15</v>
      </c>
      <c r="M548" t="n">
        <v>2458</v>
      </c>
      <c r="N548" s="6" t="n">
        <v>113301</v>
      </c>
      <c r="O548" t="n">
        <v>13</v>
      </c>
      <c r="P548" s="21" t="n">
        <v>1.373627305719051</v>
      </c>
      <c r="Q548" t="inlineStr">
        <is>
          <t>EA</t>
        </is>
      </c>
      <c r="R548" t="inlineStr">
        <is>
          <t>М</t>
        </is>
      </c>
      <c r="S548" s="2">
        <f>HYPERLINK("https://yandex.ru/maps/?&amp;text=56.60093, 84.87698", "56.60093, 84.87698")</f>
        <v/>
      </c>
      <c r="T548" s="2">
        <f>HYPERLINK("D:\venv_torgi\env\cache\objs_in_district/56.60093_84.87698.json", "56.60093_84.87698.json")</f>
        <v/>
      </c>
      <c r="U548" t="inlineStr">
        <is>
          <t>70:22:0010102:5977</t>
        </is>
      </c>
      <c r="W548" s="20" t="n">
        <v>16978.25983052898</v>
      </c>
      <c r="X548" s="22" t="n">
        <v>9825.384655213407</v>
      </c>
      <c r="Y548" t="n">
        <v>0</v>
      </c>
    </row>
    <row r="549">
      <c r="A549" s="8" t="n">
        <v>547</v>
      </c>
      <c r="B549" t="n">
        <v>70</v>
      </c>
      <c r="C549" s="1" t="n">
        <v>62.4</v>
      </c>
      <c r="D549" s="2">
        <f>HYPERLINK("https://torgi.gov.ru/new/public/lots/lot/22000016630000000012_1/(lotInfo:info)", "22000016630000000012_1")</f>
        <v/>
      </c>
      <c r="E549" t="inlineStr">
        <is>
          <t>нежилое помещение с кадастровым номером 70:20:0000003:26990, расположенное по адресу: Российская Федерация, Томская область, Городской округ город Стрежевой, город Стрежевой, ул. Ермакова, д. 127а, помещение 14, общей площадью 62,4 кв. м. Обременения отсутствуют.</t>
        </is>
      </c>
      <c r="F549" s="3" t="inlineStr">
        <is>
          <t>21.09.22 05:00</t>
        </is>
      </c>
      <c r="G549" t="inlineStr">
        <is>
          <t>Томская обл, г Стрежевой, ул Ермакова, д 127а</t>
        </is>
      </c>
      <c r="H549" s="4" t="n">
        <v>629000</v>
      </c>
      <c r="I549" s="4" t="n">
        <v>10080.12820512821</v>
      </c>
      <c r="J549" t="inlineStr">
        <is>
          <t>Нежилое помещение</t>
        </is>
      </c>
      <c r="K549" s="5" t="n">
        <v>2.25</v>
      </c>
      <c r="L549" s="4" t="n">
        <v>272.43</v>
      </c>
      <c r="M549" t="n">
        <v>4477</v>
      </c>
      <c r="N549" s="6" t="n">
        <v>41230</v>
      </c>
      <c r="O549" t="n">
        <v>37</v>
      </c>
      <c r="P549" s="21" t="n">
        <v>1.665271498846744</v>
      </c>
      <c r="Q549" t="inlineStr">
        <is>
          <t>PP</t>
        </is>
      </c>
      <c r="R549" t="inlineStr">
        <is>
          <t>М</t>
        </is>
      </c>
      <c r="S549" s="2">
        <f>HYPERLINK("https://yandex.ru/maps/?&amp;text=60.730465, 77.60263", "60.730465, 77.60263")</f>
        <v/>
      </c>
      <c r="T549" s="2">
        <f>HYPERLINK("D:\venv_torgi\env\cache\objs_in_district/60.730465_77.60263.json", "60.730465_77.60263.json")</f>
        <v/>
      </c>
      <c r="U549" t="inlineStr">
        <is>
          <t xml:space="preserve">70:20:0000003:26990, </t>
        </is>
      </c>
      <c r="W549" s="20" t="n">
        <v>26866.27840984939</v>
      </c>
      <c r="X549" s="22" t="n">
        <v>16786.15020472118</v>
      </c>
      <c r="Y549" t="n">
        <v>0</v>
      </c>
    </row>
    <row r="550">
      <c r="A550" s="8" t="n">
        <v>548</v>
      </c>
      <c r="B550" t="n">
        <v>70</v>
      </c>
      <c r="C550" s="1" t="n">
        <v>68</v>
      </c>
      <c r="D550" s="2">
        <f>HYPERLINK("https://torgi.gov.ru/new/public/lots/lot/22000075090000000002_1/(lotInfo:info)", "22000075090000000002_1")</f>
        <v/>
      </c>
      <c r="E550" t="inlineStr">
        <is>
          <t>Нежилое здание, 1-этажное, общая площадь 68,0 кв.м., инв. номер 000000000000094,  адрес (местонахождение) объекта: Томская область, Томский район, с. Рыбалово ул. Бодажкова, д.12 А, кадастровый (или условный) номер: 70:14:0120001:1457. Здание расположено на земельном участке, категория земель: земли населенных пунктов, виды разрешенного использования: для общественного управления, общая площадь 580 кв.м., кадастровый (или условный) номер 70:14:0120001:1466</t>
        </is>
      </c>
      <c r="F550" s="3" t="inlineStr">
        <is>
          <t>23.09.22 10:00</t>
        </is>
      </c>
      <c r="G550" t="inlineStr">
        <is>
          <t>Томская обл, Томский р-н, село Рыбалово, ул Бодажкова, д 12а</t>
        </is>
      </c>
      <c r="H550" s="4" t="n">
        <v>1089000</v>
      </c>
      <c r="I550" s="4" t="n">
        <v>16014.70588235294</v>
      </c>
      <c r="J550" t="inlineStr">
        <is>
          <t xml:space="preserve">здание, </t>
        </is>
      </c>
      <c r="K550" s="5" t="n">
        <v>3.02</v>
      </c>
      <c r="L550" s="10" t="n"/>
      <c r="M550" t="n">
        <v>5298</v>
      </c>
      <c r="N550" s="6" t="n">
        <v>1783</v>
      </c>
      <c r="O550" t="inlineStr">
        <is>
          <t>0</t>
        </is>
      </c>
      <c r="P550" s="21" t="n">
        <v>0.6776004884019824</v>
      </c>
      <c r="Q550" t="inlineStr">
        <is>
          <t>EA</t>
        </is>
      </c>
      <c r="R550" t="inlineStr">
        <is>
          <t>М</t>
        </is>
      </c>
      <c r="S550" s="2">
        <f>HYPERLINK("https://yandex.ru/maps/?&amp;text=56.507447, 84.520778", "56.507447, 84.520778")</f>
        <v/>
      </c>
      <c r="T550" s="11">
        <f>HYPERLINK("D:\venv_torgi\env\cache\objs_in_district/56.507447_84.520778.json", "56.507447_84.520778.json")</f>
        <v/>
      </c>
      <c r="U550" t="inlineStr">
        <is>
          <t>70:14:0120001:1457</t>
        </is>
      </c>
      <c r="V550" s="7" t="inlineStr">
        <is>
          <t>1</t>
        </is>
      </c>
      <c r="W550" s="20" t="n">
        <v>26866.27840984939</v>
      </c>
      <c r="X550" s="22" t="n">
        <v>10851.57252749645</v>
      </c>
      <c r="Y550" t="n">
        <v>0</v>
      </c>
    </row>
    <row r="551">
      <c r="A551" s="8" t="n">
        <v>549</v>
      </c>
      <c r="B551" t="n">
        <v>71</v>
      </c>
      <c r="C551" s="1" t="n">
        <v>54.5</v>
      </c>
      <c r="D551" s="2">
        <f>HYPERLINK("https://torgi.gov.ru/new/public/lots/lot/21000021070000000006_1/(lotInfo:info)", "21000021070000000006_1")</f>
        <v/>
      </c>
      <c r="E551" t="inlineStr">
        <is>
          <t>Нежилое помещение 1 этаж в здании барачного типа. Водоснабжения, электричества, отопления, газа, канализации нет.</t>
        </is>
      </c>
      <c r="F551" s="3" t="inlineStr">
        <is>
          <t>02.09.22 14:00</t>
        </is>
      </c>
      <c r="G551" t="inlineStr">
        <is>
          <t>Тульская обл, Щекинский р-н, поселок Шахты 22, д 9</t>
        </is>
      </c>
      <c r="H551" s="4" t="n">
        <v>106400</v>
      </c>
      <c r="I551" s="4" t="n">
        <v>1952.293577981651</v>
      </c>
      <c r="J551" t="inlineStr">
        <is>
          <t>Нежилое помещение</t>
        </is>
      </c>
      <c r="K551" s="5" t="n">
        <v>7.18</v>
      </c>
      <c r="L551" s="10" t="n"/>
      <c r="M551" t="n">
        <v>272</v>
      </c>
      <c r="O551" t="inlineStr">
        <is>
          <t>0</t>
        </is>
      </c>
      <c r="Q551" t="inlineStr">
        <is>
          <t>PP</t>
        </is>
      </c>
      <c r="R551" t="inlineStr">
        <is>
          <t>М</t>
        </is>
      </c>
      <c r="S551" s="2">
        <f>HYPERLINK("https://yandex.ru/maps/?&amp;text=53.998118, 37.66972", "53.998118, 37.66972")</f>
        <v/>
      </c>
      <c r="T551" s="11">
        <f>HYPERLINK("D:\venv_torgi\env\cache\objs_in_district/53.998118_37.66972.json", "53.998118_37.66972.json")</f>
        <v/>
      </c>
      <c r="U551" t="inlineStr">
        <is>
          <t xml:space="preserve">71:22:030610:105, </t>
        </is>
      </c>
      <c r="V551" s="7" t="inlineStr">
        <is>
          <t>1</t>
        </is>
      </c>
      <c r="Y551" t="n">
        <v>0</v>
      </c>
    </row>
    <row r="552">
      <c r="A552" s="8" t="n">
        <v>550</v>
      </c>
      <c r="B552" t="n">
        <v>71</v>
      </c>
      <c r="C552" s="1" t="n">
        <v>48.1</v>
      </c>
      <c r="D552" s="2">
        <f>HYPERLINK("https://torgi.gov.ru/new/public/lots/lot/21000021070000000009_1/(lotInfo:info)", "21000021070000000009_1")</f>
        <v/>
      </c>
      <c r="E552" t="inlineStr">
        <is>
          <t>Помещение в неудовлетворительном состоянии. Газ, вода, канализация, электричество, отопление отсутствуют.</t>
        </is>
      </c>
      <c r="F552" s="3" t="inlineStr">
        <is>
          <t>09.09.22 07:00</t>
        </is>
      </c>
      <c r="G552" t="inlineStr">
        <is>
          <t>Тульская обл, Щекинский р-н, деревня Кузьмино-Доможирово, ул Школьная, д 1, кв 2</t>
        </is>
      </c>
      <c r="H552" s="4" t="n">
        <v>215900</v>
      </c>
      <c r="I552" s="4" t="n">
        <v>4488.565488565489</v>
      </c>
      <c r="J552" t="inlineStr">
        <is>
          <t>Школьная</t>
        </is>
      </c>
      <c r="K552" s="5" t="n">
        <v>60.65</v>
      </c>
      <c r="L552" s="10" t="n"/>
      <c r="M552" t="n">
        <v>74</v>
      </c>
      <c r="O552" t="inlineStr">
        <is>
          <t>0</t>
        </is>
      </c>
      <c r="Q552" t="inlineStr">
        <is>
          <t>PP</t>
        </is>
      </c>
      <c r="R552" t="inlineStr">
        <is>
          <t>М</t>
        </is>
      </c>
      <c r="S552" s="2">
        <f>HYPERLINK("https://yandex.ru/maps/?&amp;text=54.022621, 37.068872", "54.022621, 37.068872")</f>
        <v/>
      </c>
      <c r="T552" s="11">
        <f>HYPERLINK("D:\venv_torgi\env\cache\objs_in_district/54.022621_37.068872.json", "54.022621_37.068872.json")</f>
        <v/>
      </c>
      <c r="U552" t="inlineStr">
        <is>
          <t xml:space="preserve">71:00:000000:28409, </t>
        </is>
      </c>
      <c r="Y552" t="n">
        <v>0</v>
      </c>
    </row>
    <row r="553">
      <c r="A553" s="8" t="n">
        <v>551</v>
      </c>
      <c r="B553" t="n">
        <v>71</v>
      </c>
      <c r="C553" s="1" t="n">
        <v>41.3</v>
      </c>
      <c r="D553" s="2">
        <f>HYPERLINK("https://torgi.gov.ru/new/public/lots/lot/22000005610000000002_1/(lotInfo:info)", "22000005610000000002_1")</f>
        <v/>
      </c>
      <c r="E553" t="inlineStr">
        <is>
          <t>Нежилое помещение общей площадью 41,3 кв.м с кадастровым номером 71:05:030203:451, расположенное по адресу: Тульская область, Веневский район, г. Венев, ул. Бундурина, д. 6, кв. 4.</t>
        </is>
      </c>
      <c r="F553" s="3" t="inlineStr">
        <is>
          <t>09.09.22 14:00</t>
        </is>
      </c>
      <c r="G553" t="inlineStr">
        <is>
          <t>Тульская обл, г Венев, ул Бундурина, д 6</t>
        </is>
      </c>
      <c r="H553" s="4" t="n">
        <v>668317</v>
      </c>
      <c r="I553" s="4" t="n">
        <v>16182.00968523002</v>
      </c>
      <c r="J553" t="inlineStr">
        <is>
          <t>Нежилое помещение</t>
        </is>
      </c>
      <c r="K553" s="5" t="n">
        <v>12.26</v>
      </c>
      <c r="L553" s="4" t="n">
        <v>190.38</v>
      </c>
      <c r="M553" t="n">
        <v>1320</v>
      </c>
      <c r="N553" s="6" t="n">
        <v>14023</v>
      </c>
      <c r="O553" t="n">
        <v>85</v>
      </c>
      <c r="P553" s="21" t="n">
        <v>0.6067168218506539</v>
      </c>
      <c r="Q553" t="inlineStr">
        <is>
          <t>EA</t>
        </is>
      </c>
      <c r="R553" t="inlineStr">
        <is>
          <t>М</t>
        </is>
      </c>
      <c r="S553" s="2">
        <f>HYPERLINK("https://yandex.ru/maps/?&amp;text=54.350037, 38.263084", "54.350037, 38.263084")</f>
        <v/>
      </c>
      <c r="T553" s="2">
        <f>HYPERLINK("D:\venv_torgi\env\cache\objs_in_district/54.350037_38.263084.json", "54.350037_38.263084.json")</f>
        <v/>
      </c>
      <c r="U553" t="inlineStr">
        <is>
          <t xml:space="preserve">71:05:030203:451, </t>
        </is>
      </c>
      <c r="V553" s="7" t="inlineStr">
        <is>
          <t>2</t>
        </is>
      </c>
      <c r="W553" s="20" t="n">
        <v>25999.90717260928</v>
      </c>
      <c r="X553" s="22" t="n">
        <v>9817.897487379261</v>
      </c>
      <c r="Y553" t="n">
        <v>0</v>
      </c>
    </row>
    <row r="554">
      <c r="A554" s="8" t="n">
        <v>552</v>
      </c>
      <c r="B554" t="n">
        <v>71</v>
      </c>
      <c r="C554" s="1" t="n">
        <v>292.3</v>
      </c>
      <c r="D554" s="2">
        <f>HYPERLINK("https://torgi.gov.ru/new/public/lots/lot/21000018800000000016_1/(lotInfo:info)", "21000018800000000016_1")</f>
        <v/>
      </c>
      <c r="E554" t="inlineStr">
        <is>
          <t>Нежилое помещение 1, цокольный этаж, кадастровый номер 71:30:070802:402  площадью 292,3 кв.м, по адресу: Тульская область, г.Тула, Привокзальный район,                 ул. Пушкина, д. 20 (бывший пос. Косая Гора)</t>
        </is>
      </c>
      <c r="F554" s="3" t="inlineStr">
        <is>
          <t>19.09.22 14:00</t>
        </is>
      </c>
      <c r="G554" t="inlineStr">
        <is>
          <t>г Тула, поселок Косая Гора, ул Пушкина, д 20</t>
        </is>
      </c>
      <c r="H554" s="4" t="n">
        <v>5725033</v>
      </c>
      <c r="I554" s="4" t="n">
        <v>19586.1546356483</v>
      </c>
      <c r="J554" t="inlineStr">
        <is>
          <t>Нежилое помещение</t>
        </is>
      </c>
      <c r="K554" s="5" t="n">
        <v>5.46</v>
      </c>
      <c r="L554" s="4" t="n">
        <v>1088.11</v>
      </c>
      <c r="M554" t="n">
        <v>3588</v>
      </c>
      <c r="N554" s="6" t="n">
        <v>605045</v>
      </c>
      <c r="O554" t="n">
        <v>18</v>
      </c>
      <c r="Q554" t="inlineStr">
        <is>
          <t>PP</t>
        </is>
      </c>
      <c r="R554" t="inlineStr">
        <is>
          <t>М</t>
        </is>
      </c>
      <c r="S554" s="2">
        <f>HYPERLINK("https://yandex.ru/maps/?&amp;text=54.118146, 37.552031", "54.118146, 37.552031")</f>
        <v/>
      </c>
      <c r="T554" s="2">
        <f>HYPERLINK("D:\venv_torgi\env\cache\objs_in_district/54.118146_37.552031.json", "54.118146_37.552031.json")</f>
        <v/>
      </c>
      <c r="U554" t="inlineStr">
        <is>
          <t xml:space="preserve">71:30:070802:402  </t>
        </is>
      </c>
      <c r="V554" s="7" t="inlineStr">
        <is>
          <t>0</t>
        </is>
      </c>
      <c r="W554" s="20" t="n">
        <v>16978.25983052898</v>
      </c>
      <c r="X554" s="23" t="n">
        <v>-2607.894805119326</v>
      </c>
      <c r="Y554" t="n">
        <v>0</v>
      </c>
    </row>
    <row r="555">
      <c r="A555" s="8" t="n">
        <v>553</v>
      </c>
      <c r="B555" t="n">
        <v>71</v>
      </c>
      <c r="C555" s="1" t="n">
        <v>35.9</v>
      </c>
      <c r="D555" s="2">
        <f>HYPERLINK("https://torgi.gov.ru/new/public/lots/lot/22000005610000000002_2/(lotInfo:info)", "22000005610000000002_2")</f>
        <v/>
      </c>
      <c r="E555" t="inlineStr">
        <is>
          <t>Нежилое помещение общей площадью 35,9 кв.м с кадастровым номером 71:05:030304:1002, расположенное по адресу: Тульская область, Веневский район, г.Венев, ул. Бундурина, д. 6.</t>
        </is>
      </c>
      <c r="F555" s="3" t="inlineStr">
        <is>
          <t>09.09.22 14:00</t>
        </is>
      </c>
      <c r="G555" t="inlineStr">
        <is>
          <t>Тульская обл, г Венев, ул Бундурина, д 6</t>
        </is>
      </c>
      <c r="H555" s="4" t="n">
        <v>778420</v>
      </c>
      <c r="I555" s="4" t="n">
        <v>21683.00835654596</v>
      </c>
      <c r="J555" t="inlineStr">
        <is>
          <t>Нежилое помещение</t>
        </is>
      </c>
      <c r="K555" s="5" t="n">
        <v>16.43</v>
      </c>
      <c r="L555" s="4" t="n">
        <v>255.09</v>
      </c>
      <c r="M555" t="n">
        <v>1320</v>
      </c>
      <c r="N555" s="6" t="n">
        <v>14023</v>
      </c>
      <c r="O555" t="n">
        <v>85</v>
      </c>
      <c r="P555" s="21" t="n">
        <v>0.1990913228034649</v>
      </c>
      <c r="Q555" t="inlineStr">
        <is>
          <t>EA</t>
        </is>
      </c>
      <c r="R555" t="inlineStr">
        <is>
          <t>М</t>
        </is>
      </c>
      <c r="S555" s="2">
        <f>HYPERLINK("https://yandex.ru/maps/?&amp;text=54.350037, 38.263084", "54.350037, 38.263084")</f>
        <v/>
      </c>
      <c r="T555" s="2">
        <f>HYPERLINK("D:\venv_torgi\env\cache\objs_in_district/54.350037_38.263084.json", "54.350037_38.263084.json")</f>
        <v/>
      </c>
      <c r="U555" t="inlineStr">
        <is>
          <t xml:space="preserve">71:05:030304:1002, </t>
        </is>
      </c>
      <c r="V555" s="7" t="inlineStr">
        <is>
          <t>1</t>
        </is>
      </c>
      <c r="W555" s="20" t="n">
        <v>25999.90717260928</v>
      </c>
      <c r="X555" s="22" t="n">
        <v>4316.89881606332</v>
      </c>
      <c r="Y555" t="n">
        <v>0</v>
      </c>
    </row>
    <row r="556">
      <c r="A556" s="8" t="n">
        <v>554</v>
      </c>
      <c r="B556" t="n">
        <v>71</v>
      </c>
      <c r="C556" s="1" t="n">
        <v>256.2</v>
      </c>
      <c r="D556" s="2">
        <f>HYPERLINK("https://torgi.gov.ru/new/public/lots/lot/21000018800000000015_1/(lotInfo:info)", "21000018800000000015_1")</f>
        <v/>
      </c>
      <c r="E556" t="inlineStr">
        <is>
          <t>Нежилое помещение, этаж 1, кадастровый номер: 71:30:070707:522 площадью 256,2 кв.м по адресу: Тульская область, г.Тула, п. Косая Гора, ул. Генерала Горшкова, д. 12, пом. I</t>
        </is>
      </c>
      <c r="F556" s="3" t="inlineStr">
        <is>
          <t>08.09.22 14:00</t>
        </is>
      </c>
      <c r="G556" t="inlineStr">
        <is>
          <t>г Тула, поселок Косая Гора, ул Генерала Горшкова, д 12</t>
        </is>
      </c>
      <c r="H556" s="4" t="n">
        <v>7578164</v>
      </c>
      <c r="I556" s="4" t="n">
        <v>29579.09445745511</v>
      </c>
      <c r="J556" t="inlineStr">
        <is>
          <t>Нежилое помещение</t>
        </is>
      </c>
      <c r="K556" s="5" t="n">
        <v>9.42</v>
      </c>
      <c r="L556" s="4" t="n">
        <v>2275.31</v>
      </c>
      <c r="M556" t="n">
        <v>3141</v>
      </c>
      <c r="N556" s="6" t="n">
        <v>605045</v>
      </c>
      <c r="O556" t="n">
        <v>13</v>
      </c>
      <c r="Q556" t="inlineStr">
        <is>
          <t>EA</t>
        </is>
      </c>
      <c r="R556" t="inlineStr">
        <is>
          <t>М</t>
        </is>
      </c>
      <c r="S556" s="2">
        <f>HYPERLINK("https://yandex.ru/maps/?&amp;text=54.120959, 37.538548", "54.120959, 37.538548")</f>
        <v/>
      </c>
      <c r="T556" s="2">
        <f>HYPERLINK("D:\venv_torgi\env\cache\objs_in_district/54.120959_37.538548.json", "54.120959_37.538548.json")</f>
        <v/>
      </c>
      <c r="U556" t="inlineStr">
        <is>
          <t xml:space="preserve">71:30:070707:522 </t>
        </is>
      </c>
      <c r="V556" s="7" t="inlineStr">
        <is>
          <t>1</t>
        </is>
      </c>
      <c r="W556" s="20" t="n">
        <v>16978.25983052898</v>
      </c>
      <c r="X556" s="23" t="n">
        <v>-12600.83462692613</v>
      </c>
      <c r="Y556" t="n">
        <v>0</v>
      </c>
    </row>
    <row r="557">
      <c r="A557" s="8" t="n">
        <v>555</v>
      </c>
      <c r="B557" t="n">
        <v>71</v>
      </c>
      <c r="C557" s="1" t="n">
        <v>12.1</v>
      </c>
      <c r="D557" s="2">
        <f>HYPERLINK("https://torgi.gov.ru/new/public/lots/lot/21000018800000000017_2/(lotInfo:info)", "21000018800000000017_2")</f>
        <v/>
      </c>
      <c r="E557" t="inlineStr">
        <is>
          <t>Нежилое помещение, этаж 2, кадастровый номер: 71:30:010229:3108, площадью 12,1 кв.м по адресу: Тульская область, г.Тула, Зареченский р-н,  ул. Октябрьская/ ул. Луначарского, д. 7/12</t>
        </is>
      </c>
      <c r="F557" s="3" t="inlineStr">
        <is>
          <t>19.09.22 14:00</t>
        </is>
      </c>
      <c r="G557" t="inlineStr">
        <is>
          <t>Тульская область, г.Тула, Зареченский р-н,  ул. Октябрьская/ ул. Луначарского, д. 7/12</t>
        </is>
      </c>
      <c r="H557" s="4" t="n">
        <v>511894</v>
      </c>
      <c r="I557" s="4" t="n">
        <v>42305.28925619835</v>
      </c>
      <c r="J557" t="inlineStr">
        <is>
          <t>Нежилое помещение</t>
        </is>
      </c>
      <c r="K557" s="5" t="n">
        <v>11.39</v>
      </c>
      <c r="L557" s="4" t="n">
        <v>431.68</v>
      </c>
      <c r="M557" t="n">
        <v>3713</v>
      </c>
      <c r="O557" t="n">
        <v>98</v>
      </c>
      <c r="Q557" t="inlineStr">
        <is>
          <t>EA</t>
        </is>
      </c>
      <c r="R557" t="inlineStr">
        <is>
          <t>М</t>
        </is>
      </c>
      <c r="S557" s="2">
        <f>HYPERLINK("https://yandex.ru/maps/?&amp;text=54.205505, 37.619962", "54.205505, 37.619962")</f>
        <v/>
      </c>
      <c r="T557" s="2">
        <f>HYPERLINK("D:\venv_torgi\env\cache\objs_in_district/54.205505_37.619962.json", "54.205505_37.619962.json")</f>
        <v/>
      </c>
      <c r="U557" t="inlineStr">
        <is>
          <t xml:space="preserve">71:30:010229:3108, </t>
        </is>
      </c>
      <c r="V557" s="7" t="inlineStr">
        <is>
          <t>2</t>
        </is>
      </c>
      <c r="Y557" t="n">
        <v>0</v>
      </c>
    </row>
    <row r="558">
      <c r="A558" s="8" t="n">
        <v>556</v>
      </c>
      <c r="B558" t="n">
        <v>73</v>
      </c>
      <c r="C558" s="1" t="n">
        <v>48.7</v>
      </c>
      <c r="D558" s="2">
        <f>HYPERLINK("https://torgi.gov.ru/new/public/lots/lot/21000013570000000012_2/(lotInfo:info)", "21000013570000000012_2")</f>
        <v/>
      </c>
      <c r="E558" t="inlineStr">
        <is>
          <t>нежилые помещения площадью 48,7 кв. м с кадастровым номером 73:19:071701:2157,  расположенные по адресу Ульяновская область, г. Ульяновск, Засвияжский район, с. Кротовка, ул. Солнечная, д. 7, помещения № 3, № 4</t>
        </is>
      </c>
      <c r="F558" s="3" t="inlineStr">
        <is>
          <t>14.09.22 13:00</t>
        </is>
      </c>
      <c r="G558" t="inlineStr">
        <is>
          <t>Ульяновская область, г. Ульяновск, Засвияжский район, с. Кротовка, ул. Солнечная, д. 7, помещения № 3, № 4</t>
        </is>
      </c>
      <c r="H558" s="4" t="n">
        <v>204313.22</v>
      </c>
      <c r="I558" s="4" t="n">
        <v>4195.343326488706</v>
      </c>
      <c r="J558" t="inlineStr">
        <is>
          <t>Нежилое помещение</t>
        </is>
      </c>
      <c r="Q558" t="inlineStr">
        <is>
          <t>EA</t>
        </is>
      </c>
      <c r="R558" t="inlineStr">
        <is>
          <t>М</t>
        </is>
      </c>
      <c r="U558" t="inlineStr">
        <is>
          <t xml:space="preserve">73:19:071701:2157,  </t>
        </is>
      </c>
      <c r="Y558" t="n">
        <v>0</v>
      </c>
    </row>
    <row r="559">
      <c r="A559" s="8" t="n">
        <v>557</v>
      </c>
      <c r="B559" t="n">
        <v>73</v>
      </c>
      <c r="C559" s="1" t="n">
        <v>181</v>
      </c>
      <c r="D559" s="2">
        <f>HYPERLINK("https://torgi.gov.ru/new/public/lots/lot/21000013570000000012_1/(lotInfo:info)", "21000013570000000012_1")</f>
        <v/>
      </c>
      <c r="E559" t="inlineStr">
        <is>
          <t>нежилое помещение площадью 181 кв. м с кадастровым номером 73:19:012901:653, расположенное по адресу Ульяновская область, г. Ульяновск, Ленинский район, ул. Поливенская, д. 9</t>
        </is>
      </c>
      <c r="F559" s="3" t="inlineStr">
        <is>
          <t>14.09.22 13:00</t>
        </is>
      </c>
      <c r="G559" t="inlineStr">
        <is>
          <t>г Ульяновск, ул Поливенская, д 9</t>
        </is>
      </c>
      <c r="H559" s="4" t="n">
        <v>2015455.81</v>
      </c>
      <c r="I559" s="4" t="n">
        <v>11135.11497237569</v>
      </c>
      <c r="J559" t="inlineStr">
        <is>
          <t>Нежилое помещение</t>
        </is>
      </c>
      <c r="K559" s="5" t="n">
        <v>5.23</v>
      </c>
      <c r="L559" s="4" t="n">
        <v>556.75</v>
      </c>
      <c r="M559" t="n">
        <v>2130</v>
      </c>
      <c r="N559" s="6" t="n">
        <v>650414</v>
      </c>
      <c r="O559" t="n">
        <v>20</v>
      </c>
      <c r="P559" s="21" t="n">
        <v>0.524749396180383</v>
      </c>
      <c r="Q559" t="inlineStr">
        <is>
          <t>EA</t>
        </is>
      </c>
      <c r="R559" t="inlineStr">
        <is>
          <t>М</t>
        </is>
      </c>
      <c r="S559" s="2">
        <f>HYPERLINK("https://yandex.ru/maps/?&amp;text=54.397408, 48.371125", "54.397408, 48.371125")</f>
        <v/>
      </c>
      <c r="T559" s="2">
        <f>HYPERLINK("D:\venv_torgi\env\cache\objs_in_district/54.397408_48.371125.json", "54.397408_48.371125.json")</f>
        <v/>
      </c>
      <c r="U559" t="inlineStr">
        <is>
          <t xml:space="preserve">73:19:012901:653, </t>
        </is>
      </c>
      <c r="W559" s="20" t="n">
        <v>16978.25983052898</v>
      </c>
      <c r="X559" s="22" t="n">
        <v>5843.144858153286</v>
      </c>
      <c r="Y559" t="n">
        <v>0</v>
      </c>
    </row>
    <row r="560">
      <c r="A560" s="8" t="n">
        <v>558</v>
      </c>
      <c r="B560" t="n">
        <v>73</v>
      </c>
      <c r="C560" s="1" t="n">
        <v>158.4</v>
      </c>
      <c r="D560" s="2">
        <f>HYPERLINK("https://torgi.gov.ru/new/public/lots/lot/21000013570000000013_6/(lotInfo:info)", "21000013570000000013_6")</f>
        <v/>
      </c>
      <c r="E560" t="inlineStr">
        <is>
          <t>нежилые помещения площадью 158,4 кв. м с кадастровым номером 73:24:041411:195, расположенные по адресу Ульяновская область, г. Ульяновск, Ленинский район, ул. Набережная р. Свияги, д. 162А</t>
        </is>
      </c>
      <c r="F560" s="3" t="inlineStr">
        <is>
          <t>14.09.22 13:00</t>
        </is>
      </c>
      <c r="G560" t="inlineStr">
        <is>
          <t>Ульяновская область, г. Ульяновск, Ленинский район, ул. Набережная р. Свияги, д. 162А</t>
        </is>
      </c>
      <c r="H560" s="4" t="n">
        <v>2234640.05</v>
      </c>
      <c r="I560" s="4" t="n">
        <v>14107.57607323232</v>
      </c>
      <c r="J560" t="inlineStr">
        <is>
          <t>Нежилое помещение</t>
        </is>
      </c>
      <c r="K560" s="5" t="n">
        <v>4.19</v>
      </c>
      <c r="L560" s="4" t="n">
        <v>414.91</v>
      </c>
      <c r="M560" t="n">
        <v>3368</v>
      </c>
      <c r="N560" s="6" t="n">
        <v>650414</v>
      </c>
      <c r="O560" t="n">
        <v>34</v>
      </c>
      <c r="P560" s="21" t="n">
        <v>0.9043865700519171</v>
      </c>
      <c r="Q560" t="inlineStr">
        <is>
          <t>EA</t>
        </is>
      </c>
      <c r="R560" t="inlineStr">
        <is>
          <t>М</t>
        </is>
      </c>
      <c r="S560" s="2">
        <f>HYPERLINK("https://yandex.ru/maps/?&amp;text=54.316067, 48.372041", "54.316067, 48.372041")</f>
        <v/>
      </c>
      <c r="T560" s="2">
        <f>HYPERLINK("D:\venv_torgi\env\cache\objs_in_district/54.316067_48.372041.json", "54.316067_48.372041.json")</f>
        <v/>
      </c>
      <c r="U560" t="inlineStr">
        <is>
          <t xml:space="preserve">73:24:041411:195, </t>
        </is>
      </c>
      <c r="W560" s="20" t="n">
        <v>26866.27840984939</v>
      </c>
      <c r="X560" s="22" t="n">
        <v>12758.70233661707</v>
      </c>
      <c r="Y560" t="n">
        <v>0</v>
      </c>
    </row>
    <row r="561">
      <c r="A561" s="8" t="n">
        <v>559</v>
      </c>
      <c r="B561" t="n">
        <v>73</v>
      </c>
      <c r="C561" s="1" t="n">
        <v>31.4</v>
      </c>
      <c r="D561" s="2">
        <f>HYPERLINK("https://torgi.gov.ru/new/public/lots/lot/21000013570000000012_3/(lotInfo:info)", "21000013570000000012_3")</f>
        <v/>
      </c>
      <c r="E561" t="inlineStr">
        <is>
          <t>нежилое помещение площадью 31,4 кв. м с кадастровым номером 73:24:030203:2523,  расположенное по адресу Ульяновская область, г. Ульяновск, Засвияжский район, ул. Артема, д. 7/59, помещение № 67</t>
        </is>
      </c>
      <c r="F561" s="3" t="inlineStr">
        <is>
          <t>14.09.22 13:00</t>
        </is>
      </c>
      <c r="G561" t="inlineStr">
        <is>
          <t>Ульяновская область, г. Ульяновск, Засвияжский район, ул. Артема, д. 7/59, помещение № 67</t>
        </is>
      </c>
      <c r="H561" s="4" t="n">
        <v>586848.08</v>
      </c>
      <c r="I561" s="4" t="n">
        <v>18689.42929936306</v>
      </c>
      <c r="J561" t="inlineStr">
        <is>
          <t>Нежилое помещение</t>
        </is>
      </c>
      <c r="K561" s="5" t="n">
        <v>6.86</v>
      </c>
      <c r="L561" s="4" t="n">
        <v>519.14</v>
      </c>
      <c r="M561" t="n">
        <v>2723</v>
      </c>
      <c r="N561" s="6" t="n">
        <v>650414</v>
      </c>
      <c r="O561" t="n">
        <v>36</v>
      </c>
      <c r="P561" s="21" t="n">
        <v>0.437511974256218</v>
      </c>
      <c r="Q561" t="inlineStr">
        <is>
          <t>EA</t>
        </is>
      </c>
      <c r="R561" t="inlineStr">
        <is>
          <t>М</t>
        </is>
      </c>
      <c r="S561" s="2">
        <f>HYPERLINK("https://yandex.ru/maps/?&amp;text=54.314869, 48.364684", "54.314869, 48.364684")</f>
        <v/>
      </c>
      <c r="T561" s="2">
        <f>HYPERLINK("D:\venv_torgi\env\cache\objs_in_district/54.314869_48.364684.json", "54.314869_48.364684.json")</f>
        <v/>
      </c>
      <c r="U561" t="inlineStr">
        <is>
          <t xml:space="preserve">73:24:030203:2523,  </t>
        </is>
      </c>
      <c r="W561" s="20" t="n">
        <v>26866.27840984939</v>
      </c>
      <c r="X561" s="22" t="n">
        <v>8176.849110486335</v>
      </c>
      <c r="Y561" t="n">
        <v>0</v>
      </c>
    </row>
    <row r="562">
      <c r="A562" s="8" t="n">
        <v>560</v>
      </c>
      <c r="B562" t="n">
        <v>73</v>
      </c>
      <c r="C562" s="1" t="n">
        <v>117.5</v>
      </c>
      <c r="D562" s="2">
        <f>HYPERLINK("https://torgi.gov.ru/new/public/lots/lot/21000013570000000013_7/(lotInfo:info)", "21000013570000000013_7")</f>
        <v/>
      </c>
      <c r="E562" t="inlineStr">
        <is>
          <t>помещения    площадью    40,7   кв.   м   с    кадастровым    номером 73:24:041901:558, расположенные по адресу Ульяновская область, г. Ульяновск, Ленинский район, ул. Дворцовая, зд. 3Б, помещения № 1, № 2 на        1 этаже; помещения площадью 76,8 кв. м с кадастровым номером 73:24:041901:559, расположенные по адресу Ульяновская область, г. Ульяновск, Ленинский район, ул. Дворцовая, зд. 3Б, помещения №№ 1-5 на          2 этаже</t>
        </is>
      </c>
      <c r="F562" s="3" t="inlineStr">
        <is>
          <t>14.09.22 13:00</t>
        </is>
      </c>
      <c r="G562" t="inlineStr">
        <is>
          <t>г Ульяновск, ул Дворцовая, зд 3Б</t>
        </is>
      </c>
      <c r="H562" s="4" t="n">
        <v>2890218.98</v>
      </c>
      <c r="I562" s="4" t="n">
        <v>24597.60834042553</v>
      </c>
      <c r="J562" t="inlineStr">
        <is>
          <t>Нежилое помещение</t>
        </is>
      </c>
      <c r="K562" s="5" t="n">
        <v>3.8</v>
      </c>
      <c r="L562" s="4" t="n">
        <v>71.70999999999999</v>
      </c>
      <c r="M562" t="n">
        <v>6477</v>
      </c>
      <c r="N562" s="6" t="n">
        <v>650414</v>
      </c>
      <c r="O562" t="n">
        <v>343</v>
      </c>
      <c r="P562" s="21" t="n">
        <v>0.09223132745370874</v>
      </c>
      <c r="Q562" t="inlineStr">
        <is>
          <t>EA</t>
        </is>
      </c>
      <c r="R562" t="inlineStr">
        <is>
          <t>М</t>
        </is>
      </c>
      <c r="S562" s="2">
        <f>HYPERLINK("https://yandex.ru/maps/?&amp;text=54.317936, 48.400123", "54.317936, 48.400123")</f>
        <v/>
      </c>
      <c r="T562" s="2">
        <f>HYPERLINK("D:\venv_torgi\env\cache\objs_in_district/54.317936_48.400123.json", "54.317936_48.400123.json")</f>
        <v/>
      </c>
      <c r="U562" t="inlineStr">
        <is>
          <t xml:space="preserve">73:24:041901:559, </t>
        </is>
      </c>
      <c r="V562" s="7" t="inlineStr">
        <is>
          <t>1</t>
        </is>
      </c>
      <c r="W562" s="20" t="n">
        <v>26866.27840984939</v>
      </c>
      <c r="X562" s="22" t="n">
        <v>2268.670069423864</v>
      </c>
      <c r="Y562" t="n">
        <v>0</v>
      </c>
    </row>
    <row r="563">
      <c r="A563" s="8" t="n">
        <v>561</v>
      </c>
      <c r="B563" t="n">
        <v>74</v>
      </c>
      <c r="C563" s="1" t="n">
        <v>337.1</v>
      </c>
      <c r="D563" s="2">
        <f>HYPERLINK("https://torgi.gov.ru/new/public/lots/lot/22000029200000000001_1/(lotInfo:info)", "22000029200000000001_1")</f>
        <v/>
      </c>
      <c r="E563" t="inlineStr">
        <is>
          <t>Нежилое здание-баня, расположенное по адресу: Челябинская обл., Октябрьский район, с. Октябрьское, ул. Комсомольская, д. 34Б, общей площадью 337,1 кв.м., с кадастровым номером 74:17:1004070:38(далее - «Объект») и земельный участок, на котором расположено нежилое здание, общей площадью 1246кв.м.,кадастровый номер 74:17:1004070:384, (далее - «Объект»)</t>
        </is>
      </c>
      <c r="F563" s="3" t="inlineStr">
        <is>
          <t>29.08.22 04:00</t>
        </is>
      </c>
      <c r="G563" t="inlineStr">
        <is>
          <t>Челябинская обл, село Октябрьское, ул Комсомольская, д 34б</t>
        </is>
      </c>
      <c r="H563" s="4" t="n">
        <v>576000</v>
      </c>
      <c r="I563" s="4" t="n">
        <v>1708.691782853753</v>
      </c>
      <c r="J563" t="inlineStr">
        <is>
          <t xml:space="preserve">здание-баня, </t>
        </is>
      </c>
      <c r="K563" s="5" t="n">
        <v>2.83</v>
      </c>
      <c r="L563" s="4" t="n">
        <v>1708</v>
      </c>
      <c r="M563" t="n">
        <v>603</v>
      </c>
      <c r="N563" s="6" t="n">
        <v>19623</v>
      </c>
      <c r="O563" t="n">
        <v>1</v>
      </c>
      <c r="P563" s="21" t="n">
        <v>1.630738925014483</v>
      </c>
      <c r="Q563" t="inlineStr">
        <is>
          <t>EA</t>
        </is>
      </c>
      <c r="R563" t="inlineStr">
        <is>
          <t>М</t>
        </is>
      </c>
      <c r="S563" s="2">
        <f>HYPERLINK("https://yandex.ru/maps/?&amp;text=54.40735, 62.736821", "54.40735, 62.736821")</f>
        <v/>
      </c>
      <c r="T563" s="2">
        <f>HYPERLINK("D:\venv_torgi\env\cache\objs_in_district/54.40735_62.736821.json", "54.40735_62.736821.json")</f>
        <v/>
      </c>
      <c r="U563" t="inlineStr">
        <is>
          <t>74:17:1004070:38</t>
        </is>
      </c>
      <c r="V563" s="7" t="inlineStr">
        <is>
          <t>1</t>
        </is>
      </c>
      <c r="W563" s="20" t="n">
        <v>4495.121984005761</v>
      </c>
      <c r="X563" s="22" t="n">
        <v>2786.430201152008</v>
      </c>
      <c r="Y563" t="n">
        <v>0</v>
      </c>
    </row>
    <row r="564">
      <c r="A564" s="8" t="n">
        <v>562</v>
      </c>
      <c r="B564" t="n">
        <v>74</v>
      </c>
      <c r="C564" s="1" t="n">
        <v>303.9</v>
      </c>
      <c r="D564" s="2">
        <f>HYPERLINK("https://torgi.gov.ru/new/public/lots/lot/22000072170000000004_1/(lotInfo:info)", "22000072170000000004_1")</f>
        <v/>
      </c>
      <c r="E564" t="inlineStr">
        <is>
          <t>Нежилое помещение № 1, площадью 303,9 кв.м., кадастровый номер: 74:24:0205037:75, расположенное по адресу: Челябинская область, Чесменский район, с.Чесма, ул.Ленина д.50</t>
        </is>
      </c>
      <c r="F564" s="3" t="inlineStr">
        <is>
          <t>05.09.22 05:00</t>
        </is>
      </c>
      <c r="G564" t="inlineStr">
        <is>
          <t>Челябинская обл, село Чесма, ул Ленина, д 50</t>
        </is>
      </c>
      <c r="H564" s="4" t="n">
        <v>526000</v>
      </c>
      <c r="I564" s="4" t="n">
        <v>1730.832510694308</v>
      </c>
      <c r="J564" t="inlineStr">
        <is>
          <t>Нежилое помещение</t>
        </is>
      </c>
      <c r="K564" s="5" t="n">
        <v>1.48</v>
      </c>
      <c r="L564" s="4" t="n">
        <v>173</v>
      </c>
      <c r="M564" t="n">
        <v>1170</v>
      </c>
      <c r="N564" s="6" t="n">
        <v>6334</v>
      </c>
      <c r="O564" t="n">
        <v>10</v>
      </c>
      <c r="P564" s="21" t="n">
        <v>4.88419536360028</v>
      </c>
      <c r="Q564" t="inlineStr">
        <is>
          <t>EA</t>
        </is>
      </c>
      <c r="R564" t="inlineStr">
        <is>
          <t>М</t>
        </is>
      </c>
      <c r="S564" s="2">
        <f>HYPERLINK("https://yandex.ru/maps/?&amp;text=53.813682, 60.655128", "53.813682, 60.655128")</f>
        <v/>
      </c>
      <c r="T564" s="2">
        <f>HYPERLINK("D:\venv_torgi\env\cache\objs_in_district/53.813682_60.655128.json", "53.813682_60.655128.json")</f>
        <v/>
      </c>
      <c r="U564" t="inlineStr">
        <is>
          <t xml:space="preserve">74:24:0205037:75, </t>
        </is>
      </c>
      <c r="W564" s="20" t="n">
        <v>10184.55663459608</v>
      </c>
      <c r="X564" s="22" t="n">
        <v>8453.724123901768</v>
      </c>
      <c r="Y564" t="n">
        <v>0</v>
      </c>
    </row>
    <row r="565">
      <c r="A565" s="8" t="n">
        <v>563</v>
      </c>
      <c r="B565" t="n">
        <v>74</v>
      </c>
      <c r="C565" s="1" t="n">
        <v>512</v>
      </c>
      <c r="D565" s="2">
        <f>HYPERLINK("https://torgi.gov.ru/new/public/lots/lot/22000063440000000002_1/(lotInfo:info)", "22000063440000000002_1")</f>
        <v/>
      </c>
      <c r="E565" t="inlineStr">
        <is>
          <t>нежилое помещение 000 003Адрес (местоположение) – Челябинская область, г. Трехгорный, ул. Карла Маркса, д. 19б, корп. 1, пом. 000 003.Кадастровый номер: 74:42:0103003:770Техническая характеристика: Назначение – нежилое помещение Фактическое использование – не используетсяПлощадь – 512,0  кв. метровЭтаж – №1, Этаж - №2Строительные характеристики (тип, материал, состояние):Наружные стены (материал)КирпичныеПерегородки (материал)КирпичныеПерекрытия (материал)Железобетонные плитыПолыЛинолеум, керамическая плитка, бетонная плитка Проемы оконныеДвойные деревянные рамы остекленныеПроемы дверныеПростыеОтделка потолковПобелкаВнутренняя отделка стенВодоэмульсионная, масляная окраска, глазурованная плитка, обои простыеСистемы инженерного обеспечения: электроснабжение, отопление, водоснабжение,  канализация.Состояние объекта удовлетворительное, эксплуатация возможна, но необходимо проведение текущего ремонта отделки.</t>
        </is>
      </c>
      <c r="F565" s="3" t="inlineStr">
        <is>
          <t>26.09.22 19:00</t>
        </is>
      </c>
      <c r="G565" t="inlineStr">
        <is>
          <t>Челябинская обл, г Трехгорный, ул Карла Маркса, д 19б к 1</t>
        </is>
      </c>
      <c r="H565" s="4" t="n">
        <v>1304000</v>
      </c>
      <c r="I565" s="4" t="n">
        <v>2546.875</v>
      </c>
      <c r="J565" t="inlineStr">
        <is>
          <t>Нежилое помещение</t>
        </is>
      </c>
      <c r="K565" s="5" t="n">
        <v>0.73</v>
      </c>
      <c r="L565" s="4" t="n">
        <v>28.29</v>
      </c>
      <c r="M565" t="n">
        <v>3486</v>
      </c>
      <c r="N565" s="6" t="n">
        <v>32355</v>
      </c>
      <c r="O565" t="n">
        <v>90</v>
      </c>
      <c r="P565" s="21" t="n">
        <v>1.976311455907795</v>
      </c>
      <c r="Q565" t="inlineStr">
        <is>
          <t>EA</t>
        </is>
      </c>
      <c r="R565" t="inlineStr">
        <is>
          <t>М</t>
        </is>
      </c>
      <c r="S565" s="2">
        <f>HYPERLINK("https://yandex.ru/maps/?&amp;text=54.817178, 58.446935", "54.817178, 58.446935")</f>
        <v/>
      </c>
      <c r="T565" s="2">
        <f>HYPERLINK("D:\venv_torgi\env\cache\objs_in_district/54.817178_58.446935.json", "54.817178_58.446935.json")</f>
        <v/>
      </c>
      <c r="U565" t="inlineStr">
        <is>
          <t>74:42:0103003:770</t>
        </is>
      </c>
      <c r="V565" s="7" t="inlineStr">
        <is>
          <t>1</t>
        </is>
      </c>
      <c r="W565" s="20" t="n">
        <v>7580.293239265166</v>
      </c>
      <c r="X565" s="22" t="n">
        <v>5033.418239265166</v>
      </c>
      <c r="Y565" t="n">
        <v>0</v>
      </c>
    </row>
    <row r="566">
      <c r="A566" s="8" t="n">
        <v>564</v>
      </c>
      <c r="B566" t="n">
        <v>74</v>
      </c>
      <c r="C566" s="1" t="n">
        <v>330.1</v>
      </c>
      <c r="D566" s="2">
        <f>HYPERLINK("https://torgi.gov.ru/new/public/lots/lot/22000054880000000003_1/(lotInfo:info)", "22000054880000000003_1")</f>
        <v/>
      </c>
      <c r="E566" t="inlineStr">
        <is>
          <t>Нежилое здание-котельная с оборудованием с земельным участком. Кадастровый номер здания: 74:12:1308007:39; кадастровый номер земельного участка: 74:12:1308003:559 .</t>
        </is>
      </c>
      <c r="F566" s="3" t="inlineStr">
        <is>
          <t>30.08.22 19:00</t>
        </is>
      </c>
      <c r="G566" t="inlineStr">
        <is>
          <t>Челябинская обл, Красноармейский р-н, тер. ДНТ Удачный (поселок Мирный), ул Луговая, д 92</t>
        </is>
      </c>
      <c r="H566" s="4" t="n">
        <v>1407750</v>
      </c>
      <c r="I566" s="4" t="n">
        <v>4264.616782793093</v>
      </c>
      <c r="J566" t="inlineStr">
        <is>
          <t>здание-</t>
        </is>
      </c>
      <c r="K566" s="5" t="n">
        <v>5.57</v>
      </c>
      <c r="L566" s="4" t="n">
        <v>328</v>
      </c>
      <c r="M566" t="n">
        <v>766</v>
      </c>
      <c r="O566" t="n">
        <v>13</v>
      </c>
      <c r="Q566" t="inlineStr">
        <is>
          <t>EA</t>
        </is>
      </c>
      <c r="R566" t="inlineStr">
        <is>
          <t>М</t>
        </is>
      </c>
      <c r="S566" s="2">
        <f>HYPERLINK("https://yandex.ru/maps/?&amp;text=55.251501, 61.733753", "55.251501, 61.733753")</f>
        <v/>
      </c>
      <c r="T566" s="2">
        <f>HYPERLINK("D:\venv_torgi\env\cache\objs_in_district/55.251501_61.733753.json", "55.251501_61.733753.json")</f>
        <v/>
      </c>
      <c r="U566" t="inlineStr">
        <is>
          <t>74:12:1308007:39</t>
        </is>
      </c>
      <c r="V566" s="7" t="inlineStr">
        <is>
          <t>1</t>
        </is>
      </c>
      <c r="Y566" t="n">
        <v>0</v>
      </c>
    </row>
    <row r="567">
      <c r="A567" s="8" t="n">
        <v>565</v>
      </c>
      <c r="B567" t="n">
        <v>74</v>
      </c>
      <c r="C567" s="1" t="n">
        <v>158.6</v>
      </c>
      <c r="D567" s="2">
        <f>HYPERLINK("https://torgi.gov.ru/new/public/lots/lot/21000027850000000020_1/(lotInfo:info)", "21000027850000000020_1")</f>
        <v/>
      </c>
      <c r="E567" t="inlineStr">
        <is>
          <t>Нежилое помещение №2, общей площадью 158,6 (сто пятьдесят восемь целых шесть десятых) кв. метров, расположенное по адресу: Челябинская область, Саткинский район, г. Бакал, ул. Титова, д.11, этаж цоколь, кадастровый номер 74:18:1002093:1127Состояние неудовлетворительное.</t>
        </is>
      </c>
      <c r="F567" s="3" t="inlineStr">
        <is>
          <t>05.09.22 09:00</t>
        </is>
      </c>
      <c r="G567" t="inlineStr">
        <is>
          <t>Челябинская обл, Саткинский р-н, г Бакал, ул Титова, д 11</t>
        </is>
      </c>
      <c r="H567" s="4" t="n">
        <v>849000</v>
      </c>
      <c r="I567" s="4" t="n">
        <v>5353.089533417403</v>
      </c>
      <c r="J567" t="inlineStr">
        <is>
          <t>Нежилое помещение</t>
        </is>
      </c>
      <c r="K567" s="5" t="n">
        <v>1.75</v>
      </c>
      <c r="L567" s="4" t="n">
        <v>2676.5</v>
      </c>
      <c r="M567" t="n">
        <v>3057</v>
      </c>
      <c r="N567" s="6" t="n">
        <v>19590</v>
      </c>
      <c r="O567" t="n">
        <v>2</v>
      </c>
      <c r="P567" s="21" t="n">
        <v>4.018835990344068</v>
      </c>
      <c r="Q567" t="inlineStr">
        <is>
          <t>EA</t>
        </is>
      </c>
      <c r="R567" t="inlineStr">
        <is>
          <t>М</t>
        </is>
      </c>
      <c r="S567" s="2">
        <f>HYPERLINK("https://yandex.ru/maps/?&amp;text=54.944412, 58.804546", "54.944412, 58.804546")</f>
        <v/>
      </c>
      <c r="T567" s="2">
        <f>HYPERLINK("D:\venv_torgi\env\cache\objs_in_district/54.944412_58.804546.json", "54.944412_58.804546.json")</f>
        <v/>
      </c>
      <c r="U567" t="inlineStr">
        <is>
          <t>74:18:1002093:1127</t>
        </is>
      </c>
      <c r="V567" s="7" t="inlineStr">
        <is>
          <t>0</t>
        </is>
      </c>
      <c r="W567" s="20" t="n">
        <v>26866.27840984939</v>
      </c>
      <c r="X567" s="22" t="n">
        <v>21513.18887643199</v>
      </c>
      <c r="Y567" t="n">
        <v>0</v>
      </c>
    </row>
    <row r="568">
      <c r="A568" s="8" t="n">
        <v>566</v>
      </c>
      <c r="B568" t="n">
        <v>74</v>
      </c>
      <c r="C568" s="1" t="n">
        <v>178.7</v>
      </c>
      <c r="D568" s="2">
        <f>HYPERLINK("https://torgi.gov.ru/new/public/lots/lot/22000022920000000049_1/(lotInfo:info)", "22000022920000000049_1")</f>
        <v/>
      </c>
      <c r="E568" t="inlineStr">
        <is>
          <t>нежилое помещение №1 с кадастровым номером 74:33:1328002:146, площадью 178,7 кв.м., по адресу: Россия, Челябинская область, город Магнитогорск, улица Маяковского, дом 19, корпус 1.</t>
        </is>
      </c>
      <c r="F568" s="3" t="inlineStr">
        <is>
          <t>29.08.22 12:00</t>
        </is>
      </c>
      <c r="G568" t="inlineStr">
        <is>
          <t>Челябинская обл, г Магнитогорск, ул Маяковского, д 19 к 1</t>
        </is>
      </c>
      <c r="H568" s="4" t="n">
        <v>1668000</v>
      </c>
      <c r="I568" s="4" t="n">
        <v>9334.079462786794</v>
      </c>
      <c r="J568" t="inlineStr">
        <is>
          <t>Нежилое помещение</t>
        </is>
      </c>
      <c r="K568" s="5" t="n">
        <v>3.75</v>
      </c>
      <c r="L568" s="4" t="n">
        <v>1037.11</v>
      </c>
      <c r="M568" t="n">
        <v>2492</v>
      </c>
      <c r="N568" s="6" t="n">
        <v>418241</v>
      </c>
      <c r="O568" t="n">
        <v>9</v>
      </c>
      <c r="P568" s="21" t="n">
        <v>0.09111527014527494</v>
      </c>
      <c r="Q568" t="inlineStr">
        <is>
          <t>EA</t>
        </is>
      </c>
      <c r="R568" t="inlineStr">
        <is>
          <t>М</t>
        </is>
      </c>
      <c r="S568" s="2">
        <f>HYPERLINK("https://yandex.ru/maps/?&amp;text=53.392828, 59.058705", "53.392828, 59.058705")</f>
        <v/>
      </c>
      <c r="T568" s="2">
        <f>HYPERLINK("D:\venv_torgi\env\cache\objs_in_district/53.392828_59.058705.json", "53.392828_59.058705.json")</f>
        <v/>
      </c>
      <c r="U568" t="inlineStr">
        <is>
          <t xml:space="preserve">74:33:1328002:146, </t>
        </is>
      </c>
      <c r="W568" s="20" t="n">
        <v>10184.55663459608</v>
      </c>
      <c r="X568" s="22" t="n">
        <v>850.4771718092816</v>
      </c>
      <c r="Y568" t="n">
        <v>0</v>
      </c>
    </row>
    <row r="569">
      <c r="A569" s="8" t="n">
        <v>567</v>
      </c>
      <c r="B569" t="n">
        <v>74</v>
      </c>
      <c r="C569" s="1" t="n">
        <v>35.4</v>
      </c>
      <c r="D569" s="2">
        <f>HYPERLINK("https://torgi.gov.ru/new/public/lots/lot/22000089980000000016_1/(lotInfo:info)", "22000089980000000016_1")</f>
        <v/>
      </c>
      <c r="E569" t="inlineStr">
        <is>
          <t>Местонахождение Имущества: Челябинская обл., г. Миасс, п. Хребет, ул. Ленина, д.5, кв.2.Характеристика нежилого помещения:Общая площадь – 35,4 кв. метра.Кадастровый номер 74:34:0909002:79Этаж: 1Описание конструктивных элементов и технического состояния:Окна: деревянные двойного остекленияДвери внутренние: межкомнатные-филенчатые, входная-дощатаяОтопление: центральноеВодоснабжение: холодное, горячее-отсутствуетКанализация: отсутствуетЭлектрообеспечение: центральное от городских сетейГазоснабжение: отсутствуетСантехника: не установленаНазначение: нежилое помещениеТекущее использование: не используется.Состав объектов (недвижимого имущества), переданных в аренду (пользование, а также для осуществления совместной деятельности: краткосрочная аренда): нет.Ограничений, сервитутов и других неудобств в использовании – не зарегистрировано.Объекты, не подлежащие отчуждению - отсутствуют.</t>
        </is>
      </c>
      <c r="F569" s="3" t="inlineStr">
        <is>
          <t>16.09.22 11:00</t>
        </is>
      </c>
      <c r="G569" t="inlineStr">
        <is>
          <t>г. Миасс, п. Хребет, ул. Ленина, д.5, кв.2</t>
        </is>
      </c>
      <c r="H569" s="4" t="n">
        <v>382042</v>
      </c>
      <c r="I569" s="4" t="n">
        <v>10792.14689265537</v>
      </c>
      <c r="J569" t="inlineStr">
        <is>
          <t>Нежилое помещение</t>
        </is>
      </c>
      <c r="Q569" t="inlineStr">
        <is>
          <t>EA</t>
        </is>
      </c>
      <c r="R569" t="inlineStr">
        <is>
          <t>М</t>
        </is>
      </c>
      <c r="U569" t="inlineStr">
        <is>
          <t>74:34:0909002:79</t>
        </is>
      </c>
      <c r="V569" s="7" t="inlineStr">
        <is>
          <t>1</t>
        </is>
      </c>
      <c r="Y569" t="n">
        <v>0</v>
      </c>
    </row>
    <row r="570">
      <c r="A570" s="8" t="n">
        <v>568</v>
      </c>
      <c r="B570" t="n">
        <v>74</v>
      </c>
      <c r="C570" s="1" t="n">
        <v>17.8</v>
      </c>
      <c r="D570" s="2">
        <f>HYPERLINK("https://torgi.gov.ru/new/public/lots/lot/22000096950000000002_1/(lotInfo:info)", "22000096950000000002_1")</f>
        <v/>
      </c>
      <c r="E570" t="inlineStr">
        <is>
          <t>Нежилое помещение с кадастровым номером 74:43:0102002:3288, расположенное по адресу: Челябинская область, п. Локомотивный, ул. Ленина, д. 8, помещение 121, общей площадью 17,8 кв. м.,</t>
        </is>
      </c>
      <c r="F570" s="3" t="inlineStr">
        <is>
          <t>05.09.22 19:00</t>
        </is>
      </c>
      <c r="G570" t="inlineStr">
        <is>
          <t>г Москва, Локомотивный проезд</t>
        </is>
      </c>
      <c r="H570" s="4" t="n">
        <v>194000</v>
      </c>
      <c r="I570" s="4" t="n">
        <v>10898.87640449438</v>
      </c>
      <c r="J570" t="inlineStr">
        <is>
          <t>Нежилое помещение</t>
        </is>
      </c>
      <c r="K570" s="5" t="n">
        <v>1.21</v>
      </c>
      <c r="M570" t="n">
        <v>8973</v>
      </c>
      <c r="N570" s="6" t="n">
        <v>12380664</v>
      </c>
      <c r="Q570" t="inlineStr">
        <is>
          <t>EA</t>
        </is>
      </c>
      <c r="R570" t="inlineStr">
        <is>
          <t>М</t>
        </is>
      </c>
      <c r="S570" s="2">
        <f>HYPERLINK("https://yandex.ru/maps/?&amp;text=55.842625, 37.575477", "55.842625, 37.575477")</f>
        <v/>
      </c>
      <c r="U570" t="inlineStr">
        <is>
          <t xml:space="preserve">74:43:0102002:3288, </t>
        </is>
      </c>
      <c r="Y570" t="n">
        <v>0</v>
      </c>
    </row>
    <row r="571">
      <c r="A571" s="8" t="n">
        <v>569</v>
      </c>
      <c r="B571" t="n">
        <v>74</v>
      </c>
      <c r="C571" s="1" t="n">
        <v>94.90000000000001</v>
      </c>
      <c r="D571" s="2">
        <f>HYPERLINK("https://torgi.gov.ru/new/public/lots/lot/22000022920000000048_1/(lotInfo:info)", "22000022920000000048_1")</f>
        <v/>
      </c>
      <c r="E571" t="inlineStr">
        <is>
          <t>нежилое помещение №3 с кадастровым номером 74:33:1328003:461, площадью 94,9 кв.м., по адресу: Россия, Челябинская область, город Магнитогорск, улица Пионерская, дом 32.</t>
        </is>
      </c>
      <c r="F571" s="3" t="inlineStr">
        <is>
          <t>29.08.22 12:00</t>
        </is>
      </c>
      <c r="G571" t="inlineStr">
        <is>
          <t>Челябинская обл, г Магнитогорск, ул Пионерская, д 32</t>
        </is>
      </c>
      <c r="H571" s="4" t="n">
        <v>1132800</v>
      </c>
      <c r="I571" s="4" t="n">
        <v>11936.77555321391</v>
      </c>
      <c r="J571" t="inlineStr">
        <is>
          <t>Нежилое помещение</t>
        </is>
      </c>
      <c r="K571" s="5" t="n">
        <v>4.07</v>
      </c>
      <c r="L571" s="4" t="n">
        <v>1085.09</v>
      </c>
      <c r="M571" t="n">
        <v>2931</v>
      </c>
      <c r="N571" s="6" t="n">
        <v>418241</v>
      </c>
      <c r="O571" t="n">
        <v>11</v>
      </c>
      <c r="P571" s="21" t="n">
        <v>1.250714884440949</v>
      </c>
      <c r="Q571" t="inlineStr">
        <is>
          <t>EA</t>
        </is>
      </c>
      <c r="R571" t="inlineStr">
        <is>
          <t>М</t>
        </is>
      </c>
      <c r="S571" s="2">
        <f>HYPERLINK("https://yandex.ru/maps/?&amp;text=53.389946, 59.058994", "53.389946, 59.058994")</f>
        <v/>
      </c>
      <c r="T571" s="2">
        <f>HYPERLINK("D:\venv_torgi\env\cache\objs_in_district/53.389946_59.058994.json", "53.389946_59.058994.json")</f>
        <v/>
      </c>
      <c r="U571" t="inlineStr">
        <is>
          <t xml:space="preserve">74:33:1328003:461, </t>
        </is>
      </c>
      <c r="W571" s="20" t="n">
        <v>26866.27840984939</v>
      </c>
      <c r="X571" s="22" t="n">
        <v>14929.50285663548</v>
      </c>
      <c r="Y571" t="n">
        <v>0</v>
      </c>
    </row>
    <row r="572">
      <c r="A572" s="8" t="n">
        <v>570</v>
      </c>
      <c r="B572" t="n">
        <v>74</v>
      </c>
      <c r="C572" s="1" t="n">
        <v>251.2</v>
      </c>
      <c r="D572" s="2">
        <f>HYPERLINK("https://torgi.gov.ru/new/public/lots/lot/22000134530000000002_1/(lotInfo:info)", "22000134530000000002_1")</f>
        <v/>
      </c>
      <c r="E572" t="inlineStr">
        <is>
          <t>нежилое помещение,  площадью 251,2 кв.м., этаж:1, расположенное по адресу: Россия, Челябинская  область, г. Златоуст, ул. 1я Нижне-Заводская д.42, кадастровый номер: 74:25:0303203:650</t>
        </is>
      </c>
      <c r="F572" s="3" t="inlineStr">
        <is>
          <t>07.09.22 04:00</t>
        </is>
      </c>
      <c r="G572" t="inlineStr">
        <is>
          <t>Челябинская обл, г Златоуст, ул Нижне-Заводская 1-я, д 42</t>
        </is>
      </c>
      <c r="H572" s="4" t="n">
        <v>3606000</v>
      </c>
      <c r="I572" s="4" t="n">
        <v>14355.09554140128</v>
      </c>
      <c r="J572" t="inlineStr">
        <is>
          <t>Нежилое помещение</t>
        </is>
      </c>
      <c r="K572" s="5" t="n">
        <v>4.75</v>
      </c>
      <c r="L572" s="4" t="n">
        <v>1025.36</v>
      </c>
      <c r="M572" t="n">
        <v>3020</v>
      </c>
      <c r="N572" s="6" t="n">
        <v>167978</v>
      </c>
      <c r="O572" t="n">
        <v>14</v>
      </c>
      <c r="P572" s="21" t="n">
        <v>0.1827340181444473</v>
      </c>
      <c r="Q572" t="inlineStr">
        <is>
          <t>EA</t>
        </is>
      </c>
      <c r="R572" t="inlineStr">
        <is>
          <t>М</t>
        </is>
      </c>
      <c r="S572" s="2">
        <f>HYPERLINK("https://yandex.ru/maps/?&amp;text=55.17931, 59.65181", "55.17931, 59.65181")</f>
        <v/>
      </c>
      <c r="T572" s="2">
        <f>HYPERLINK("D:\venv_torgi\env\cache\objs_in_district/55.17931_59.65181.json", "55.17931_59.65181.json")</f>
        <v/>
      </c>
      <c r="U572" t="inlineStr">
        <is>
          <t>74:25:0303203:650</t>
        </is>
      </c>
      <c r="V572" s="7" t="inlineStr">
        <is>
          <t>1</t>
        </is>
      </c>
      <c r="W572" s="20" t="n">
        <v>16978.25983052898</v>
      </c>
      <c r="X572" s="22" t="n">
        <v>2623.164289127695</v>
      </c>
      <c r="Y572" t="n">
        <v>0</v>
      </c>
    </row>
    <row r="573">
      <c r="A573" s="8" t="n">
        <v>571</v>
      </c>
      <c r="B573" t="n">
        <v>74</v>
      </c>
      <c r="C573" s="1" t="n">
        <v>33.6</v>
      </c>
      <c r="D573" s="2">
        <f>HYPERLINK("https://torgi.gov.ru/new/public/lots/lot/21000018330000000014_1/(lotInfo:info)", "21000018330000000014_1")</f>
        <v/>
      </c>
      <c r="E573" t="inlineStr">
        <is>
          <t>нежилое помещение, назначение: нежилое, общей площадью 33,6 кв.м., этаж № 01, с кадастровым номером: 74:30:0201006:266, расположенное по адресу: Россия, Челябинская область, г. Копейск, ул. Курская, д.2А</t>
        </is>
      </c>
      <c r="F573" s="3" t="inlineStr">
        <is>
          <t>29.08.22 06:00</t>
        </is>
      </c>
      <c r="G573" t="inlineStr">
        <is>
          <t>Челябинская обл, г Копейск, ул Курская, д 2А</t>
        </is>
      </c>
      <c r="H573" s="4" t="n">
        <v>504000</v>
      </c>
      <c r="I573" s="4" t="n">
        <v>15000</v>
      </c>
      <c r="J573" t="inlineStr">
        <is>
          <t>Нежилое помещение</t>
        </is>
      </c>
      <c r="K573" s="5" t="n">
        <v>18.5</v>
      </c>
      <c r="L573" s="4" t="n">
        <v>3750</v>
      </c>
      <c r="M573" t="n">
        <v>811</v>
      </c>
      <c r="N573" s="6" t="n">
        <v>147573</v>
      </c>
      <c r="O573" t="n">
        <v>4</v>
      </c>
      <c r="P573" s="21" t="n">
        <v>0.7333271448406187</v>
      </c>
      <c r="Q573" t="inlineStr">
        <is>
          <t>EA</t>
        </is>
      </c>
      <c r="R573" t="inlineStr">
        <is>
          <t>М</t>
        </is>
      </c>
      <c r="S573" s="2">
        <f>HYPERLINK("https://yandex.ru/maps/?&amp;text=55.22925, 61.715572", "55.22925, 61.715572")</f>
        <v/>
      </c>
      <c r="T573" s="2">
        <f>HYPERLINK("D:\venv_torgi\env\cache\objs_in_district/55.22925_61.715572.json", "55.22925_61.715572.json")</f>
        <v/>
      </c>
      <c r="U573" t="inlineStr">
        <is>
          <t xml:space="preserve">74:30:0201006:266, </t>
        </is>
      </c>
      <c r="V573" s="7" t="inlineStr">
        <is>
          <t>1</t>
        </is>
      </c>
      <c r="W573" s="20" t="n">
        <v>25999.90717260928</v>
      </c>
      <c r="X573" s="22" t="n">
        <v>10999.90717260928</v>
      </c>
      <c r="Y573" t="n">
        <v>0</v>
      </c>
    </row>
    <row r="574">
      <c r="A574" s="8" t="n">
        <v>572</v>
      </c>
      <c r="B574" t="n">
        <v>74</v>
      </c>
      <c r="C574" s="1" t="n">
        <v>95.2</v>
      </c>
      <c r="D574" s="2">
        <f>HYPERLINK("https://torgi.gov.ru/new/public/lots/lot/22000022920000000046_1/(lotInfo:info)", "22000022920000000046_1")</f>
        <v/>
      </c>
      <c r="E574" t="inlineStr">
        <is>
          <t>нежилое помещение №3 с кадастровым номером 74:33:0307001:4846, площадью 95,2 кв.м., по адресу: Россия, Челябинская область, город Магнитогорск, улица Тевосяна, дом 17, корпус1.</t>
        </is>
      </c>
      <c r="F574" s="3" t="inlineStr">
        <is>
          <t>29.08.22 12:00</t>
        </is>
      </c>
      <c r="G574" t="inlineStr">
        <is>
          <t>Челябинская обл, г Магнитогорск, ул Тевосяна, д 17</t>
        </is>
      </c>
      <c r="H574" s="4" t="n">
        <v>1607300</v>
      </c>
      <c r="I574" s="4" t="n">
        <v>16883.40336134454</v>
      </c>
      <c r="J574" t="inlineStr">
        <is>
          <t>Нежилое помещение</t>
        </is>
      </c>
      <c r="K574" s="5" t="n">
        <v>4.53</v>
      </c>
      <c r="L574" s="4" t="n">
        <v>703.46</v>
      </c>
      <c r="M574" t="n">
        <v>3726</v>
      </c>
      <c r="N574" s="6" t="n">
        <v>418241</v>
      </c>
      <c r="O574" t="n">
        <v>24</v>
      </c>
      <c r="P574" s="21" t="n">
        <v>0.5912833351693288</v>
      </c>
      <c r="Q574" t="inlineStr">
        <is>
          <t>EA</t>
        </is>
      </c>
      <c r="R574" t="inlineStr">
        <is>
          <t>М</t>
        </is>
      </c>
      <c r="S574" s="2">
        <f>HYPERLINK("https://yandex.ru/maps/?&amp;text=53.358695, 58.951878", "53.358695, 58.951878")</f>
        <v/>
      </c>
      <c r="T574" s="2">
        <f>HYPERLINK("D:\venv_torgi\env\cache\objs_in_district/53.358695_58.951878.json", "53.358695_58.951878.json")</f>
        <v/>
      </c>
      <c r="U574" t="inlineStr">
        <is>
          <t xml:space="preserve">74:33:0307001:4846, </t>
        </is>
      </c>
      <c r="W574" s="20" t="n">
        <v>26866.27840984939</v>
      </c>
      <c r="X574" s="22" t="n">
        <v>9982.875048504855</v>
      </c>
      <c r="Y574" t="n">
        <v>0</v>
      </c>
    </row>
    <row r="575">
      <c r="A575" s="8" t="n">
        <v>573</v>
      </c>
      <c r="B575" t="n">
        <v>74</v>
      </c>
      <c r="C575" s="1" t="n">
        <v>237.7</v>
      </c>
      <c r="D575" s="2">
        <f>HYPERLINK("https://torgi.gov.ru/new/public/lots/lot/21000017550000000045_1/(lotInfo:info)", "21000017550000000045_1")</f>
        <v/>
      </c>
      <c r="E575" t="inlineStr">
        <is>
          <t>Наименование:Нежилое помещение № 2 – пожарное депо, расположенное по адресу: Челябинская область,                      г. Усть-Катав, ул. Заводская, д. 1, пом. 2Номер РФИ:П13740000355Кадастровый номер:74:39:0306001:256Площадь объекта (кв. м.):237,7Назначение:Нежилое помещение Количество этажей, в том числе подземных этажей:2 этажПраво:Собственность РФ. Запись регистрации в ЕГРН от 24.04.2008 № 74-74-39/001/2008-136Обременения:ОтсутствуютОКН:Как ОКН не зарегистрированМЧС:Как объект ГО не числится</t>
        </is>
      </c>
      <c r="F575" s="3" t="inlineStr">
        <is>
          <t>05.09.22 13:00</t>
        </is>
      </c>
      <c r="G575" t="inlineStr">
        <is>
          <t>Челябинская обл, г Усть-Катав, ул Заводская, д 1</t>
        </is>
      </c>
      <c r="H575" s="4" t="n">
        <v>4157000</v>
      </c>
      <c r="I575" s="4" t="n">
        <v>17488.4307951199</v>
      </c>
      <c r="J575" t="inlineStr">
        <is>
          <t>Нежилое помещение</t>
        </is>
      </c>
      <c r="K575" s="5" t="n">
        <v>11.12</v>
      </c>
      <c r="L575" s="10" t="n"/>
      <c r="M575" t="n">
        <v>1572</v>
      </c>
      <c r="N575" s="6" t="n">
        <v>22536</v>
      </c>
      <c r="O575" t="inlineStr">
        <is>
          <t>0</t>
        </is>
      </c>
      <c r="Q575" t="inlineStr">
        <is>
          <t>EA</t>
        </is>
      </c>
      <c r="R575" t="inlineStr">
        <is>
          <t>М</t>
        </is>
      </c>
      <c r="S575" s="2">
        <f>HYPERLINK("https://yandex.ru/maps/?&amp;text=54.935209, 58.161585", "54.935209, 58.161585")</f>
        <v/>
      </c>
      <c r="T575" s="11">
        <f>HYPERLINK("D:\venv_torgi\env\cache\objs_in_district/54.935209_58.161585.json", "54.935209_58.161585.json")</f>
        <v/>
      </c>
      <c r="U575" t="inlineStr">
        <is>
          <t>74:39:0306001:256</t>
        </is>
      </c>
      <c r="V575" s="7" t="inlineStr">
        <is>
          <t>2</t>
        </is>
      </c>
      <c r="W575" s="20" t="n">
        <v>10184.55663459608</v>
      </c>
      <c r="X575" s="23" t="n">
        <v>-7303.874160523825</v>
      </c>
      <c r="Y575" t="n">
        <v>0</v>
      </c>
    </row>
    <row r="576">
      <c r="A576" s="8" t="n">
        <v>574</v>
      </c>
      <c r="B576" t="n">
        <v>74</v>
      </c>
      <c r="C576" s="1" t="n">
        <v>62.1</v>
      </c>
      <c r="D576" s="2">
        <f>HYPERLINK("https://torgi.gov.ru/new/public/lots/lot/21000025910000000001_1/(lotInfo:info)", "21000025910000000001_1")</f>
        <v/>
      </c>
      <c r="E576" t="inlineStr">
        <is>
          <t>Нежилое  помещение № 8 общей площадью 61,2 кв.м, кадастровый номер 74:31:0110002:180,  расположенное по адресу: Челябинская область, город Коркино, проспект Горняков, дом 11.Наличие инженерных коммуникаций – центральное отопление, теплоснабжение, водоснабжение, электроснабжение, канализация, вентиляция. Общее техническое состояние  - удовлетворительное. Ограничений, сервитутов и других неудобств в использовании – не зарегистрировано.</t>
        </is>
      </c>
      <c r="F576" s="3" t="inlineStr">
        <is>
          <t>06.09.22 12:00</t>
        </is>
      </c>
      <c r="G576" t="inlineStr">
        <is>
          <t>Челябинская обл, г Коркино, пр-кт Горняков, д 11</t>
        </is>
      </c>
      <c r="H576" s="4" t="n">
        <v>1165800</v>
      </c>
      <c r="I576" s="4" t="n">
        <v>18772.94685990338</v>
      </c>
      <c r="J576" t="inlineStr">
        <is>
          <t>Нежилое помещение</t>
        </is>
      </c>
      <c r="K576" s="5" t="n">
        <v>3.9</v>
      </c>
      <c r="L576" s="4" t="n">
        <v>318.17</v>
      </c>
      <c r="M576" t="n">
        <v>4813</v>
      </c>
      <c r="N576" s="6" t="n">
        <v>34967</v>
      </c>
      <c r="O576" t="n">
        <v>59</v>
      </c>
      <c r="P576" s="21" t="n">
        <v>0.4311167346471501</v>
      </c>
      <c r="Q576" t="inlineStr">
        <is>
          <t>EA</t>
        </is>
      </c>
      <c r="R576" t="inlineStr">
        <is>
          <t>М</t>
        </is>
      </c>
      <c r="S576" s="2">
        <f>HYPERLINK("https://yandex.ru/maps/?&amp;text=54.89293, 61.409004", "54.89293, 61.409004")</f>
        <v/>
      </c>
      <c r="T576" s="2">
        <f>HYPERLINK("D:\venv_torgi\env\cache\objs_in_district/54.89293_61.409004.json", "54.89293_61.409004.json")</f>
        <v/>
      </c>
      <c r="U576" t="inlineStr">
        <is>
          <t xml:space="preserve">74:31:0110002:180,  </t>
        </is>
      </c>
      <c r="W576" s="20" t="n">
        <v>26866.27840984939</v>
      </c>
      <c r="X576" s="22" t="n">
        <v>8093.331549946015</v>
      </c>
      <c r="Y576" t="n">
        <v>0</v>
      </c>
    </row>
    <row r="577">
      <c r="A577" s="8" t="n">
        <v>575</v>
      </c>
      <c r="B577" t="n">
        <v>74</v>
      </c>
      <c r="C577" s="1" t="n">
        <v>130</v>
      </c>
      <c r="D577" s="2">
        <f>HYPERLINK("https://torgi.gov.ru/new/public/lots/lot/22000022920000000047_1/(lotInfo:info)", "22000022920000000047_1")</f>
        <v/>
      </c>
      <c r="E577" t="inlineStr">
        <is>
          <t>нежилое помещение №8 с кадастровым номером 74:33:0316002:1546, площадью 130,0 кв.м., по адресу: Россия, Челябинская область, город Магнитогорск, улица Набережная, дом 20.</t>
        </is>
      </c>
      <c r="F577" s="3" t="inlineStr">
        <is>
          <t>29.08.22 12:00</t>
        </is>
      </c>
      <c r="G577" t="inlineStr">
        <is>
          <t>Челябинская область, город Магнитогорск, улица Набережная, дом 20</t>
        </is>
      </c>
      <c r="H577" s="4" t="n">
        <v>2597100</v>
      </c>
      <c r="I577" s="4" t="n">
        <v>19977.69230769231</v>
      </c>
      <c r="J577" t="inlineStr">
        <is>
          <t>Нежилое помещение</t>
        </is>
      </c>
      <c r="K577" s="5" t="n">
        <v>4.12</v>
      </c>
      <c r="L577" s="4" t="n">
        <v>475.64</v>
      </c>
      <c r="M577" t="n">
        <v>4849</v>
      </c>
      <c r="N577" s="6" t="n">
        <v>418241</v>
      </c>
      <c r="O577" t="n">
        <v>42</v>
      </c>
      <c r="P577" s="21" t="n">
        <v>0.3448139052329218</v>
      </c>
      <c r="Q577" t="inlineStr">
        <is>
          <t>EA</t>
        </is>
      </c>
      <c r="R577" t="inlineStr">
        <is>
          <t>М</t>
        </is>
      </c>
      <c r="S577" s="2">
        <f>HYPERLINK("https://yandex.ru/maps/?&amp;text=53.413776, 58.996641", "53.413776, 58.996641")</f>
        <v/>
      </c>
      <c r="T577" s="2">
        <f>HYPERLINK("D:\venv_torgi\env\cache\objs_in_district/53.413776_58.996641.json", "53.413776_58.996641.json")</f>
        <v/>
      </c>
      <c r="U577" t="inlineStr">
        <is>
          <t xml:space="preserve">74:33:0316002:1546, </t>
        </is>
      </c>
      <c r="W577" s="20" t="n">
        <v>26866.27840984939</v>
      </c>
      <c r="X577" s="22" t="n">
        <v>6888.586102157085</v>
      </c>
      <c r="Y577" t="n">
        <v>0</v>
      </c>
    </row>
    <row r="578">
      <c r="A578" s="8" t="n">
        <v>576</v>
      </c>
      <c r="B578" t="n">
        <v>74</v>
      </c>
      <c r="C578" s="1" t="n">
        <v>261.2</v>
      </c>
      <c r="D578" s="2">
        <f>HYPERLINK("https://torgi.gov.ru/new/public/lots/lot/22000051040000000012_1/(lotInfo:info)", "22000051040000000012_1")</f>
        <v/>
      </c>
      <c r="E578" t="inlineStr">
        <is>
          <t>Наименование Имущества – нежилое помещение 000 004Кадастровый номер – 74:42:0103001:1623Адрес (местоположение) – Челябинская область, г. Трехгорный, ул. Карла Маркса,       д. 58, помещение № 000 004.Техническая характеристика:Назначение – нежилоеФактическое использование – не используетсяПлощадь – 261,2 кв. м Этаж № 1 Год ввода в эксплуатацию 1972Строительные характеристики:Наружные стены (материал)Кирпичные, облицовка – профилированная жестьПерегородки (материал)Кирпичные, гипсобетонныеПерекрытия Железобетонные плитыПолыБетонные, линолеум, керамическая плитка Дверные проемы Простые, улучшенного качества Оконные проемыПВХВнутренняя отделкаМасляная окраска, обои, керамическая плитка, побелка. Требуется косметический ремонт.Системы инженерного обеспечения: электроснабжение, отопление, водоснабжение,  канализация. Состояние удовлетворительное.</t>
        </is>
      </c>
      <c r="F578" s="3" t="inlineStr">
        <is>
          <t>14.09.22 07:00</t>
        </is>
      </c>
      <c r="G578" t="inlineStr">
        <is>
          <t>Челябинская область, г. Трехгорный, ул. Карла Маркса,  д. 58, помещение № 000 004.</t>
        </is>
      </c>
      <c r="H578" s="4" t="n">
        <v>5800000</v>
      </c>
      <c r="I578" s="4" t="n">
        <v>22205.2067381317</v>
      </c>
      <c r="J578" t="inlineStr">
        <is>
          <t>Нежилое помещение</t>
        </is>
      </c>
      <c r="K578" s="5" t="n">
        <v>6.3</v>
      </c>
      <c r="L578" s="4" t="n">
        <v>504.66</v>
      </c>
      <c r="M578" t="n">
        <v>3522</v>
      </c>
      <c r="N578" s="6" t="n">
        <v>32355</v>
      </c>
      <c r="O578" t="n">
        <v>44</v>
      </c>
      <c r="Q578" t="inlineStr">
        <is>
          <t>EA</t>
        </is>
      </c>
      <c r="R578" t="inlineStr">
        <is>
          <t>М</t>
        </is>
      </c>
      <c r="S578" s="2">
        <f>HYPERLINK("https://yandex.ru/maps/?&amp;text=54.817137, 58.43417", "54.817137, 58.43417")</f>
        <v/>
      </c>
      <c r="T578" s="2">
        <f>HYPERLINK("D:\venv_torgi\env\cache\objs_in_district/54.817137_58.43417.json", "54.817137_58.43417.json")</f>
        <v/>
      </c>
      <c r="U578" t="inlineStr">
        <is>
          <t>74:42:0103001:1623</t>
        </is>
      </c>
      <c r="V578" s="7" t="inlineStr">
        <is>
          <t>1</t>
        </is>
      </c>
      <c r="W578" s="20" t="n">
        <v>16978.25983052898</v>
      </c>
      <c r="X578" s="23" t="n">
        <v>-5226.946907602724</v>
      </c>
      <c r="Y578" t="n">
        <v>0</v>
      </c>
    </row>
    <row r="579">
      <c r="A579" s="8" t="n">
        <v>577</v>
      </c>
      <c r="B579" t="n">
        <v>74</v>
      </c>
      <c r="C579" s="1" t="n">
        <v>20</v>
      </c>
      <c r="D579" s="2">
        <f>HYPERLINK("https://torgi.gov.ru/new/public/lots/lot/22000022920000000050_1/(lotInfo:info)", "22000022920000000050_1")</f>
        <v/>
      </c>
      <c r="E579" t="inlineStr">
        <is>
          <t>нежилое помещение №1 с кадастровым номером 74:33:0213002:3787, площадью 20,0 кв.м., по адресу: Россия, Челябинская область, город Магнитогорск, проспект Ленина, дом 91, корпус 1.</t>
        </is>
      </c>
      <c r="F579" s="3" t="inlineStr">
        <is>
          <t>29.08.22 12:00</t>
        </is>
      </c>
      <c r="G579" t="inlineStr">
        <is>
          <t>Челябинская обл, г Магнитогорск, пр-кт Ленина, д 91 к 1</t>
        </is>
      </c>
      <c r="H579" s="4" t="n">
        <v>602000</v>
      </c>
      <c r="I579" s="4" t="n">
        <v>30100</v>
      </c>
      <c r="J579" t="inlineStr">
        <is>
          <t>Нежилое помещение</t>
        </is>
      </c>
      <c r="K579" s="5" t="n">
        <v>3.85</v>
      </c>
      <c r="L579" s="4" t="n">
        <v>836.11</v>
      </c>
      <c r="M579" t="n">
        <v>7824</v>
      </c>
      <c r="N579" s="6" t="n">
        <v>418241</v>
      </c>
      <c r="O579" t="n">
        <v>36</v>
      </c>
      <c r="P579" s="21" t="n">
        <v>0.2832887725143586</v>
      </c>
      <c r="Q579" t="inlineStr">
        <is>
          <t>EA</t>
        </is>
      </c>
      <c r="R579" t="inlineStr">
        <is>
          <t>М</t>
        </is>
      </c>
      <c r="S579" s="2">
        <f>HYPERLINK("https://yandex.ru/maps/?&amp;text=53.39358, 58.98825", "53.39358, 58.98825")</f>
        <v/>
      </c>
      <c r="T579" s="2">
        <f>HYPERLINK("D:\venv_torgi\env\cache\objs_in_district/53.39358_58.98825.json", "53.39358_58.98825.json")</f>
        <v/>
      </c>
      <c r="U579" t="inlineStr">
        <is>
          <t xml:space="preserve">74:33:0213002:3787, </t>
        </is>
      </c>
      <c r="W579" s="20" t="n">
        <v>38626.9920526822</v>
      </c>
      <c r="X579" s="22" t="n">
        <v>8526.992052682195</v>
      </c>
      <c r="Y579" t="n">
        <v>0</v>
      </c>
    </row>
    <row r="580">
      <c r="A580" s="8" t="n">
        <v>578</v>
      </c>
      <c r="B580" t="n">
        <v>74</v>
      </c>
      <c r="C580" s="1" t="n">
        <v>91.09999999999999</v>
      </c>
      <c r="D580" s="2">
        <f>HYPERLINK("https://torgi.gov.ru/new/public/lots/lot/22000110450000000003_1/(lotInfo:info)", "22000110450000000003_1")</f>
        <v/>
      </c>
      <c r="E580" t="inlineStr">
        <is>
          <t>нежилое помещение, назначение: нежилое, общей площадью 91,10 кв.м., этаж № 01, с кадастровым номером: 74:30:0104007:3297, расположенное по адресу: Россия, Челябинская область, г. Копейск, пр-т Коммунистический,13, помещение 4Подробное описание указано в аукционной документации</t>
        </is>
      </c>
      <c r="F580" s="3" t="inlineStr">
        <is>
          <t>12.09.22 05:00</t>
        </is>
      </c>
      <c r="G580" t="inlineStr">
        <is>
          <t>Челябинская обл, г Копейск, Коммунистический пр-кт, д 13</t>
        </is>
      </c>
      <c r="H580" s="4" t="n">
        <v>3270000</v>
      </c>
      <c r="I580" s="4" t="n">
        <v>35894.62129527992</v>
      </c>
      <c r="J580" t="inlineStr">
        <is>
          <t>Нежилое помещение</t>
        </is>
      </c>
      <c r="K580" s="5" t="n">
        <v>4.18</v>
      </c>
      <c r="L580" s="4" t="n">
        <v>1794.7</v>
      </c>
      <c r="M580" t="n">
        <v>8586</v>
      </c>
      <c r="N580" s="6" t="n">
        <v>147573</v>
      </c>
      <c r="O580" t="n">
        <v>20</v>
      </c>
      <c r="Q580" t="inlineStr">
        <is>
          <t>EA</t>
        </is>
      </c>
      <c r="R580" t="inlineStr">
        <is>
          <t>М</t>
        </is>
      </c>
      <c r="S580" s="2">
        <f>HYPERLINK("https://yandex.ru/maps/?&amp;text=55.10736, 61.616595", "55.10736, 61.616595")</f>
        <v/>
      </c>
      <c r="T580" s="2">
        <f>HYPERLINK("D:\venv_torgi\env\cache\objs_in_district/55.10736_61.616595.json", "55.10736_61.616595.json")</f>
        <v/>
      </c>
      <c r="U580" t="inlineStr">
        <is>
          <t xml:space="preserve">74:30:0104007:3297, </t>
        </is>
      </c>
      <c r="V580" s="7" t="inlineStr">
        <is>
          <t>1</t>
        </is>
      </c>
      <c r="W580" s="20" t="n">
        <v>26866.27840984939</v>
      </c>
      <c r="X580" s="23" t="n">
        <v>-9028.342885430524</v>
      </c>
      <c r="Y580" t="n">
        <v>0</v>
      </c>
    </row>
    <row r="581">
      <c r="A581" s="8" t="n">
        <v>579</v>
      </c>
      <c r="B581" t="n">
        <v>76</v>
      </c>
      <c r="C581" s="1" t="n">
        <v>465.1</v>
      </c>
      <c r="D581" s="2">
        <f>HYPERLINK("https://torgi.gov.ru/new/public/lots/lot/21000020970000000008_1/(lotInfo:info)", "21000020970000000008_1")</f>
        <v/>
      </c>
      <c r="E581" t="inlineStr">
        <is>
          <t>Нежилое помещение (в здании детского сада)</t>
        </is>
      </c>
      <c r="F581" s="3" t="inlineStr">
        <is>
          <t>08.09.22 14:00</t>
        </is>
      </c>
      <c r="G581" t="inlineStr">
        <is>
          <t>Ярославская область, Рыбинский район, Шашковский сельский округ, поселок Шашково, ул.Молодежная, д.2, пом.II</t>
        </is>
      </c>
      <c r="H581" s="4" t="n">
        <v>775000</v>
      </c>
      <c r="I581" s="4" t="n">
        <v>1666.308320791228</v>
      </c>
      <c r="J581" t="inlineStr">
        <is>
          <t>Нежилое помещение</t>
        </is>
      </c>
      <c r="K581" s="5" t="n">
        <v>2.62</v>
      </c>
      <c r="L581" s="4" t="n">
        <v>333.2</v>
      </c>
      <c r="M581" t="n">
        <v>636</v>
      </c>
      <c r="N581" s="6" t="n">
        <v>657</v>
      </c>
      <c r="O581" t="n">
        <v>5</v>
      </c>
      <c r="P581" s="21" t="n">
        <v>1.697653206143328</v>
      </c>
      <c r="Q581" t="inlineStr">
        <is>
          <t>EA</t>
        </is>
      </c>
      <c r="R581" t="inlineStr">
        <is>
          <t>М</t>
        </is>
      </c>
      <c r="S581" s="2">
        <f>HYPERLINK("https://yandex.ru/maps/?&amp;text=58.011451, 39.195032", "58.011451, 39.195032")</f>
        <v/>
      </c>
      <c r="T581" s="2">
        <f>HYPERLINK("D:\venv_torgi\env\cache\objs_in_district/58.011451_39.195032.json", "58.011451_39.195032.json")</f>
        <v/>
      </c>
      <c r="U581" t="inlineStr">
        <is>
          <t xml:space="preserve">76:14:030421:966 </t>
        </is>
      </c>
      <c r="V581" s="7" t="inlineStr">
        <is>
          <t>2</t>
        </is>
      </c>
      <c r="W581" s="20" t="n">
        <v>4495.121984005761</v>
      </c>
      <c r="X581" s="22" t="n">
        <v>2828.813663214533</v>
      </c>
      <c r="Y581" t="n">
        <v>0</v>
      </c>
    </row>
    <row r="582">
      <c r="A582" s="8" t="n">
        <v>580</v>
      </c>
      <c r="B582" t="n">
        <v>76</v>
      </c>
      <c r="C582" s="1" t="n">
        <v>248.5</v>
      </c>
      <c r="D582" s="2">
        <f>HYPERLINK("https://torgi.gov.ru/new/public/lots/lot/21000008680000000050_1/(lotInfo:info)", "21000008680000000050_1")</f>
        <v/>
      </c>
      <c r="E582" t="inlineStr">
        <is>
          <t>Помещение, назначение: нежилое, площадь 248,5 кв.м., этаж № 1, кадастровый номер 76:20:020101:210, расположенное по адресу: Ярославская область, г. Рыбинск, ул. Вяземского, д. 9, пом. II . Земельный участок: в аренду.</t>
        </is>
      </c>
      <c r="F582" s="3" t="inlineStr">
        <is>
          <t>15.09.22 14:00</t>
        </is>
      </c>
      <c r="G582" t="inlineStr">
        <is>
          <t>Ярославская обл, г Рыбинск, ул Вяземского, д 9</t>
        </is>
      </c>
      <c r="H582" s="4" t="n">
        <v>898044.21</v>
      </c>
      <c r="I582" s="4" t="n">
        <v>3613.86</v>
      </c>
      <c r="J582" t="inlineStr">
        <is>
          <t>Нежилое помещение</t>
        </is>
      </c>
      <c r="K582" s="5" t="n">
        <v>2.92</v>
      </c>
      <c r="L582" s="4" t="n">
        <v>903.25</v>
      </c>
      <c r="M582" t="n">
        <v>1239</v>
      </c>
      <c r="N582" s="6" t="n">
        <v>193341</v>
      </c>
      <c r="O582" t="n">
        <v>4</v>
      </c>
      <c r="P582" s="21" t="n">
        <v>1.818193464770654</v>
      </c>
      <c r="Q582" t="inlineStr">
        <is>
          <t>EA</t>
        </is>
      </c>
      <c r="R582" t="inlineStr">
        <is>
          <t>М</t>
        </is>
      </c>
      <c r="S582" s="2">
        <f>HYPERLINK("https://yandex.ru/maps/?&amp;text=58.075473, 38.816473", "58.075473, 38.816473")</f>
        <v/>
      </c>
      <c r="T582" s="2">
        <f>HYPERLINK("D:\venv_torgi\env\cache\objs_in_district/58.075473_38.816473.json", "58.075473_38.816473.json")</f>
        <v/>
      </c>
      <c r="U582" t="inlineStr">
        <is>
          <t xml:space="preserve">76:20:020101:210, </t>
        </is>
      </c>
      <c r="V582" s="7" t="inlineStr">
        <is>
          <t>1</t>
        </is>
      </c>
      <c r="W582" s="20" t="n">
        <v>10184.55663459608</v>
      </c>
      <c r="X582" s="22" t="n">
        <v>6570.696634596075</v>
      </c>
      <c r="Y582" t="n">
        <v>0</v>
      </c>
    </row>
    <row r="583">
      <c r="A583" s="8" t="n">
        <v>581</v>
      </c>
      <c r="B583" t="n">
        <v>76</v>
      </c>
      <c r="C583" s="1" t="n">
        <v>156.2</v>
      </c>
      <c r="D583" s="2">
        <f>HYPERLINK("https://torgi.gov.ru/new/public/lots/lot/21000008680000000046_1/(lotInfo:info)", "21000008680000000046_1")</f>
        <v/>
      </c>
      <c r="E583" t="inlineStr">
        <is>
          <t>Помещение, назначение: нежилое, площадь 156,2 кв.м., этаж № 01, кадастровый номер 76:20:030710:39, расположенное по адресу: Ярославская область, Рыбинский р-н, г. Рыбинск, пер. Майский, д. 8, пом. I. Земельный участок: в долевую собственность.</t>
        </is>
      </c>
      <c r="F583" s="3" t="inlineStr">
        <is>
          <t>15.09.22 14:00</t>
        </is>
      </c>
      <c r="G583" t="inlineStr">
        <is>
          <t>Ярославская обл, г Рыбинск, Майский пер, д 8</t>
        </is>
      </c>
      <c r="H583" s="4" t="n">
        <v>837500.42</v>
      </c>
      <c r="I583" s="4" t="n">
        <v>5361.718437900128</v>
      </c>
      <c r="J583" t="inlineStr">
        <is>
          <t>Нежилое помещение</t>
        </is>
      </c>
      <c r="K583" s="5" t="n">
        <v>10.33</v>
      </c>
      <c r="L583" s="4" t="n">
        <v>5361</v>
      </c>
      <c r="M583" t="n">
        <v>519</v>
      </c>
      <c r="N583" s="6" t="n">
        <v>193341</v>
      </c>
      <c r="O583" t="n">
        <v>1</v>
      </c>
      <c r="P583" s="21" t="n">
        <v>2.0256278041849</v>
      </c>
      <c r="Q583" t="inlineStr">
        <is>
          <t>EA</t>
        </is>
      </c>
      <c r="R583" t="inlineStr">
        <is>
          <t>М</t>
        </is>
      </c>
      <c r="S583" s="2">
        <f>HYPERLINK("https://yandex.ru/maps/?&amp;text=58.055331, 38.881933", "58.055331, 38.881933")</f>
        <v/>
      </c>
      <c r="T583" s="2">
        <f>HYPERLINK("D:\venv_torgi\env\cache\objs_in_district/58.055331_38.881933.json", "58.055331_38.881933.json")</f>
        <v/>
      </c>
      <c r="U583" t="inlineStr">
        <is>
          <t xml:space="preserve">76:20:030710:39, </t>
        </is>
      </c>
      <c r="V583" s="7" t="inlineStr">
        <is>
          <t>1</t>
        </is>
      </c>
      <c r="W583" s="20" t="n">
        <v>16222.56438392146</v>
      </c>
      <c r="X583" s="22" t="n">
        <v>10860.84594602133</v>
      </c>
      <c r="Y583" t="n">
        <v>0</v>
      </c>
    </row>
    <row r="584">
      <c r="A584" s="8" t="n">
        <v>582</v>
      </c>
      <c r="B584" t="n">
        <v>76</v>
      </c>
      <c r="C584" s="1" t="n">
        <v>127.8</v>
      </c>
      <c r="D584" s="2">
        <f>HYPERLINK("https://torgi.gov.ru/new/public/lots/lot/21000008680000000034_1/(lotInfo:info)", "21000008680000000034_1")</f>
        <v/>
      </c>
      <c r="E584" t="inlineStr">
        <is>
          <t>помещение, назначение: нежилое, площадь 127,8 кв.м, этаж № 02, расположенное по адресу: Ярославская область, р-н. Рыбинский, г. Рыбинск, ул. Стоялая, д.20, пом. 2. Земельный участок: в долевую собственность.</t>
        </is>
      </c>
      <c r="F584" s="3" t="inlineStr">
        <is>
          <t>31.08.22 14:00</t>
        </is>
      </c>
      <c r="G584" t="inlineStr">
        <is>
          <t>Ярославская обл, г Рыбинск, ул Стоялая, д 20</t>
        </is>
      </c>
      <c r="H584" s="4" t="n">
        <v>802226.2</v>
      </c>
      <c r="I584" s="4" t="n">
        <v>6277.200312989045</v>
      </c>
      <c r="J584" t="inlineStr">
        <is>
          <t>Нежилое помещение</t>
        </is>
      </c>
      <c r="K584" s="5" t="n">
        <v>0.85</v>
      </c>
      <c r="L584" s="4" t="n">
        <v>66.06999999999999</v>
      </c>
      <c r="M584" t="n">
        <v>7357</v>
      </c>
      <c r="N584" s="6" t="n">
        <v>193341</v>
      </c>
      <c r="O584" t="n">
        <v>95</v>
      </c>
      <c r="P584" s="21" t="n">
        <v>3.279977867562482</v>
      </c>
      <c r="Q584" t="inlineStr">
        <is>
          <t>EA</t>
        </is>
      </c>
      <c r="R584" t="inlineStr">
        <is>
          <t>М</t>
        </is>
      </c>
      <c r="S584" s="2">
        <f>HYPERLINK("https://yandex.ru/maps/?&amp;text=58.048145, 38.8521", "58.048145, 38.8521")</f>
        <v/>
      </c>
      <c r="T584" s="2">
        <f>HYPERLINK("D:\venv_torgi\env\cache\objs_in_district/58.048145_38.8521.json", "58.048145_38.8521.json")</f>
        <v/>
      </c>
      <c r="V584" s="7" t="inlineStr">
        <is>
          <t>2</t>
        </is>
      </c>
      <c r="W584" s="20" t="n">
        <v>26866.27840984939</v>
      </c>
      <c r="X584" s="22" t="n">
        <v>20589.07809686035</v>
      </c>
      <c r="Y584" t="n">
        <v>0</v>
      </c>
    </row>
    <row r="585">
      <c r="A585" s="8" t="n">
        <v>583</v>
      </c>
      <c r="B585" t="n">
        <v>76</v>
      </c>
      <c r="C585" s="1" t="n">
        <v>573.3</v>
      </c>
      <c r="D585" s="2">
        <f>HYPERLINK("https://torgi.gov.ru/new/public/lots/lot/21000008680000000037_1/(lotInfo:info)", "21000008680000000037_1")</f>
        <v/>
      </c>
      <c r="E585" t="inlineStr">
        <is>
          <t>Помещение, назначение: нежилое, площадь 573,3 кв. м, цокольный этаж, расположенное по адресу: Ярославская область, г. Рыбинск, ул. 9 Мая, д. 17, пом. I. Земельный участок: в долевую собственность.</t>
        </is>
      </c>
      <c r="F585" s="3" t="inlineStr">
        <is>
          <t>08.09.22 14:00</t>
        </is>
      </c>
      <c r="G585" t="inlineStr">
        <is>
          <t>Ярославская обл, г Рыбинск, ул 9 Мая, д 17</t>
        </is>
      </c>
      <c r="H585" s="4" t="n">
        <v>3919650</v>
      </c>
      <c r="I585" s="4" t="n">
        <v>6836.996336996338</v>
      </c>
      <c r="J585" t="inlineStr">
        <is>
          <t>Нежилое помещение</t>
        </is>
      </c>
      <c r="K585" s="5" t="n">
        <v>1.01</v>
      </c>
      <c r="L585" s="4" t="n">
        <v>227.87</v>
      </c>
      <c r="M585" t="n">
        <v>6783</v>
      </c>
      <c r="N585" s="6" t="n">
        <v>193341</v>
      </c>
      <c r="O585" t="n">
        <v>30</v>
      </c>
      <c r="P585" s="21" t="n">
        <v>0.1087168788209965</v>
      </c>
      <c r="Q585" t="inlineStr">
        <is>
          <t>EA</t>
        </is>
      </c>
      <c r="R585" t="inlineStr">
        <is>
          <t>М</t>
        </is>
      </c>
      <c r="S585" s="2">
        <f>HYPERLINK("https://yandex.ru/maps/?&amp;text=58.050575, 38.78556", "58.050575, 38.78556")</f>
        <v/>
      </c>
      <c r="T585" s="2">
        <f>HYPERLINK("D:\venv_torgi\env\cache\objs_in_district/58.050575_38.78556.json", "58.050575_38.78556.json")</f>
        <v/>
      </c>
      <c r="U585" t="inlineStr">
        <is>
          <t>76:20:070304:3876</t>
        </is>
      </c>
      <c r="V585" s="7" t="inlineStr">
        <is>
          <t>0</t>
        </is>
      </c>
      <c r="W585" s="20" t="n">
        <v>7580.293239265166</v>
      </c>
      <c r="X585" s="22" t="n">
        <v>743.2969022688276</v>
      </c>
      <c r="Y585" t="n">
        <v>0</v>
      </c>
    </row>
    <row r="586">
      <c r="A586" s="8" t="n">
        <v>584</v>
      </c>
      <c r="B586" t="n">
        <v>76</v>
      </c>
      <c r="C586" s="1" t="n">
        <v>944.3</v>
      </c>
      <c r="D586" s="2">
        <f>HYPERLINK("https://torgi.gov.ru/new/public/lots/lot/21000008680000000040_1/(lotInfo:info)", "21000008680000000040_1")</f>
        <v/>
      </c>
      <c r="E586" t="inlineStr">
        <is>
          <t>Помещения, назначение: нежилые, общая площадь 944,3 кв.м., этаж № 1, этаж № 2, этаж № 3, техническое подполье, расположенные по адресу: Российская Федерация, Ярославская область, городской округ город Рыбинск, город Рыбинск, улица Ломоносова, дом 19, помещение 1а. Земельный участок: в аренду.</t>
        </is>
      </c>
      <c r="F586" s="3" t="inlineStr">
        <is>
          <t>08.09.22 14:00</t>
        </is>
      </c>
      <c r="G586" t="inlineStr">
        <is>
          <t>Ярославская обл, г Рыбинск, ул Ломоносова, д 19</t>
        </is>
      </c>
      <c r="H586" s="4" t="n">
        <v>7304160</v>
      </c>
      <c r="I586" s="4" t="n">
        <v>7734.999470507254</v>
      </c>
      <c r="J586" t="inlineStr">
        <is>
          <t>Нежилое помещение</t>
        </is>
      </c>
      <c r="K586" s="5" t="n">
        <v>0.83</v>
      </c>
      <c r="L586" s="4" t="n">
        <v>76.56999999999999</v>
      </c>
      <c r="M586" t="n">
        <v>9322</v>
      </c>
      <c r="N586" s="6" t="n">
        <v>193341</v>
      </c>
      <c r="O586" t="n">
        <v>101</v>
      </c>
      <c r="Q586" t="inlineStr">
        <is>
          <t>EA</t>
        </is>
      </c>
      <c r="R586" t="inlineStr">
        <is>
          <t>М</t>
        </is>
      </c>
      <c r="S586" s="2">
        <f>HYPERLINK("https://yandex.ru/maps/?&amp;text=58.046997, 38.84874", "58.046997, 38.84874")</f>
        <v/>
      </c>
      <c r="T586" s="2">
        <f>HYPERLINK("D:\venv_torgi\env\cache\objs_in_district/58.046997_38.84874.json", "58.046997_38.84874.json")</f>
        <v/>
      </c>
      <c r="U586" t="inlineStr">
        <is>
          <t>76:20:080426:85</t>
        </is>
      </c>
      <c r="V586" s="7" t="inlineStr">
        <is>
          <t>1</t>
        </is>
      </c>
      <c r="W586" s="20" t="n">
        <v>7580.293239265166</v>
      </c>
      <c r="X586" s="23" t="n">
        <v>-154.7062312420885</v>
      </c>
      <c r="Y586" t="n">
        <v>0</v>
      </c>
    </row>
    <row r="587">
      <c r="A587" s="8" t="n">
        <v>585</v>
      </c>
      <c r="B587" t="n">
        <v>76</v>
      </c>
      <c r="C587" s="1" t="n">
        <v>68.8</v>
      </c>
      <c r="D587" s="2">
        <f>HYPERLINK("https://torgi.gov.ru/new/public/lots/lot/21000008680000000035_1/(lotInfo:info)", "21000008680000000035_1")</f>
        <v/>
      </c>
      <c r="E587" t="inlineStr">
        <is>
          <t>Помещение, назначение: нежилое, площадь 68,8 кв.м., этаж № 03, расположенное по адресу: Ярославская область, г. Рыбинск, ул. Стоялая, д. 20, пом. 3. Земельный участок: в долевую собственность.</t>
        </is>
      </c>
      <c r="F587" s="3" t="inlineStr">
        <is>
          <t>31.08.22 14:00</t>
        </is>
      </c>
      <c r="G587" t="inlineStr">
        <is>
          <t>Ярославская обл, г Рыбинск, ул Стоялая, д 20</t>
        </is>
      </c>
      <c r="H587" s="4" t="n">
        <v>590695.33</v>
      </c>
      <c r="I587" s="4" t="n">
        <v>8585.687936046512</v>
      </c>
      <c r="J587" t="inlineStr">
        <is>
          <t>Нежилое помещение</t>
        </is>
      </c>
      <c r="K587" s="5" t="n">
        <v>1.17</v>
      </c>
      <c r="L587" s="4" t="n">
        <v>90.37</v>
      </c>
      <c r="M587" t="n">
        <v>7357</v>
      </c>
      <c r="N587" s="6" t="n">
        <v>193341</v>
      </c>
      <c r="O587" t="n">
        <v>95</v>
      </c>
      <c r="P587" s="21" t="n">
        <v>2.129193444948411</v>
      </c>
      <c r="Q587" t="inlineStr">
        <is>
          <t>EA</t>
        </is>
      </c>
      <c r="R587" t="inlineStr">
        <is>
          <t>М</t>
        </is>
      </c>
      <c r="S587" s="2">
        <f>HYPERLINK("https://yandex.ru/maps/?&amp;text=58.048145, 38.8521", "58.048145, 38.8521")</f>
        <v/>
      </c>
      <c r="T587" s="2">
        <f>HYPERLINK("D:\venv_torgi\env\cache\objs_in_district/58.048145_38.8521.json", "58.048145_38.8521.json")</f>
        <v/>
      </c>
      <c r="V587" s="7" t="inlineStr">
        <is>
          <t>3</t>
        </is>
      </c>
      <c r="W587" s="20" t="n">
        <v>26866.27840984939</v>
      </c>
      <c r="X587" s="22" t="n">
        <v>18280.59047380288</v>
      </c>
      <c r="Y587" t="n">
        <v>0</v>
      </c>
    </row>
    <row r="588">
      <c r="A588" s="8" t="n">
        <v>586</v>
      </c>
      <c r="B588" t="n">
        <v>76</v>
      </c>
      <c r="C588" s="1" t="n">
        <v>400.8</v>
      </c>
      <c r="D588" s="2">
        <f>HYPERLINK("https://torgi.gov.ru/new/public/lots/lot/21000008680000000045_1/(lotInfo:info)", "21000008680000000045_1")</f>
        <v/>
      </c>
      <c r="E588" t="inlineStr">
        <is>
          <t>Нежилые помещения, в составе:помещение, назначение: нежилое, площадь 32,0 кв.м., этаж № 2; номер на поэтажном плане 1, кадастровый номер 76:20:080418:133;  помещение, назначение: нежилое, площадь 180,9 кв.м., этаж № 2; номер на поэтажном плане 2, кадастровый номер 76:20:080418:135;помещение, назначение: нежилое, площадь 187,9 кв.м., этаж № 3; номер на поэтажном плане 3, кадастровый номер 76:20:080418:134, расположенные по адресу: РФ, ЯО, г. Рыбинск, ул. Стоялая, д. 14. Земельный участок: в аренду.</t>
        </is>
      </c>
      <c r="F588" s="3" t="inlineStr">
        <is>
          <t>14.09.22 14:00</t>
        </is>
      </c>
      <c r="G588" t="inlineStr">
        <is>
          <t>Ярославская обл, г Рыбинск, ул Стоялая, д 14</t>
        </is>
      </c>
      <c r="H588" s="4" t="n">
        <v>3887810.14</v>
      </c>
      <c r="I588" s="4" t="n">
        <v>9700.1250998004</v>
      </c>
      <c r="J588" t="inlineStr">
        <is>
          <t>Нежилое помещение</t>
        </is>
      </c>
      <c r="K588" s="5" t="n">
        <v>1.36</v>
      </c>
      <c r="L588" s="4" t="n">
        <v>94.17</v>
      </c>
      <c r="M588" t="n">
        <v>7150</v>
      </c>
      <c r="N588" s="6" t="n">
        <v>193341</v>
      </c>
      <c r="O588" t="n">
        <v>103</v>
      </c>
      <c r="P588" s="21" t="n">
        <v>0.1569062726552568</v>
      </c>
      <c r="Q588" t="inlineStr">
        <is>
          <t>EA</t>
        </is>
      </c>
      <c r="R588" t="inlineStr">
        <is>
          <t>М</t>
        </is>
      </c>
      <c r="S588" s="2">
        <f>HYPERLINK("https://yandex.ru/maps/?&amp;text=58.048569, 38.851992", "58.048569, 38.851992")</f>
        <v/>
      </c>
      <c r="T588" s="2">
        <f>HYPERLINK("D:\venv_torgi\env\cache\objs_in_district/58.048569_38.851992.json", "58.048569_38.851992.json")</f>
        <v/>
      </c>
      <c r="U588" t="inlineStr">
        <is>
          <t xml:space="preserve">76:20:080418:133;  </t>
        </is>
      </c>
      <c r="V588" s="7" t="inlineStr">
        <is>
          <t>2</t>
        </is>
      </c>
      <c r="W588" s="20" t="n">
        <v>11222.13557349978</v>
      </c>
      <c r="X588" s="22" t="n">
        <v>1522.010473699382</v>
      </c>
      <c r="Y588" t="n">
        <v>0</v>
      </c>
    </row>
    <row r="589">
      <c r="A589" s="8" t="n">
        <v>587</v>
      </c>
      <c r="B589" t="n">
        <v>76</v>
      </c>
      <c r="C589" s="1" t="n">
        <v>378.8</v>
      </c>
      <c r="D589" s="2">
        <f>HYPERLINK("https://torgi.gov.ru/new/public/lots/lot/21000008680000000041_1/(lotInfo:info)", "21000008680000000041_1")</f>
        <v/>
      </c>
      <c r="E589" t="inlineStr">
        <is>
          <t>Помещение, назначение: нежилое, общая площадь 378,8  кв.м., этаж № 1, расположенное по адресу: Российская Федерация, Ярославская область, городской округ город Рыбинск, город Рыбинск, улица Ломоносова, дом 19, помещение 2а. Земельный участок: в аренду.</t>
        </is>
      </c>
      <c r="F589" s="3" t="inlineStr">
        <is>
          <t>08.09.22 14:00</t>
        </is>
      </c>
      <c r="G589" t="inlineStr">
        <is>
          <t>Ярославская обл, г Рыбинск, ул Ломоносова, д 19</t>
        </is>
      </c>
      <c r="H589" s="4" t="n">
        <v>4205060</v>
      </c>
      <c r="I589" s="4" t="n">
        <v>11101.00316789863</v>
      </c>
      <c r="J589" t="inlineStr">
        <is>
          <t>Нежилое помещение</t>
        </is>
      </c>
      <c r="K589" s="5" t="n">
        <v>1.19</v>
      </c>
      <c r="L589" s="4" t="n">
        <v>109.91</v>
      </c>
      <c r="M589" t="n">
        <v>9322</v>
      </c>
      <c r="N589" s="6" t="n">
        <v>193341</v>
      </c>
      <c r="O589" t="n">
        <v>101</v>
      </c>
      <c r="P589" s="21" t="n">
        <v>0.01091184317030338</v>
      </c>
      <c r="Q589" t="inlineStr">
        <is>
          <t>EA</t>
        </is>
      </c>
      <c r="R589" t="inlineStr">
        <is>
          <t>М</t>
        </is>
      </c>
      <c r="S589" s="2">
        <f>HYPERLINK("https://yandex.ru/maps/?&amp;text=58.046997, 38.84874", "58.046997, 38.84874")</f>
        <v/>
      </c>
      <c r="T589" s="2">
        <f>HYPERLINK("D:\venv_torgi\env\cache\objs_in_district/58.046997_38.84874.json", "58.046997_38.84874.json")</f>
        <v/>
      </c>
      <c r="U589" t="inlineStr">
        <is>
          <t>76:20:010101:4927</t>
        </is>
      </c>
      <c r="V589" s="7" t="inlineStr">
        <is>
          <t>1</t>
        </is>
      </c>
      <c r="W589" s="20" t="n">
        <v>11222.13557349978</v>
      </c>
      <c r="X589" s="22" t="n">
        <v>121.1324056011508</v>
      </c>
      <c r="Y589" t="n">
        <v>0</v>
      </c>
    </row>
    <row r="590">
      <c r="A590" s="8" t="n">
        <v>588</v>
      </c>
      <c r="B590" t="n">
        <v>76</v>
      </c>
      <c r="C590" s="1" t="n">
        <v>34</v>
      </c>
      <c r="D590" s="2">
        <f>HYPERLINK("https://torgi.gov.ru/new/public/lots/lot/21000004310000000262_2/(lotInfo:info)", "21000004310000000262_2")</f>
        <v/>
      </c>
      <c r="E590" t="inlineStr">
        <is>
          <t>ЛОТ №2 Нежилое помещение (гаражный бокс), назначение: нежилое, площадь: 34 кв. м, кадастровый №76:23:010101:182064. Адрес: ЯО, г. Ярославль, ул. Алмазная, ГСК «Дизель», бокс 204. Примечание: на зем.участок расположенный по адресу: г. Ярославль, ул. Алмазная, ГСК «Дизель», договоры аренды не заключены.  Собственник имущества: Постол В.А.</t>
        </is>
      </c>
      <c r="F590" s="3" t="inlineStr">
        <is>
          <t>12.09.22 20:59</t>
        </is>
      </c>
      <c r="G590" t="inlineStr">
        <is>
          <t xml:space="preserve">ЯО, г. Ярославль, ул. Алмазная, ГСК «Дизель», бокс 204. </t>
        </is>
      </c>
      <c r="H590" s="4" t="n">
        <v>451000</v>
      </c>
      <c r="I590" s="4" t="n">
        <v>13264.70588235294</v>
      </c>
      <c r="J590" t="inlineStr">
        <is>
          <t>гаражный бокс</t>
        </is>
      </c>
      <c r="Q590" t="inlineStr">
        <is>
          <t>EA</t>
        </is>
      </c>
      <c r="R590" t="inlineStr">
        <is>
          <t>Д</t>
        </is>
      </c>
      <c r="U590" t="inlineStr">
        <is>
          <t>76:23:010101:18206</t>
        </is>
      </c>
      <c r="Y590" t="n">
        <v>0</v>
      </c>
    </row>
    <row r="591">
      <c r="A591" s="8" t="n">
        <v>589</v>
      </c>
      <c r="B591" t="n">
        <v>76</v>
      </c>
      <c r="C591" s="1" t="n">
        <v>351.6</v>
      </c>
      <c r="D591" s="2">
        <f>HYPERLINK("https://torgi.gov.ru/new/public/lots/lot/21000008680000000048_1/(lotInfo:info)", "21000008680000000048_1")</f>
        <v/>
      </c>
      <c r="E591" t="inlineStr">
        <is>
          <t>Помещение, назначение: нежилое,  площадь 351,6 кв.м., этаж № 1, кадастровый номер 76:20:110105:512, расположенное по адресу: Российская Федерация, Ярославская область, г. Рыбинск, ул. Расплетина,  д. 9, пом. III-1-эт. №1-19. Земельный участок: в долевую собственность.</t>
        </is>
      </c>
      <c r="F591" s="3" t="inlineStr">
        <is>
          <t>15.09.22 14:00</t>
        </is>
      </c>
      <c r="G591" t="inlineStr">
        <is>
          <t>Ярославская обл, г Рыбинск, ул Расплетина, д 9</t>
        </is>
      </c>
      <c r="H591" s="4" t="n">
        <v>4952758.55</v>
      </c>
      <c r="I591" s="4" t="n">
        <v>14086.34399886234</v>
      </c>
      <c r="J591" t="inlineStr">
        <is>
          <t>Нежилое помещение</t>
        </is>
      </c>
      <c r="K591" s="5" t="n">
        <v>1.76</v>
      </c>
      <c r="L591" s="4" t="n">
        <v>454.39</v>
      </c>
      <c r="M591" t="n">
        <v>8019</v>
      </c>
      <c r="N591" s="6" t="n">
        <v>193341</v>
      </c>
      <c r="O591" t="n">
        <v>31</v>
      </c>
      <c r="Q591" t="inlineStr">
        <is>
          <t>EA</t>
        </is>
      </c>
      <c r="R591" t="inlineStr">
        <is>
          <t>М</t>
        </is>
      </c>
      <c r="S591" s="2">
        <f>HYPERLINK("https://yandex.ru/maps/?&amp;text=58.038826, 38.862144", "58.038826, 38.862144")</f>
        <v/>
      </c>
      <c r="T591" s="2">
        <f>HYPERLINK("D:\venv_torgi\env\cache\objs_in_district/58.038826_38.862144.json", "58.038826_38.862144.json")</f>
        <v/>
      </c>
      <c r="U591" t="inlineStr">
        <is>
          <t xml:space="preserve">76:20:110105:512, </t>
        </is>
      </c>
      <c r="V591" s="7" t="inlineStr">
        <is>
          <t>1</t>
        </is>
      </c>
      <c r="W591" s="20" t="n">
        <v>11222.13557349978</v>
      </c>
      <c r="X591" s="23" t="n">
        <v>-2864.208425362558</v>
      </c>
      <c r="Y591" t="n">
        <v>0</v>
      </c>
    </row>
    <row r="592">
      <c r="A592" s="8" t="n">
        <v>590</v>
      </c>
      <c r="B592" t="n">
        <v>76</v>
      </c>
      <c r="C592" s="1" t="n">
        <v>389.3</v>
      </c>
      <c r="D592" s="2">
        <f>HYPERLINK("https://torgi.gov.ru/new/public/lots/lot/21000012550000000062_1/(lotInfo:info)", "21000012550000000062_1")</f>
        <v/>
      </c>
      <c r="E592" t="inlineStr">
        <is>
          <t>недвижимое имущество общей площадью 389,3 кв. м, расположенное по адресу: г. Ярославль, ул. Дружная, д. 26, в составе:- помещений, назначение: нежилое, общая площадь 245,2 кв. м, этаж: 1, номера на поэтажном плане 1-19, 40, победитель торгов обязан обеспечить доступ в помещения, принадлежащие третьим лицам, существующие ограничения (обременения) права: не зарегистрировано;- помещений, назначение: нежилое, общая площадь 144,1 кв. м, этаж: 2, номера на поэтажном плане 12-27, победитель торгов обязан обеспечить доступ в помещения, принадлежащие третьим лицам, существующие ограничения (обременения) права: не зарегистрировано.</t>
        </is>
      </c>
      <c r="F592" s="3" t="inlineStr">
        <is>
          <t>31.08.22 12:00</t>
        </is>
      </c>
      <c r="G592" t="inlineStr">
        <is>
          <t>г Ярославль, ул Дружная, д 26</t>
        </is>
      </c>
      <c r="H592" s="4" t="n">
        <v>5741000</v>
      </c>
      <c r="I592" s="4" t="n">
        <v>14746.98176213717</v>
      </c>
      <c r="J592" t="inlineStr">
        <is>
          <t>Нежилое помещение</t>
        </is>
      </c>
      <c r="K592" s="5" t="n">
        <v>2.04</v>
      </c>
      <c r="L592" s="4" t="n">
        <v>508.48</v>
      </c>
      <c r="M592" t="n">
        <v>7213</v>
      </c>
      <c r="N592" s="6" t="n">
        <v>603961</v>
      </c>
      <c r="O592" t="n">
        <v>29</v>
      </c>
      <c r="Q592" t="inlineStr">
        <is>
          <t>PP</t>
        </is>
      </c>
      <c r="R592" t="inlineStr">
        <is>
          <t>М</t>
        </is>
      </c>
      <c r="S592" s="2">
        <f>HYPERLINK("https://yandex.ru/maps/?&amp;text=57.57321, 39.927949", "57.57321, 39.927949")</f>
        <v/>
      </c>
      <c r="T592" s="2">
        <f>HYPERLINK("D:\venv_torgi\env\cache\objs_in_district/57.57321_39.927949.json", "57.57321_39.927949.json")</f>
        <v/>
      </c>
      <c r="V592" s="7" t="inlineStr">
        <is>
          <t>1</t>
        </is>
      </c>
      <c r="W592" s="20" t="n">
        <v>11222.13557349978</v>
      </c>
      <c r="X592" s="23" t="n">
        <v>-3524.846188637388</v>
      </c>
      <c r="Y592" t="n">
        <v>0</v>
      </c>
    </row>
    <row r="593">
      <c r="A593" s="8" t="n">
        <v>591</v>
      </c>
      <c r="B593" t="n">
        <v>76</v>
      </c>
      <c r="C593" s="1" t="n">
        <v>226.3</v>
      </c>
      <c r="D593" s="2">
        <f>HYPERLINK("https://torgi.gov.ru/new/public/lots/lot/21000008680000000043_1/(lotInfo:info)", "21000008680000000043_1")</f>
        <v/>
      </c>
      <c r="E593" t="inlineStr">
        <is>
          <t>Помещение, назначение: нежилое, площадь 226,3 кв.м., этаж № 1, кадастровый номер 76:20:020101:1197, расположенное по адресу: Ярославская область, г. Рыбинск, ул. Рокоссовского, д.9, пом. 75 - 84. Земельный участок: в долевую собственность.</t>
        </is>
      </c>
      <c r="F593" s="3" t="inlineStr">
        <is>
          <t>14.09.22 14:00</t>
        </is>
      </c>
      <c r="G593" t="inlineStr">
        <is>
          <t>Ярославская обл, г Рыбинск, ул Рокоссовского, д 9</t>
        </is>
      </c>
      <c r="H593" s="4" t="n">
        <v>3466531.3</v>
      </c>
      <c r="I593" s="4" t="n">
        <v>15318.30004418913</v>
      </c>
      <c r="J593" t="inlineStr">
        <is>
          <t>Нежилое помещение</t>
        </is>
      </c>
      <c r="K593" s="5" t="n">
        <v>9.44</v>
      </c>
      <c r="L593" s="4" t="n">
        <v>7659</v>
      </c>
      <c r="M593" t="n">
        <v>1623</v>
      </c>
      <c r="N593" s="6" t="n">
        <v>193341</v>
      </c>
      <c r="O593" t="n">
        <v>2</v>
      </c>
      <c r="Q593" t="inlineStr">
        <is>
          <t>EA</t>
        </is>
      </c>
      <c r="R593" t="inlineStr">
        <is>
          <t>М</t>
        </is>
      </c>
      <c r="S593" s="2">
        <f>HYPERLINK("https://yandex.ru/maps/?&amp;text=58.083996, 38.774072", "58.083996, 38.774072")</f>
        <v/>
      </c>
      <c r="T593" s="2">
        <f>HYPERLINK("D:\venv_torgi\env\cache\objs_in_district/58.083996_38.774072.json", "58.083996_38.774072.json")</f>
        <v/>
      </c>
      <c r="U593" t="inlineStr">
        <is>
          <t xml:space="preserve">76:20:020101:1197, </t>
        </is>
      </c>
      <c r="V593" s="7" t="inlineStr">
        <is>
          <t>1</t>
        </is>
      </c>
      <c r="W593" s="20" t="n">
        <v>10184.55663459608</v>
      </c>
      <c r="X593" s="23" t="n">
        <v>-5133.743409593055</v>
      </c>
      <c r="Y593" t="n">
        <v>0</v>
      </c>
    </row>
    <row r="594">
      <c r="A594" s="8" t="n">
        <v>592</v>
      </c>
      <c r="B594" t="n">
        <v>76</v>
      </c>
      <c r="C594" s="1" t="n">
        <v>144.6</v>
      </c>
      <c r="D594" s="2">
        <f>HYPERLINK("https://torgi.gov.ru/new/public/lots/lot/21000008680000000049_1/(lotInfo:info)", "21000008680000000049_1")</f>
        <v/>
      </c>
      <c r="E594" t="inlineStr">
        <is>
          <t>Помещение, назначение: нежилое, площадь 144,6 кв.м, этаж № 1, кадастровый номер 76:20:100205:1176, расположенное по адресу: Ярославская область, г. Рыбинск, ул. Боткина, д. 15, пом. I. Земельный участок: в долевую собственность.</t>
        </is>
      </c>
      <c r="F594" s="3" t="inlineStr">
        <is>
          <t>15.09.22 14:00</t>
        </is>
      </c>
      <c r="G594" t="inlineStr">
        <is>
          <t>Ярославская обл, г Рыбинск, ул Боткина, д 15</t>
        </is>
      </c>
      <c r="H594" s="4" t="n">
        <v>2504610.2</v>
      </c>
      <c r="I594" s="4" t="n">
        <v>17320.95573997234</v>
      </c>
      <c r="J594" t="inlineStr">
        <is>
          <t>Нежилое помещение</t>
        </is>
      </c>
      <c r="K594" s="5" t="n">
        <v>4.64</v>
      </c>
      <c r="L594" s="4" t="n">
        <v>866</v>
      </c>
      <c r="M594" t="n">
        <v>3735</v>
      </c>
      <c r="N594" s="6" t="n">
        <v>193341</v>
      </c>
      <c r="O594" t="n">
        <v>20</v>
      </c>
      <c r="P594" s="21" t="n">
        <v>0.5510852179968849</v>
      </c>
      <c r="Q594" t="inlineStr">
        <is>
          <t>EA</t>
        </is>
      </c>
      <c r="R594" t="inlineStr">
        <is>
          <t>М</t>
        </is>
      </c>
      <c r="S594" s="2">
        <f>HYPERLINK("https://yandex.ru/maps/?&amp;text=58.0374907, 38.8471147", "58.0374907, 38.8471147")</f>
        <v/>
      </c>
      <c r="T594" s="2">
        <f>HYPERLINK("D:\venv_torgi\env\cache\objs_in_district/58.0374907_38.8471147.json", "58.0374907_38.8471147.json")</f>
        <v/>
      </c>
      <c r="U594" t="inlineStr">
        <is>
          <t xml:space="preserve">76:20:100205:1176, </t>
        </is>
      </c>
      <c r="V594" s="7" t="inlineStr">
        <is>
          <t>1</t>
        </is>
      </c>
      <c r="W594" s="20" t="n">
        <v>26866.27840984939</v>
      </c>
      <c r="X594" s="22" t="n">
        <v>9545.322669877052</v>
      </c>
      <c r="Y594" t="n">
        <v>0</v>
      </c>
    </row>
    <row r="595">
      <c r="A595" s="8" t="n">
        <v>593</v>
      </c>
      <c r="B595" t="n">
        <v>76</v>
      </c>
      <c r="C595" s="1" t="n">
        <v>32.6</v>
      </c>
      <c r="D595" s="2">
        <f>HYPERLINK("https://torgi.gov.ru/new/public/lots/lot/21000008680000000039_1/(lotInfo:info)", "21000008680000000039_1")</f>
        <v/>
      </c>
      <c r="E595" t="inlineStr">
        <is>
          <t>Помещение, назначение: нежилое, площадь 32,6 кв.м, этаж №1, расположенное по адресу: Ярославская область, г. Рыбинск, ул. Моторостроителей, д.11, пом VII. Земельный участок: в долевую собственность.</t>
        </is>
      </c>
      <c r="F595" s="3" t="inlineStr">
        <is>
          <t>08.09.22 14:00</t>
        </is>
      </c>
      <c r="G595" t="inlineStr">
        <is>
          <t>Ярославская обл, г Рыбинск, ул Моторостроителей, д 11</t>
        </is>
      </c>
      <c r="H595" s="4" t="n">
        <v>676740</v>
      </c>
      <c r="I595" s="4" t="n">
        <v>20758.89570552147</v>
      </c>
      <c r="J595" t="inlineStr">
        <is>
          <t>Нежилое помещение</t>
        </is>
      </c>
      <c r="K595" s="5" t="n">
        <v>3.25</v>
      </c>
      <c r="L595" s="4" t="n">
        <v>988.48</v>
      </c>
      <c r="M595" t="n">
        <v>6381</v>
      </c>
      <c r="N595" s="6" t="n">
        <v>193341</v>
      </c>
      <c r="O595" t="n">
        <v>21</v>
      </c>
      <c r="P595" s="21" t="n">
        <v>0.2942055681075307</v>
      </c>
      <c r="Q595" t="inlineStr">
        <is>
          <t>EA</t>
        </is>
      </c>
      <c r="R595" t="inlineStr">
        <is>
          <t>М</t>
        </is>
      </c>
      <c r="S595" s="2">
        <f>HYPERLINK("https://yandex.ru/maps/?&amp;text=58.0418592, 38.8209493", "58.0418592, 38.8209493")</f>
        <v/>
      </c>
      <c r="T595" s="2">
        <f>HYPERLINK("D:\venv_torgi\env\cache\objs_in_district/58.0418592_38.8209493.json", "58.0418592_38.8209493.json")</f>
        <v/>
      </c>
      <c r="U595" t="inlineStr">
        <is>
          <t>76:20:080206:485</t>
        </is>
      </c>
      <c r="V595" s="7" t="inlineStr">
        <is>
          <t>1</t>
        </is>
      </c>
      <c r="W595" s="20" t="n">
        <v>26866.27840984939</v>
      </c>
      <c r="X595" s="22" t="n">
        <v>6107.382704327923</v>
      </c>
      <c r="Y595" t="n">
        <v>0</v>
      </c>
    </row>
    <row r="596">
      <c r="A596" s="8" t="n">
        <v>594</v>
      </c>
      <c r="B596" t="n">
        <v>76</v>
      </c>
      <c r="C596" s="1" t="n">
        <v>321.8</v>
      </c>
      <c r="D596" s="2">
        <f>HYPERLINK("https://torgi.gov.ru/new/public/lots/lot/21000012550000000063_1/(lotInfo:info)", "21000012550000000063_1")</f>
        <v/>
      </c>
      <c r="E596" t="inlineStr">
        <is>
          <t>помещения, назначение: нежилое, общая площадь 321,8 кв. м, этаж: 3, номера на поэтажном плане 1 – 16, вход через помещения, принадлежащие третьим лицам, расположенные по адресу: г. Ярославль, Тепловой пер., д. 13, существующие ограничения (обременения) права: не зарегистрировано.</t>
        </is>
      </c>
      <c r="F596" s="3" t="inlineStr">
        <is>
          <t>05.09.22 12:00</t>
        </is>
      </c>
      <c r="G596" t="inlineStr">
        <is>
          <t>г Ярославль, Тепловой пер, д 13</t>
        </is>
      </c>
      <c r="H596" s="4" t="n">
        <v>7789000</v>
      </c>
      <c r="I596" s="4" t="n">
        <v>24204.47482908639</v>
      </c>
      <c r="J596" t="inlineStr">
        <is>
          <t>Нежилое помещение</t>
        </is>
      </c>
      <c r="K596" s="5" t="n">
        <v>19.87</v>
      </c>
      <c r="L596" s="4" t="n">
        <v>968.16</v>
      </c>
      <c r="M596" t="n">
        <v>1218</v>
      </c>
      <c r="N596" s="6" t="n">
        <v>603961</v>
      </c>
      <c r="O596" t="n">
        <v>25</v>
      </c>
      <c r="Q596" t="inlineStr">
        <is>
          <t>PP</t>
        </is>
      </c>
      <c r="R596" t="inlineStr">
        <is>
          <t>М</t>
        </is>
      </c>
      <c r="S596" s="2">
        <f>HYPERLINK("https://yandex.ru/maps/?&amp;text=57.60889, 39.94852", "57.60889, 39.94852")</f>
        <v/>
      </c>
      <c r="T596" s="2">
        <f>HYPERLINK("D:\venv_torgi\env\cache\objs_in_district/57.60889_39.94852.json", "57.60889_39.94852.json")</f>
        <v/>
      </c>
      <c r="V596" s="7" t="inlineStr">
        <is>
          <t>3</t>
        </is>
      </c>
      <c r="W596" s="20" t="n">
        <v>11222.13557349978</v>
      </c>
      <c r="X596" s="23" t="n">
        <v>-12982.33925558661</v>
      </c>
      <c r="Y596" t="n">
        <v>0</v>
      </c>
    </row>
    <row r="597">
      <c r="A597" s="8" t="n">
        <v>595</v>
      </c>
      <c r="B597" t="n">
        <v>76</v>
      </c>
      <c r="C597" s="1" t="n">
        <v>57.7</v>
      </c>
      <c r="D597" s="2">
        <f>HYPERLINK("https://torgi.gov.ru/new/public/lots/lot/21000008680000000038_1/(lotInfo:info)", "21000008680000000038_1")</f>
        <v/>
      </c>
      <c r="E597" t="inlineStr">
        <is>
          <t>Помещение, назначение: нежилое, площадь 57,7 кв. м, этаж № 01, расположенное по адресу: Ярославская область, г. Рыбинск, ул. Захарова/Моховая, д. 33/2, пом. I. Земельный участок: в долевую собственность.</t>
        </is>
      </c>
      <c r="F597" s="3" t="inlineStr">
        <is>
          <t>08.09.22 14:00</t>
        </is>
      </c>
      <c r="G597" t="inlineStr">
        <is>
          <t>Ярославская область, г. Рыбинск, ул. Захарова/Моховая, д. 33/2, пом. I.</t>
        </is>
      </c>
      <c r="H597" s="4" t="n">
        <v>1412380</v>
      </c>
      <c r="I597" s="4" t="n">
        <v>24477.98960138648</v>
      </c>
      <c r="J597" t="inlineStr">
        <is>
          <t>Нежилое помещение</t>
        </is>
      </c>
      <c r="K597" s="5" t="n">
        <v>4.37</v>
      </c>
      <c r="L597" s="4" t="n">
        <v>1439.82</v>
      </c>
      <c r="M597" t="n">
        <v>5607</v>
      </c>
      <c r="N597" s="6" t="n">
        <v>193341</v>
      </c>
      <c r="O597" t="n">
        <v>17</v>
      </c>
      <c r="P597" s="21" t="n">
        <v>0.0975688300941036</v>
      </c>
      <c r="Q597" t="inlineStr">
        <is>
          <t>EA</t>
        </is>
      </c>
      <c r="R597" t="inlineStr">
        <is>
          <t>М</t>
        </is>
      </c>
      <c r="S597" s="2">
        <f>HYPERLINK("https://yandex.ru/maps/?&amp;text=58.041453, 38.86429", "58.041453, 38.86429")</f>
        <v/>
      </c>
      <c r="T597" s="2">
        <f>HYPERLINK("D:\venv_torgi\env\cache\objs_in_district/58.041453_38.86429.json", "58.041453_38.86429.json")</f>
        <v/>
      </c>
      <c r="U597" t="inlineStr">
        <is>
          <t>76:20:110106:16</t>
        </is>
      </c>
      <c r="V597" s="7" t="inlineStr">
        <is>
          <t>1</t>
        </is>
      </c>
      <c r="W597" s="20" t="n">
        <v>26866.27840984939</v>
      </c>
      <c r="X597" s="22" t="n">
        <v>2388.288808462912</v>
      </c>
      <c r="Y597" t="n">
        <v>0</v>
      </c>
    </row>
    <row r="598">
      <c r="A598" s="8" t="n">
        <v>596</v>
      </c>
      <c r="B598" t="n">
        <v>76</v>
      </c>
      <c r="C598" s="1" t="n">
        <v>45.8</v>
      </c>
      <c r="D598" s="2">
        <f>HYPERLINK("https://torgi.gov.ru/new/public/lots/lot/21000004310000000228_24/(lotInfo:info)", "21000004310000000228_24")</f>
        <v/>
      </c>
      <c r="E598" t="inlineStr">
        <is>
          <t>ЛОТ №24 (Вторичные) Нежилое помещение, назначение: нежилое, площадь: 45,8 кв. м, кадастровый №76:23:010101:180233. Адрес: ЯО, г. Ярославль, ул. Автозаводская, напротив д. 7/2, бокс 20. Собственник имущества: Кротов Ю.А.</t>
        </is>
      </c>
      <c r="F598" s="3" t="inlineStr">
        <is>
          <t>31.08.22 20:59</t>
        </is>
      </c>
      <c r="G598" t="inlineStr">
        <is>
          <t>ЯО, г. Ярославль, ул. Автозаводская, напротив д. 7/2, бокс 20.</t>
        </is>
      </c>
      <c r="H598" s="4" t="n">
        <v>1177250</v>
      </c>
      <c r="I598" s="4" t="n">
        <v>25704.14847161572</v>
      </c>
      <c r="J598" t="inlineStr">
        <is>
          <t>Нежилое помещение</t>
        </is>
      </c>
      <c r="K598" s="5" t="n">
        <v>6.53</v>
      </c>
      <c r="L598" s="4" t="n">
        <v>6426</v>
      </c>
      <c r="M598" t="n">
        <v>3938</v>
      </c>
      <c r="N598" s="6" t="n">
        <v>603961</v>
      </c>
      <c r="O598" t="n">
        <v>4</v>
      </c>
      <c r="P598" s="21" t="n">
        <v>0.04521176570066019</v>
      </c>
      <c r="Q598" t="inlineStr">
        <is>
          <t>EA</t>
        </is>
      </c>
      <c r="R598" t="inlineStr">
        <is>
          <t>Д</t>
        </is>
      </c>
      <c r="S598" s="2">
        <f>HYPERLINK("https://yandex.ru/maps/?&amp;text=57.642237, 39.84667", "57.642237, 39.84667")</f>
        <v/>
      </c>
      <c r="T598" s="2">
        <f>HYPERLINK("D:\venv_torgi\env\cache\objs_in_district/57.642237_39.84667.json", "57.642237_39.84667.json")</f>
        <v/>
      </c>
      <c r="U598" t="inlineStr">
        <is>
          <t>76:23:010101:18023</t>
        </is>
      </c>
      <c r="W598" s="20" t="n">
        <v>26866.27840984939</v>
      </c>
      <c r="X598" s="22" t="n">
        <v>1162.129938233673</v>
      </c>
      <c r="Y598" t="n">
        <v>0</v>
      </c>
    </row>
    <row r="599">
      <c r="A599" s="8" t="n">
        <v>597</v>
      </c>
      <c r="B599" t="n">
        <v>76</v>
      </c>
      <c r="C599" s="1" t="n">
        <v>25.1</v>
      </c>
      <c r="D599" s="2">
        <f>HYPERLINK("https://torgi.gov.ru/new/public/lots/lot/21000012550000000060_1/(lotInfo:info)", "21000012550000000060_1")</f>
        <v/>
      </c>
      <c r="E599" t="inlineStr">
        <is>
          <t>недвижимое имущество общей площадью 25,1 кв. м, расположенное по адресу: г. Ярославль, ул. 1905 года, д. 6, в составе:- помещение, назначение: нежилое, общая площадь 3,2 кв. м, в том числе без разрешения перепланировано 3,2 кв. м, этаж: 1, номер на поэтажном плане 65, существующие ограничения (обременения) права: не зарегистрировано;- помещения, назначение: нежилое, общая площадь 21,9 кв. м, в том числе без разрешения перепланировано 9,2 кв. м, этаж: 1, номера на поэтажном плане 63, 64, существующие ограничения (обременения) права: не зарегистрировано.Победитель торгов обязан обеспечить через собственные помещения доступ в помещение 1 этажа, принадлежащее третьим лицам.</t>
        </is>
      </c>
      <c r="F599" s="3" t="inlineStr">
        <is>
          <t>30.08.22 12:00</t>
        </is>
      </c>
      <c r="G599" t="inlineStr">
        <is>
          <t>г Ярославль, ул 1905 года, д 6</t>
        </is>
      </c>
      <c r="H599" s="4" t="n">
        <v>650000</v>
      </c>
      <c r="I599" s="4" t="n">
        <v>25896.41434262948</v>
      </c>
      <c r="J599" t="inlineStr">
        <is>
          <t>Нежилое помещение</t>
        </is>
      </c>
      <c r="K599" s="5" t="n">
        <v>11.47</v>
      </c>
      <c r="L599" s="4" t="n">
        <v>631.61</v>
      </c>
      <c r="M599" t="n">
        <v>2257</v>
      </c>
      <c r="N599" s="6" t="n">
        <v>603961</v>
      </c>
      <c r="O599" t="n">
        <v>41</v>
      </c>
      <c r="P599" s="21" t="n">
        <v>0.003996415434604631</v>
      </c>
      <c r="Q599" t="inlineStr">
        <is>
          <t>PP</t>
        </is>
      </c>
      <c r="R599" t="inlineStr">
        <is>
          <t>М</t>
        </is>
      </c>
      <c r="S599" s="2">
        <f>HYPERLINK("https://yandex.ru/maps/?&amp;text=57.71358, 39.775865", "57.71358, 39.775865")</f>
        <v/>
      </c>
      <c r="T599" s="2">
        <f>HYPERLINK("D:\venv_torgi\env\cache\objs_in_district/57.71358_39.775865.json", "57.71358_39.775865.json")</f>
        <v/>
      </c>
      <c r="V599" s="7" t="inlineStr">
        <is>
          <t>1</t>
        </is>
      </c>
      <c r="W599" s="20" t="n">
        <v>25999.90717260928</v>
      </c>
      <c r="X599" s="22" t="n">
        <v>103.4928299798012</v>
      </c>
      <c r="Y599" t="n">
        <v>0</v>
      </c>
    </row>
    <row r="600">
      <c r="A600" s="8" t="n">
        <v>598</v>
      </c>
      <c r="B600" t="n">
        <v>76</v>
      </c>
      <c r="C600" s="1" t="n">
        <v>185.1</v>
      </c>
      <c r="D600" s="2">
        <f>HYPERLINK("https://torgi.gov.ru/new/public/lots/lot/21000012550000000065_1/(lotInfo:info)", "21000012550000000065_1")</f>
        <v/>
      </c>
      <c r="E600" t="inlineStr">
        <is>
          <t>недвижимое имущество, расположенное по адресу: г. Ярославль,  просп. Октября, д. 11:- помещения, назначение: нежилое, общая площадь 185,1 кв. м, этаж: цокольный, номера на поэтажном плане 1 – 6, 8 – 20, расположенные по адресу: г. Ярославль, просп. Октября, д. 11, существующие ограничения (обременения) права: объект культурного наследия федерального значения – «Здание Ольгинского приюта», конец XVIII века, включенный в единый государственный реестр объектов культурного наследия (памятников истории и культуры) народов Российской Федерации.Лицо, к которому переходит имущественное право на указанный объект культурного наследия, обязано выполнять требования, установленные Федеральным законом от 25.06.2002 № 73-ФЗ «Об объектах культурного наследия (памятниках истории и культуры) народов Российской Федерации».</t>
        </is>
      </c>
      <c r="F600" s="3" t="inlineStr">
        <is>
          <t>20.09.22 12:00</t>
        </is>
      </c>
      <c r="G600" t="inlineStr">
        <is>
          <t>г Ярославль, пр-кт Октября</t>
        </is>
      </c>
      <c r="H600" s="4" t="n">
        <v>5021000</v>
      </c>
      <c r="I600" s="4" t="n">
        <v>27125.87790383576</v>
      </c>
      <c r="J600" t="inlineStr">
        <is>
          <t xml:space="preserve">Здание </t>
        </is>
      </c>
      <c r="K600" s="5" t="n">
        <v>6.51</v>
      </c>
      <c r="L600" s="4" t="n">
        <v>1043.27</v>
      </c>
      <c r="M600" t="n">
        <v>4166</v>
      </c>
      <c r="N600" s="6" t="n">
        <v>603961</v>
      </c>
      <c r="O600" t="n">
        <v>26</v>
      </c>
      <c r="Q600" t="inlineStr">
        <is>
          <t>EK</t>
        </is>
      </c>
      <c r="R600" t="inlineStr">
        <is>
          <t>М</t>
        </is>
      </c>
      <c r="S600" s="2">
        <f>HYPERLINK("https://yandex.ru/maps/?&amp;text=57.639973, 39.857126", "57.639973, 39.857126")</f>
        <v/>
      </c>
      <c r="T600" s="2">
        <f>HYPERLINK("D:\venv_torgi\env\cache\objs_in_district/57.639973_39.857126.json", "57.639973_39.857126.json")</f>
        <v/>
      </c>
      <c r="V600" s="7" t="inlineStr">
        <is>
          <t>0</t>
        </is>
      </c>
      <c r="W600" s="20" t="n">
        <v>16978.25983052898</v>
      </c>
      <c r="X600" s="23" t="n">
        <v>-10147.61807330678</v>
      </c>
      <c r="Y600" t="n">
        <v>0</v>
      </c>
      <c r="Z600" t="n">
        <v>1</v>
      </c>
    </row>
    <row r="601">
      <c r="A601" s="8" t="n">
        <v>599</v>
      </c>
      <c r="B601" t="n">
        <v>76</v>
      </c>
      <c r="C601" s="1" t="n">
        <v>270.7</v>
      </c>
      <c r="D601" s="2">
        <f>HYPERLINK("https://torgi.gov.ru/new/public/lots/lot/21000012550000000061_1/(lotInfo:info)", "21000012550000000061_1")</f>
        <v/>
      </c>
      <c r="E601" t="inlineStr">
        <is>
          <t>помещения, назначение: нежилое, общая площадь 270,7 кв. м, этаж: 1, номера на поэтажном плане 3-17, 35, расположенные по адресу: г. Ярославль, ул. Колышкина, д. 62, существующие ограничения (обременения) права: не зарегистрировано.</t>
        </is>
      </c>
      <c r="F601" s="3" t="inlineStr">
        <is>
          <t>31.08.22 12:00</t>
        </is>
      </c>
      <c r="G601" t="inlineStr">
        <is>
          <t>г Ярославль, ул Колышкина, д 62</t>
        </is>
      </c>
      <c r="H601" s="4" t="n">
        <v>8228000</v>
      </c>
      <c r="I601" s="4" t="n">
        <v>30395.27151828593</v>
      </c>
      <c r="J601" t="inlineStr">
        <is>
          <t>Нежилое помещение</t>
        </is>
      </c>
      <c r="K601" s="5" t="n">
        <v>117.36</v>
      </c>
      <c r="L601" s="4" t="n">
        <v>3799.38</v>
      </c>
      <c r="M601" t="n">
        <v>259</v>
      </c>
      <c r="N601" s="6" t="n">
        <v>603961</v>
      </c>
      <c r="O601" t="n">
        <v>8</v>
      </c>
      <c r="Q601" t="inlineStr">
        <is>
          <t>PP</t>
        </is>
      </c>
      <c r="R601" t="inlineStr">
        <is>
          <t>М</t>
        </is>
      </c>
      <c r="S601" s="2">
        <f>HYPERLINK("https://yandex.ru/maps/?&amp;text=57.755722, 39.80247", "57.755722, 39.80247")</f>
        <v/>
      </c>
      <c r="T601" s="2">
        <f>HYPERLINK("D:\venv_torgi\env\cache\objs_in_district/57.755722_39.80247.json", "57.755722_39.80247.json")</f>
        <v/>
      </c>
      <c r="V601" s="7" t="inlineStr">
        <is>
          <t>1</t>
        </is>
      </c>
      <c r="W601" s="20" t="n">
        <v>10184.55663459608</v>
      </c>
      <c r="X601" s="23" t="n">
        <v>-20210.71488368985</v>
      </c>
      <c r="Y601" t="n">
        <v>0</v>
      </c>
    </row>
    <row r="602">
      <c r="A602" s="8" t="n">
        <v>600</v>
      </c>
      <c r="B602" t="n">
        <v>76</v>
      </c>
      <c r="C602" s="1" t="n">
        <v>19</v>
      </c>
      <c r="D602" s="2">
        <f>HYPERLINK("https://torgi.gov.ru/new/public/lots/lot/21000004310000000243_6/(lotInfo:info)", "21000004310000000243_6")</f>
        <v/>
      </c>
      <c r="E602" t="inlineStr">
        <is>
          <t>ЛОТ №6 Помещение, назначение объекта: нежилое, площадь объекта:  19 кв. м, кадастровый №76:17:101103:175. Адрес объектов: ЯО, Ярославский район, п. Красный Бор, ул. Большая Заозерная, д. 2, пом. 4. Собственник имущества: Богданов С.Н.</t>
        </is>
      </c>
      <c r="F602" s="3" t="inlineStr">
        <is>
          <t>09.09.22 20:59</t>
        </is>
      </c>
      <c r="G602" t="inlineStr">
        <is>
          <t>Ярославская обл, Ярославский р-н, поселок Красный Бор, ул Большая Заозерная, д 2, помещ 4</t>
        </is>
      </c>
      <c r="H602" s="4" t="n">
        <v>618000</v>
      </c>
      <c r="I602" s="4" t="n">
        <v>32526.31578947368</v>
      </c>
      <c r="J602" t="inlineStr">
        <is>
          <t>Нежилое помещение</t>
        </is>
      </c>
      <c r="K602" s="5" t="n">
        <v>18.41</v>
      </c>
      <c r="L602" s="4" t="n">
        <v>16263</v>
      </c>
      <c r="M602" t="n">
        <v>1767</v>
      </c>
      <c r="N602" s="6" t="n">
        <v>2284</v>
      </c>
      <c r="O602" t="n">
        <v>2</v>
      </c>
      <c r="P602" s="21" t="n">
        <v>0.1875612443381259</v>
      </c>
      <c r="Q602" t="inlineStr">
        <is>
          <t>EA</t>
        </is>
      </c>
      <c r="R602" t="inlineStr">
        <is>
          <t>Д</t>
        </is>
      </c>
      <c r="S602" s="2">
        <f>HYPERLINK("https://yandex.ru/maps/?&amp;text=57.634975, 39.971626", "57.634975, 39.971626")</f>
        <v/>
      </c>
      <c r="T602" s="2">
        <f>HYPERLINK("D:\venv_torgi\env\cache\objs_in_district/57.634975_39.971626.json", "57.634975_39.971626.json")</f>
        <v/>
      </c>
      <c r="U602" t="inlineStr">
        <is>
          <t>76:17:101103:175</t>
        </is>
      </c>
      <c r="W602" s="20" t="n">
        <v>38626.9920526822</v>
      </c>
      <c r="X602" s="22" t="n">
        <v>6100.676263208516</v>
      </c>
      <c r="Y602" t="n">
        <v>0</v>
      </c>
    </row>
    <row r="603">
      <c r="A603" s="8" t="n">
        <v>601</v>
      </c>
      <c r="B603" t="n">
        <v>76</v>
      </c>
      <c r="C603" s="1" t="n">
        <v>18.6</v>
      </c>
      <c r="D603" s="2">
        <f>HYPERLINK("https://torgi.gov.ru/new/public/lots/lot/21000004310000000243_7/(lotInfo:info)", "21000004310000000243_7")</f>
        <v/>
      </c>
      <c r="E603" t="inlineStr">
        <is>
          <t>ЛОТ №7 Помещение, назначение объекта: нежилое, площадь объекта:  18,6 кв. м, кадастровый №76:17:101103:166. Адрес объектов: ЯО, Ярославский район, п. Красный Бор, ул. Большая Заозерная, д. 2, пом. 5. Собственник имущества: Богданов С.Н.</t>
        </is>
      </c>
      <c r="F603" s="3" t="inlineStr">
        <is>
          <t>09.09.22 20:59</t>
        </is>
      </c>
      <c r="G603" t="inlineStr">
        <is>
          <t>Ярославская обл, Ярославский р-н, поселок Красный Бор, ул Большая Заозерная, д 2, помещ 5</t>
        </is>
      </c>
      <c r="H603" s="4" t="n">
        <v>605000</v>
      </c>
      <c r="I603" s="4" t="n">
        <v>32526.8817204301</v>
      </c>
      <c r="J603" t="inlineStr">
        <is>
          <t>Нежилое помещение</t>
        </is>
      </c>
      <c r="K603" s="5" t="n">
        <v>18.41</v>
      </c>
      <c r="L603" s="4" t="n">
        <v>16263</v>
      </c>
      <c r="M603" t="n">
        <v>1767</v>
      </c>
      <c r="N603" s="6" t="n">
        <v>2284</v>
      </c>
      <c r="O603" t="n">
        <v>2</v>
      </c>
      <c r="P603" s="21" t="n">
        <v>0.1875405821155189</v>
      </c>
      <c r="Q603" t="inlineStr">
        <is>
          <t>EA</t>
        </is>
      </c>
      <c r="R603" t="inlineStr">
        <is>
          <t>Д</t>
        </is>
      </c>
      <c r="S603" s="2">
        <f>HYPERLINK("https://yandex.ru/maps/?&amp;text=57.634975, 39.971626", "57.634975, 39.971626")</f>
        <v/>
      </c>
      <c r="T603" s="2">
        <f>HYPERLINK("D:\venv_torgi\env\cache\objs_in_district/57.634975_39.971626.json", "57.634975_39.971626.json")</f>
        <v/>
      </c>
      <c r="U603" t="inlineStr">
        <is>
          <t>76:17:101103:166</t>
        </is>
      </c>
      <c r="W603" s="20" t="n">
        <v>38626.9920526822</v>
      </c>
      <c r="X603" s="22" t="n">
        <v>6100.110332252094</v>
      </c>
      <c r="Y603" t="n">
        <v>0</v>
      </c>
    </row>
    <row r="604">
      <c r="A604" s="8" t="n">
        <v>602</v>
      </c>
      <c r="B604" t="n">
        <v>76</v>
      </c>
      <c r="C604" s="1" t="n">
        <v>20.1</v>
      </c>
      <c r="D604" s="2">
        <f>HYPERLINK("https://torgi.gov.ru/new/public/lots/lot/21000004310000000243_3/(lotInfo:info)", "21000004310000000243_3")</f>
        <v/>
      </c>
      <c r="E604" t="inlineStr">
        <is>
          <t>ЛОТ №3 Помещение, назначение объекта: нежилое, площадь объекта:  20,1 кв. м, кадастровый №76:17:101103:163. Адрес объектов: ЯО, Ярославский район, п. Красный Бор, ул. Большая Заозерная, д. 2, пом. 1. Собственник имущества: Богданов С.Н.</t>
        </is>
      </c>
      <c r="F604" s="3" t="inlineStr">
        <is>
          <t>09.09.22 20:59</t>
        </is>
      </c>
      <c r="G604" t="inlineStr">
        <is>
          <t>Ярославская обл, Ярославский р-н, поселок Красный Бор, ул Большая Заозерная, д 2, помещ 1</t>
        </is>
      </c>
      <c r="H604" s="4" t="n">
        <v>654000</v>
      </c>
      <c r="I604" s="4" t="n">
        <v>32537.31343283582</v>
      </c>
      <c r="J604" t="inlineStr">
        <is>
          <t>Нежилое помещение</t>
        </is>
      </c>
      <c r="K604" s="5" t="n">
        <v>18.41</v>
      </c>
      <c r="L604" s="4" t="n">
        <v>16268.5</v>
      </c>
      <c r="M604" t="n">
        <v>1767</v>
      </c>
      <c r="N604" s="6" t="n">
        <v>2284</v>
      </c>
      <c r="O604" t="n">
        <v>2</v>
      </c>
      <c r="P604" s="21" t="n">
        <v>0.1871598474906913</v>
      </c>
      <c r="Q604" t="inlineStr">
        <is>
          <t>EA</t>
        </is>
      </c>
      <c r="R604" t="inlineStr">
        <is>
          <t>Д</t>
        </is>
      </c>
      <c r="S604" s="2">
        <f>HYPERLINK("https://yandex.ru/maps/?&amp;text=57.634975, 39.971626", "57.634975, 39.971626")</f>
        <v/>
      </c>
      <c r="T604" s="2">
        <f>HYPERLINK("D:\venv_torgi\env\cache\objs_in_district/57.634975_39.971626.json", "57.634975_39.971626.json")</f>
        <v/>
      </c>
      <c r="U604" t="inlineStr">
        <is>
          <t>76:17:101103:163</t>
        </is>
      </c>
      <c r="W604" s="20" t="n">
        <v>38626.9920526822</v>
      </c>
      <c r="X604" s="22" t="n">
        <v>6089.678619846374</v>
      </c>
      <c r="Y604" t="n">
        <v>0</v>
      </c>
    </row>
    <row r="605">
      <c r="A605" s="8" t="n">
        <v>603</v>
      </c>
      <c r="B605" t="n">
        <v>76</v>
      </c>
      <c r="C605" s="1" t="n">
        <v>18.9</v>
      </c>
      <c r="D605" s="2">
        <f>HYPERLINK("https://torgi.gov.ru/new/public/lots/lot/21000004310000000243_8/(lotInfo:info)", "21000004310000000243_8")</f>
        <v/>
      </c>
      <c r="E605" t="inlineStr">
        <is>
          <t>ЛОТ №8 Помещение, назначение объекта: нежилое, площадь объекта:  18,9 кв. м, кадастровый №76:17:101103:167. Адрес объектов: ЯО, Ярославский район, п. Красный Бор, ул. Большая Заозерная, д. 2, пом. 6. Собственник имущества: Богданов С.Н.</t>
        </is>
      </c>
      <c r="F605" s="3" t="inlineStr">
        <is>
          <t>09.09.22 20:59</t>
        </is>
      </c>
      <c r="G605" t="inlineStr">
        <is>
          <t>Ярославская обл, Ярославский р-н, поселок Красный Бор, ул Большая Заозерная, д 2, помещ 6</t>
        </is>
      </c>
      <c r="H605" s="4" t="n">
        <v>615000</v>
      </c>
      <c r="I605" s="4" t="n">
        <v>32539.68253968254</v>
      </c>
      <c r="J605" t="inlineStr">
        <is>
          <t>Нежилое помещение</t>
        </is>
      </c>
      <c r="K605" s="5" t="n">
        <v>18.41</v>
      </c>
      <c r="L605" s="4" t="n">
        <v>16269.5</v>
      </c>
      <c r="M605" t="n">
        <v>1767</v>
      </c>
      <c r="N605" s="6" t="n">
        <v>2284</v>
      </c>
      <c r="O605" t="n">
        <v>2</v>
      </c>
      <c r="P605" s="21" t="n">
        <v>0.1870734143019406</v>
      </c>
      <c r="Q605" t="inlineStr">
        <is>
          <t>EA</t>
        </is>
      </c>
      <c r="R605" t="inlineStr">
        <is>
          <t>Д</t>
        </is>
      </c>
      <c r="S605" s="2">
        <f>HYPERLINK("https://yandex.ru/maps/?&amp;text=57.634975, 39.971626", "57.634975, 39.971626")</f>
        <v/>
      </c>
      <c r="T605" s="2">
        <f>HYPERLINK("D:\venv_torgi\env\cache\objs_in_district/57.634975_39.971626.json", "57.634975_39.971626.json")</f>
        <v/>
      </c>
      <c r="U605" t="inlineStr">
        <is>
          <t>76:17:101103:167</t>
        </is>
      </c>
      <c r="W605" s="20" t="n">
        <v>38626.9920526822</v>
      </c>
      <c r="X605" s="22" t="n">
        <v>6087.309512999655</v>
      </c>
      <c r="Y605" t="n">
        <v>0</v>
      </c>
    </row>
    <row r="606">
      <c r="A606" s="8" t="n">
        <v>604</v>
      </c>
      <c r="B606" t="n">
        <v>76</v>
      </c>
      <c r="C606" s="1" t="n">
        <v>18.9</v>
      </c>
      <c r="D606" s="2">
        <f>HYPERLINK("https://torgi.gov.ru/new/public/lots/lot/21000004310000000243_4/(lotInfo:info)", "21000004310000000243_4")</f>
        <v/>
      </c>
      <c r="E606" t="inlineStr">
        <is>
          <t>ЛОТ №4 Помещение, назначение объекта: нежилое, площадь объекта:  18,9 кв. м, кадастровый №76:17:101103:164. Адрес объектов: ЯО, Ярославский район, п. Красный Бор, ул. Большая Заозерная, д. 2, пом. 2. Собственник имущества: Богданов С.Н.</t>
        </is>
      </c>
      <c r="F606" s="3" t="inlineStr">
        <is>
          <t>09.09.22 20:59</t>
        </is>
      </c>
      <c r="G606" t="inlineStr">
        <is>
          <t>Ярославская обл, Ярославский р-н, поселок Красный Бор, ул Большая Заозерная, д 2, помещ 2</t>
        </is>
      </c>
      <c r="H606" s="4" t="n">
        <v>615000</v>
      </c>
      <c r="I606" s="4" t="n">
        <v>32539.68253968254</v>
      </c>
      <c r="J606" t="inlineStr">
        <is>
          <t>Нежилое помещение</t>
        </is>
      </c>
      <c r="K606" s="5" t="n">
        <v>18.41</v>
      </c>
      <c r="L606" s="4" t="n">
        <v>16269.5</v>
      </c>
      <c r="M606" t="n">
        <v>1767</v>
      </c>
      <c r="N606" s="6" t="n">
        <v>2284</v>
      </c>
      <c r="O606" t="n">
        <v>2</v>
      </c>
      <c r="P606" s="21" t="n">
        <v>0.1870734143019406</v>
      </c>
      <c r="Q606" t="inlineStr">
        <is>
          <t>EA</t>
        </is>
      </c>
      <c r="R606" t="inlineStr">
        <is>
          <t>Д</t>
        </is>
      </c>
      <c r="S606" s="2">
        <f>HYPERLINK("https://yandex.ru/maps/?&amp;text=57.634975, 39.971626", "57.634975, 39.971626")</f>
        <v/>
      </c>
      <c r="T606" s="2">
        <f>HYPERLINK("D:\venv_torgi\env\cache\objs_in_district/57.634975_39.971626.json", "57.634975_39.971626.json")</f>
        <v/>
      </c>
      <c r="U606" t="inlineStr">
        <is>
          <t>76:17:101103:164</t>
        </is>
      </c>
      <c r="W606" s="20" t="n">
        <v>38626.9920526822</v>
      </c>
      <c r="X606" s="22" t="n">
        <v>6087.309512999655</v>
      </c>
      <c r="Y606" t="n">
        <v>0</v>
      </c>
    </row>
    <row r="607">
      <c r="A607" s="8" t="n">
        <v>605</v>
      </c>
      <c r="B607" t="n">
        <v>76</v>
      </c>
      <c r="C607" s="1" t="n">
        <v>19.1</v>
      </c>
      <c r="D607" s="2">
        <f>HYPERLINK("https://torgi.gov.ru/new/public/lots/lot/21000004310000000243_5/(lotInfo:info)", "21000004310000000243_5")</f>
        <v/>
      </c>
      <c r="E607" t="inlineStr">
        <is>
          <t>ЛОТ №5 Помещение, назначение объекта: нежилое, площадь объекта:  19,1 кв. м, кадастровый №76:17:101103:165. Адрес объектов: ЯО, Ярославский район, п. Красный Бор, ул. Большая Заозерная, д. 2, пом. 3. Собственник имущества: Богданов С.Н.</t>
        </is>
      </c>
      <c r="F607" s="3" t="inlineStr">
        <is>
          <t>09.09.22 20:59</t>
        </is>
      </c>
      <c r="G607" t="inlineStr">
        <is>
          <t>Ярославская обл, Ярославский р-н, поселок Красный Бор, ул Большая Заозерная, д 2, помещ 3</t>
        </is>
      </c>
      <c r="H607" s="4" t="n">
        <v>622000</v>
      </c>
      <c r="I607" s="4" t="n">
        <v>32565.44502617801</v>
      </c>
      <c r="J607" t="inlineStr">
        <is>
          <t>Нежилое помещение</t>
        </is>
      </c>
      <c r="K607" s="5" t="n">
        <v>18.43</v>
      </c>
      <c r="L607" s="4" t="n">
        <v>16282.5</v>
      </c>
      <c r="M607" t="n">
        <v>1767</v>
      </c>
      <c r="N607" s="6" t="n">
        <v>2284</v>
      </c>
      <c r="O607" t="n">
        <v>2</v>
      </c>
      <c r="P607" s="21" t="n">
        <v>0.1861343218749677</v>
      </c>
      <c r="Q607" t="inlineStr">
        <is>
          <t>EA</t>
        </is>
      </c>
      <c r="R607" t="inlineStr">
        <is>
          <t>Д</t>
        </is>
      </c>
      <c r="S607" s="2">
        <f>HYPERLINK("https://yandex.ru/maps/?&amp;text=57.634975, 39.971626", "57.634975, 39.971626")</f>
        <v/>
      </c>
      <c r="T607" s="2">
        <f>HYPERLINK("D:\venv_torgi\env\cache\objs_in_district/57.634975_39.971626.json", "57.634975_39.971626.json")</f>
        <v/>
      </c>
      <c r="U607" t="inlineStr">
        <is>
          <t>76:17:101103:165</t>
        </is>
      </c>
      <c r="W607" s="20" t="n">
        <v>38626.9920526822</v>
      </c>
      <c r="X607" s="22" t="n">
        <v>6061.547026504184</v>
      </c>
      <c r="Y607" t="n">
        <v>0</v>
      </c>
    </row>
    <row r="608">
      <c r="A608" s="8" t="n">
        <v>606</v>
      </c>
      <c r="B608" t="n">
        <v>76</v>
      </c>
      <c r="C608" s="1" t="n">
        <v>74.3</v>
      </c>
      <c r="D608" s="2">
        <f>HYPERLINK("https://torgi.gov.ru/new/public/lots/lot/21000008680000000036_1/(lotInfo:info)", "21000008680000000036_1")</f>
        <v/>
      </c>
      <c r="E608" t="inlineStr">
        <is>
          <t>Помещение, назначение: нежилое, площадь 74,3 кв.м, этаж № 1, расположенное по адресу: Ярославская область, г. Рыбинск, ул. Крестовая, д.27, пом. III. Земельный участок: в долевую собственность.</t>
        </is>
      </c>
      <c r="F608" s="3" t="inlineStr">
        <is>
          <t>31.08.22 14:00</t>
        </is>
      </c>
      <c r="G608" t="inlineStr">
        <is>
          <t>Ярославская обл, г Рыбинск, ул Крестовая, д 27</t>
        </is>
      </c>
      <c r="H608" s="4" t="n">
        <v>2587368.82</v>
      </c>
      <c r="I608" s="4" t="n">
        <v>34823.26810228802</v>
      </c>
      <c r="J608" t="inlineStr">
        <is>
          <t>Нежилое помещение</t>
        </is>
      </c>
      <c r="K608" s="5" t="n">
        <v>5.22</v>
      </c>
      <c r="L608" s="4" t="n">
        <v>351.75</v>
      </c>
      <c r="M608" t="n">
        <v>6669</v>
      </c>
      <c r="N608" s="6" t="n">
        <v>193341</v>
      </c>
      <c r="O608" t="n">
        <v>99</v>
      </c>
      <c r="Q608" t="inlineStr">
        <is>
          <t>EA</t>
        </is>
      </c>
      <c r="R608" t="inlineStr">
        <is>
          <t>М</t>
        </is>
      </c>
      <c r="S608" s="2">
        <f>HYPERLINK("https://yandex.ru/maps/?&amp;text=58.048664, 38.853645", "58.048664, 38.853645")</f>
        <v/>
      </c>
      <c r="T608" s="2">
        <f>HYPERLINK("D:\venv_torgi\env\cache\objs_in_district/58.048664_38.853645.json", "58.048664_38.853645.json")</f>
        <v/>
      </c>
      <c r="V608" s="7" t="inlineStr">
        <is>
          <t>1</t>
        </is>
      </c>
      <c r="W608" s="20" t="n">
        <v>26866.27840984939</v>
      </c>
      <c r="X608" s="23" t="n">
        <v>-7956.989692438627</v>
      </c>
      <c r="Y608" t="n">
        <v>0</v>
      </c>
    </row>
    <row r="609">
      <c r="A609" s="8" t="n">
        <v>607</v>
      </c>
      <c r="B609" t="n">
        <v>76</v>
      </c>
      <c r="C609" s="1" t="n">
        <v>37.3</v>
      </c>
      <c r="D609" s="2">
        <f>HYPERLINK("https://torgi.gov.ru/new/public/lots/lot/21000004310000000277_1/(lotInfo:info)", "21000004310000000277_1")</f>
        <v/>
      </c>
      <c r="E609" t="inlineStr">
        <is>
          <t>Нежилое помещение с кадастровым номером 76:20:120202:19, площадью 37,3 кв.м. расположенное по адресу:  Ярославская область , г. Рыбинск, ул. Чебышева, д. 5</t>
        </is>
      </c>
      <c r="F609" s="3" t="inlineStr">
        <is>
          <t>26.09.22 20:59</t>
        </is>
      </c>
      <c r="G609" t="inlineStr">
        <is>
          <t>Ярославская обл, г Рыбинск, ул Чебышева, д 5</t>
        </is>
      </c>
      <c r="H609" s="4" t="n">
        <v>1432320</v>
      </c>
      <c r="I609" s="4" t="n">
        <v>38400</v>
      </c>
      <c r="J609" t="inlineStr">
        <is>
          <t>Нежилое помещение</t>
        </is>
      </c>
      <c r="K609" s="5" t="n">
        <v>88.89</v>
      </c>
      <c r="L609" s="4" t="n">
        <v>12800</v>
      </c>
      <c r="M609" t="n">
        <v>432</v>
      </c>
      <c r="N609" s="6" t="n">
        <v>193341</v>
      </c>
      <c r="O609" t="n">
        <v>3</v>
      </c>
      <c r="Q609" t="inlineStr">
        <is>
          <t>EA</t>
        </is>
      </c>
      <c r="R609" t="inlineStr">
        <is>
          <t>М</t>
        </is>
      </c>
      <c r="S609" s="2">
        <f>HYPERLINK("https://yandex.ru/maps/?&amp;text=58.0337298, 38.9397654", "58.0337298, 38.9397654")</f>
        <v/>
      </c>
      <c r="T609" s="2">
        <f>HYPERLINK("D:\venv_torgi\env\cache\objs_in_district/58.0337298_38.9397654.json", "58.0337298_38.9397654.json")</f>
        <v/>
      </c>
      <c r="U609" t="inlineStr">
        <is>
          <t xml:space="preserve">76:20:120202:19, </t>
        </is>
      </c>
      <c r="W609" s="20" t="n">
        <v>25999.90717260928</v>
      </c>
      <c r="X609" s="23" t="n">
        <v>-12400.09282739072</v>
      </c>
      <c r="Y609" t="n">
        <v>0</v>
      </c>
    </row>
    <row r="610">
      <c r="A610" s="8" t="n">
        <v>608</v>
      </c>
      <c r="B610" t="n">
        <v>76</v>
      </c>
      <c r="C610" s="1" t="n">
        <v>127.2</v>
      </c>
      <c r="D610" s="2">
        <f>HYPERLINK("https://torgi.gov.ru/new/public/lots/lot/21000008680000000047_1/(lotInfo:info)", "21000008680000000047_1")</f>
        <v/>
      </c>
      <c r="E610" t="inlineStr">
        <is>
          <t>помещение, назначение: нежилое, площадь 127,2 кв.м., этаж № 2, кадастровый номер 76:20:080418:109, расположенное по адресу: Ярославская область, г. Рыбинск, ул. Крестовая/Стоялая, д. 31/8, пом. II. Выявленный объект культурного наследия «Гостиница Быкова 1802 г.-1890 г.». Земельный участок: в долевую собственность.</t>
        </is>
      </c>
      <c r="F610" s="3" t="inlineStr">
        <is>
          <t>15.09.22 14:00</t>
        </is>
      </c>
      <c r="G610" t="inlineStr">
        <is>
          <t>Ярославская область, г. Рыбинск, ул. Крестовая/Стоялая, д. 31/8, пом. II.</t>
        </is>
      </c>
      <c r="H610" s="4" t="n">
        <v>4946885.36</v>
      </c>
      <c r="I610" s="4" t="n">
        <v>38890.60817610063</v>
      </c>
      <c r="J610" t="inlineStr">
        <is>
          <t>Нежилое помещение</t>
        </is>
      </c>
      <c r="K610" s="5" t="n">
        <v>5.28</v>
      </c>
      <c r="L610" s="4" t="n">
        <v>363.46</v>
      </c>
      <c r="M610" t="n">
        <v>7366</v>
      </c>
      <c r="N610" s="6" t="n">
        <v>193341</v>
      </c>
      <c r="O610" t="n">
        <v>107</v>
      </c>
      <c r="Q610" t="inlineStr">
        <is>
          <t>EA</t>
        </is>
      </c>
      <c r="R610" t="inlineStr">
        <is>
          <t>М</t>
        </is>
      </c>
      <c r="S610" s="2">
        <f>HYPERLINK("https://yandex.ru/maps/?&amp;text=58.049035, 38.851678", "58.049035, 38.851678")</f>
        <v/>
      </c>
      <c r="T610" s="2">
        <f>HYPERLINK("D:\venv_torgi\env\cache\objs_in_district/58.049035_38.851678.json", "58.049035_38.851678.json")</f>
        <v/>
      </c>
      <c r="U610" t="inlineStr">
        <is>
          <t xml:space="preserve">76:20:080418:109, </t>
        </is>
      </c>
      <c r="V610" s="7" t="inlineStr">
        <is>
          <t>2</t>
        </is>
      </c>
      <c r="W610" s="20" t="n">
        <v>26866.27840984939</v>
      </c>
      <c r="X610" s="23" t="n">
        <v>-12024.32976625123</v>
      </c>
      <c r="Y610" t="n">
        <v>0</v>
      </c>
      <c r="Z610" t="n">
        <v>1</v>
      </c>
    </row>
    <row r="611">
      <c r="A611" s="8" t="n">
        <v>609</v>
      </c>
      <c r="B611" t="n">
        <v>76</v>
      </c>
      <c r="C611" s="1" t="n">
        <v>24.4</v>
      </c>
      <c r="D611" s="2">
        <f>HYPERLINK("https://torgi.gov.ru/new/public/lots/lot/21000004310000000262_7/(lotInfo:info)", "21000004310000000262_7")</f>
        <v/>
      </c>
      <c r="E611" t="inlineStr">
        <is>
          <t>ЛОТ №7 (Вторичные) Нежилое помещение, назначение: нежилое, площадь: 24,4 кв. м, кадастровый №76:23:010101:193241. Адрес: ЯО, г. Ярославль, ул. Рыбинская, д. 7, пом. 13. Собственник имущества: Старикова И.В.</t>
        </is>
      </c>
      <c r="F611" s="3" t="inlineStr">
        <is>
          <t>12.09.22 20:59</t>
        </is>
      </c>
      <c r="G611" t="inlineStr">
        <is>
          <t>г Ярославль, ул Рыбинская, д 7, помещ 13</t>
        </is>
      </c>
      <c r="H611" s="4" t="n">
        <v>1197650</v>
      </c>
      <c r="I611" s="4" t="n">
        <v>49084.01639344262</v>
      </c>
      <c r="J611" t="inlineStr">
        <is>
          <t>Нежилое помещение</t>
        </is>
      </c>
      <c r="K611" s="5" t="n">
        <v>11.1</v>
      </c>
      <c r="L611" s="4" t="n">
        <v>1141.49</v>
      </c>
      <c r="M611" t="n">
        <v>4421</v>
      </c>
      <c r="N611" s="6" t="n">
        <v>603961</v>
      </c>
      <c r="O611" t="n">
        <v>43</v>
      </c>
      <c r="Q611" t="inlineStr">
        <is>
          <t>EA</t>
        </is>
      </c>
      <c r="R611" t="inlineStr">
        <is>
          <t>Д</t>
        </is>
      </c>
      <c r="S611" s="2">
        <f>HYPERLINK("https://yandex.ru/maps/?&amp;text=57.6247, 39.866856", "57.6247, 39.866856")</f>
        <v/>
      </c>
      <c r="T611" s="2">
        <f>HYPERLINK("D:\venv_torgi\env\cache\objs_in_district/57.6247_39.866856.json", "57.6247_39.866856.json")</f>
        <v/>
      </c>
      <c r="U611" t="inlineStr">
        <is>
          <t>76:23:010101:19324</t>
        </is>
      </c>
      <c r="W611" s="20" t="n">
        <v>26866.27840984939</v>
      </c>
      <c r="X611" s="23" t="n">
        <v>-22217.73798359322</v>
      </c>
      <c r="Y611" t="n">
        <v>0</v>
      </c>
    </row>
    <row r="612">
      <c r="A612" s="8" t="n">
        <v>610</v>
      </c>
      <c r="B612" t="n">
        <v>76</v>
      </c>
      <c r="C612" s="1" t="n">
        <v>115.7</v>
      </c>
      <c r="D612" s="2">
        <f>HYPERLINK("https://torgi.gov.ru/new/public/lots/lot/21000004310000000281_20/(lotInfo:info)", "21000004310000000281_20")</f>
        <v/>
      </c>
      <c r="E612" t="inlineStr">
        <is>
          <t>Нежилое помещение</t>
        </is>
      </c>
      <c r="F612" s="3" t="inlineStr">
        <is>
          <t>21.09.22 20:59</t>
        </is>
      </c>
      <c r="G612" t="inlineStr">
        <is>
          <t>г Ярославль, ул Будкина, д 7</t>
        </is>
      </c>
      <c r="H612" s="4" t="n">
        <v>6928435</v>
      </c>
      <c r="I612" s="4" t="n">
        <v>59882.75713050994</v>
      </c>
      <c r="J612" t="inlineStr">
        <is>
          <t>Нежилое помещение</t>
        </is>
      </c>
      <c r="K612" s="5" t="n">
        <v>22.1</v>
      </c>
      <c r="L612" s="4" t="n">
        <v>1392.6</v>
      </c>
      <c r="M612" t="n">
        <v>2709</v>
      </c>
      <c r="N612" s="6" t="n">
        <v>603961</v>
      </c>
      <c r="O612" t="n">
        <v>43</v>
      </c>
      <c r="Q612" t="inlineStr">
        <is>
          <t>EA</t>
        </is>
      </c>
      <c r="R612" t="inlineStr">
        <is>
          <t>Д</t>
        </is>
      </c>
      <c r="S612" s="2">
        <f>HYPERLINK("https://yandex.ru/maps/?&amp;text=57.60813, 39.835323", "57.60813, 39.835323")</f>
        <v/>
      </c>
      <c r="T612" s="2">
        <f>HYPERLINK("D:\venv_torgi\env\cache\objs_in_district/57.60813_39.835323.json", "57.60813_39.835323.json")</f>
        <v/>
      </c>
      <c r="U612" t="inlineStr">
        <is>
          <t xml:space="preserve">76:23:040407:75 </t>
        </is>
      </c>
      <c r="V612" s="7" t="inlineStr">
        <is>
          <t>1</t>
        </is>
      </c>
      <c r="W612" s="20" t="n">
        <v>26866.27840984939</v>
      </c>
      <c r="X612" s="23" t="n">
        <v>-33016.47872066055</v>
      </c>
      <c r="Y612" t="n">
        <v>0</v>
      </c>
    </row>
    <row r="613">
      <c r="A613" s="8" t="n">
        <v>611</v>
      </c>
      <c r="B613" t="n">
        <v>77</v>
      </c>
      <c r="C613" s="1" t="n">
        <v>17.8</v>
      </c>
      <c r="D613" s="2">
        <f>HYPERLINK("https://torgi.gov.ru/new/public/lots/lot/21000005000000003167_1/(lotInfo:info)", "21000005000000003167_1")</f>
        <v/>
      </c>
      <c r="E613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Строгино, ул. Лыковская 2-я, вл. 23, корп. 1, пом. XIII (нежилое помещение общей площадью 17,8 кв. м), кадастровый номер 77:08:0013010:1203</t>
        </is>
      </c>
      <c r="F613" s="3" t="inlineStr">
        <is>
          <t>15.09.22 12:00</t>
        </is>
      </c>
      <c r="G613" t="inlineStr">
        <is>
          <t>г Москва, ул Лыковская 2-я, двлд 23 к 1</t>
        </is>
      </c>
      <c r="H613" s="4" t="n">
        <v>694000</v>
      </c>
      <c r="I613" s="4" t="n">
        <v>38988.76404494382</v>
      </c>
      <c r="J613" t="inlineStr">
        <is>
          <t>Нежилое помещение</t>
        </is>
      </c>
      <c r="K613" s="5" t="n">
        <v>5.31</v>
      </c>
      <c r="L613" s="4" t="n">
        <v>19494</v>
      </c>
      <c r="M613" t="n">
        <v>7337</v>
      </c>
      <c r="N613" s="6" t="n">
        <v>12380664</v>
      </c>
      <c r="O613" t="n">
        <v>2</v>
      </c>
      <c r="P613" s="12" t="n">
        <v>1.928086383478091</v>
      </c>
      <c r="Q613" t="inlineStr">
        <is>
          <t>EA</t>
        </is>
      </c>
      <c r="R613" t="inlineStr">
        <is>
          <t>М</t>
        </is>
      </c>
      <c r="S613" s="2">
        <f>HYPERLINK("https://yandex.ru/maps/?&amp;text=55.782024, 37.392246", "55.782024, 37.392246")</f>
        <v/>
      </c>
      <c r="T613" s="2">
        <f>HYPERLINK("D:\venv_torgi\env\cache\objs_in_district/55.782024_37.392246.json", "55.782024_37.392246.json")</f>
        <v/>
      </c>
      <c r="U613" t="inlineStr">
        <is>
          <t>77:08:0013010:1203</t>
        </is>
      </c>
      <c r="W613" s="17" t="n">
        <v>114162.4691086402</v>
      </c>
      <c r="X613" s="14" t="n">
        <v>75173.70506369635</v>
      </c>
      <c r="Y613" t="n">
        <v>0</v>
      </c>
    </row>
    <row r="614">
      <c r="A614" s="8" t="n">
        <v>612</v>
      </c>
      <c r="B614" t="n">
        <v>77</v>
      </c>
      <c r="C614" s="1" t="n">
        <v>214.4</v>
      </c>
      <c r="D614" s="2">
        <f>HYPERLINK("https://torgi.gov.ru/new/public/lots/lot/21000005000000003569_1/(lotInfo:info)", "21000005000000003569_1")</f>
        <v/>
      </c>
      <c r="E614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г.Москва, ул.Коминтерна, д.8, общей площадью 214,4 кв. м. (кадастровый номер 77:02:0010008:4833).</t>
        </is>
      </c>
      <c r="F614" s="3" t="inlineStr">
        <is>
          <t>06.10.22 12:00</t>
        </is>
      </c>
      <c r="G614" t="inlineStr">
        <is>
          <t>г Москва, ул Коминтерна, д 8</t>
        </is>
      </c>
      <c r="H614" s="4" t="n">
        <v>9761000</v>
      </c>
      <c r="I614" s="4" t="n">
        <v>45527.05223880597</v>
      </c>
      <c r="J614" t="inlineStr">
        <is>
          <t>Нежилое помещение</t>
        </is>
      </c>
      <c r="K614" s="5" t="n">
        <v>3.78</v>
      </c>
      <c r="L614" s="4" t="n">
        <v>910.54</v>
      </c>
      <c r="M614" t="n">
        <v>12051</v>
      </c>
      <c r="N614" s="6" t="n">
        <v>12380664</v>
      </c>
      <c r="O614" t="n">
        <v>50</v>
      </c>
      <c r="P614" s="12" t="n">
        <v>0.09046572997599003</v>
      </c>
      <c r="Q614" t="inlineStr">
        <is>
          <t>EA</t>
        </is>
      </c>
      <c r="R614" t="inlineStr">
        <is>
          <t>М</t>
        </is>
      </c>
      <c r="S614" s="2">
        <f>HYPERLINK("https://yandex.ru/maps/?&amp;text=55.861974, 37.676825", "55.861974, 37.676825")</f>
        <v/>
      </c>
      <c r="T614" s="2">
        <f>HYPERLINK("D:\venv_torgi\env\cache\objs_in_district/55.861974_37.676825.json", "55.861974_37.676825.json")</f>
        <v/>
      </c>
      <c r="U614" t="inlineStr">
        <is>
          <t>77:02:0010008:4833</t>
        </is>
      </c>
      <c r="W614" s="17" t="n">
        <v>49645.69025324458</v>
      </c>
      <c r="X614" s="14" t="n">
        <v>4118.638014438613</v>
      </c>
      <c r="Y614" t="n">
        <v>0</v>
      </c>
    </row>
    <row r="615">
      <c r="A615" s="8" t="n">
        <v>613</v>
      </c>
      <c r="B615" t="n">
        <v>77</v>
      </c>
      <c r="C615" s="1" t="n">
        <v>152.2</v>
      </c>
      <c r="D615" s="2">
        <f>HYPERLINK("https://torgi.gov.ru/new/public/lots/lot/21000005000000003084_1/(lotInfo:info)", "21000005000000003084_1")</f>
        <v/>
      </c>
      <c r="E615" t="inlineStr">
        <is>
          <t>Продажа имущества, находящегося в собственности города Москвы, нежилое помещение по адресу: г. Москва, ул. Мытная, д. 25, корп. 1, общей площадью 152,2 кв. м, кадастровый номер: 77:01:0006007:3888 посредством публичного предложения</t>
        </is>
      </c>
      <c r="F615" s="3" t="inlineStr">
        <is>
          <t>08.09.22 12:00</t>
        </is>
      </c>
      <c r="G615" t="inlineStr">
        <is>
          <t>г Москва, ул Мытная, д 25 к 1</t>
        </is>
      </c>
      <c r="H615" s="4" t="n">
        <v>7365030</v>
      </c>
      <c r="I615" s="4" t="n">
        <v>48390.47306176084</v>
      </c>
      <c r="J615" t="inlineStr">
        <is>
          <t>Нежилое помещение</t>
        </is>
      </c>
      <c r="K615" s="5" t="n">
        <v>4.24</v>
      </c>
      <c r="L615" s="4" t="n">
        <v>310.19</v>
      </c>
      <c r="M615" t="n">
        <v>11418</v>
      </c>
      <c r="N615" s="6" t="n">
        <v>12380664</v>
      </c>
      <c r="O615" t="n">
        <v>156</v>
      </c>
      <c r="P615" s="12" t="n">
        <v>0.02593934533108841</v>
      </c>
      <c r="Q615" t="inlineStr">
        <is>
          <t>PP</t>
        </is>
      </c>
      <c r="R615" t="inlineStr">
        <is>
          <t>М</t>
        </is>
      </c>
      <c r="S615" s="2">
        <f>HYPERLINK("https://yandex.ru/maps/?&amp;text=55.716473, 37.620393", "55.716473, 37.620393")</f>
        <v/>
      </c>
      <c r="T615" s="2">
        <f>HYPERLINK("D:\venv_torgi\env\cache\objs_in_district/55.716473_37.620393.json", "55.716473_37.620393.json")</f>
        <v/>
      </c>
      <c r="U615" t="inlineStr">
        <is>
          <t xml:space="preserve">77:01:0006007:3888 </t>
        </is>
      </c>
      <c r="W615" s="17" t="n">
        <v>49645.69025324458</v>
      </c>
      <c r="X615" s="14" t="n">
        <v>1255.217191483745</v>
      </c>
      <c r="Y615" t="n">
        <v>0</v>
      </c>
    </row>
    <row r="616">
      <c r="A616" s="8" t="n">
        <v>614</v>
      </c>
      <c r="B616" t="n">
        <v>77</v>
      </c>
      <c r="C616" s="1" t="n">
        <v>130.2</v>
      </c>
      <c r="D616" s="2">
        <f>HYPERLINK("https://torgi.gov.ru/new/public/lots/lot/21000005000000003523_1/(lotInfo:info)", "21000005000000003523_1")</f>
        <v/>
      </c>
      <c r="E616" t="inlineStr">
        <is>
          <t>Продажа имущества, находящегося в собственности города Москвы, нежилое помещение по адресу: г. Москва, ул. Шоссейная, д. 28 площадью 130,2 кв. м (Этаж № 1, Подвал № 0), кадастровый номер: 77:04:0003008:12723</t>
        </is>
      </c>
      <c r="F616" s="3" t="inlineStr">
        <is>
          <t>28.09.22 12:00</t>
        </is>
      </c>
      <c r="G616" t="inlineStr">
        <is>
          <t>г Москва, ул Шоссейная, д 28</t>
        </is>
      </c>
      <c r="H616" s="4" t="n">
        <v>6953000</v>
      </c>
      <c r="I616" s="4" t="n">
        <v>53402.45775729647</v>
      </c>
      <c r="J616" t="inlineStr">
        <is>
          <t>Подвал</t>
        </is>
      </c>
      <c r="K616" s="5" t="n">
        <v>5.2</v>
      </c>
      <c r="L616" s="4" t="n">
        <v>503.79</v>
      </c>
      <c r="M616" t="n">
        <v>10275</v>
      </c>
      <c r="N616" s="6" t="n">
        <v>12380664</v>
      </c>
      <c r="O616" t="n">
        <v>106</v>
      </c>
      <c r="P616" s="12" t="n">
        <v>0.003161018262357438</v>
      </c>
      <c r="Q616" t="inlineStr">
        <is>
          <t>EA</t>
        </is>
      </c>
      <c r="R616" t="inlineStr">
        <is>
          <t>М</t>
        </is>
      </c>
      <c r="S616" s="2">
        <f>HYPERLINK("https://yandex.ru/maps/?&amp;text=55.684122, 37.721768", "55.684122, 37.721768")</f>
        <v/>
      </c>
      <c r="T616" s="2">
        <f>HYPERLINK("D:\venv_torgi\env\cache\objs_in_district/55.684122_37.721768.json", "55.684122_37.721768.json")</f>
        <v/>
      </c>
      <c r="U616" t="inlineStr">
        <is>
          <t>77:04:0003008:12723</t>
        </is>
      </c>
      <c r="V616" s="7" t="inlineStr">
        <is>
          <t>1</t>
        </is>
      </c>
      <c r="W616" s="17" t="n">
        <v>53571.26390152206</v>
      </c>
      <c r="X616" s="14" t="n">
        <v>168.8061442255857</v>
      </c>
      <c r="Y616" t="n">
        <v>0</v>
      </c>
    </row>
    <row r="617">
      <c r="A617" s="8" t="n">
        <v>615</v>
      </c>
      <c r="B617" t="n">
        <v>77</v>
      </c>
      <c r="C617" s="1" t="n">
        <v>131.7</v>
      </c>
      <c r="D617" s="2">
        <f>HYPERLINK("https://torgi.gov.ru/new/public/lots/lot/21000005000000003468_1/(lotInfo:info)", "21000005000000003468_1")</f>
        <v/>
      </c>
      <c r="E617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по адресу: г. Москва, ул. Радиаторская 1-я, д. 9, общей площадью 131,70 кв. м (кадастровый номер: 77:09:0003017:7892)</t>
        </is>
      </c>
      <c r="F617" s="3" t="inlineStr">
        <is>
          <t>23.09.22 12:00</t>
        </is>
      </c>
      <c r="G617" t="inlineStr">
        <is>
          <t>г Москва, ул 1-я Радиаторская, д 9</t>
        </is>
      </c>
      <c r="H617" s="4" t="n">
        <v>7539000</v>
      </c>
      <c r="I617" s="4" t="n">
        <v>57243.73576309795</v>
      </c>
      <c r="J617" t="inlineStr">
        <is>
          <t>Нежилое помещение</t>
        </is>
      </c>
      <c r="K617" s="5" t="n">
        <v>5.53</v>
      </c>
      <c r="L617" s="4" t="n">
        <v>469.2</v>
      </c>
      <c r="M617" t="n">
        <v>10351</v>
      </c>
      <c r="N617" s="6" t="n">
        <v>12380664</v>
      </c>
      <c r="O617" t="n">
        <v>122</v>
      </c>
      <c r="Q617" t="inlineStr">
        <is>
          <t>EA</t>
        </is>
      </c>
      <c r="R617" t="inlineStr">
        <is>
          <t>М</t>
        </is>
      </c>
      <c r="S617" s="2">
        <f>HYPERLINK("https://yandex.ru/maps/?&amp;text=55.819368, 37.493443", "55.819368, 37.493443")</f>
        <v/>
      </c>
      <c r="T617" s="2">
        <f>HYPERLINK("D:\venv_torgi\env\cache\objs_in_district/55.819368_37.493443.json", "55.819368_37.493443.json")</f>
        <v/>
      </c>
      <c r="U617" t="inlineStr">
        <is>
          <t>77:09:0003017:7892</t>
        </is>
      </c>
      <c r="W617" s="17" t="n">
        <v>49645.69025324458</v>
      </c>
      <c r="X617" s="15" t="n">
        <v>-7598.045509853371</v>
      </c>
      <c r="Y617" t="n">
        <v>0</v>
      </c>
    </row>
    <row r="618">
      <c r="A618" s="8" t="n">
        <v>616</v>
      </c>
      <c r="B618" t="n">
        <v>77</v>
      </c>
      <c r="C618" s="1" t="n">
        <v>60.4</v>
      </c>
      <c r="D618" s="2">
        <f>HYPERLINK("https://torgi.gov.ru/new/public/lots/lot/21000005000000002588_1/(lotInfo:info)", "21000005000000002588_1")</f>
        <v/>
      </c>
      <c r="E618" t="inlineStr">
        <is>
      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 город Москва, внутригородская территория муниципальный округ Войковский, Ленинградское шоссе, дом 8, корпус 3, площадь 60,40 (кадастровый номер: 77:09:0003013:2544)</t>
        </is>
      </c>
      <c r="F618" s="3" t="inlineStr">
        <is>
          <t>30.08.22 12:00</t>
        </is>
      </c>
      <c r="G618" t="inlineStr">
        <is>
          <t>г Москва, Ленинградское шоссе, д 8 к 3</t>
        </is>
      </c>
      <c r="H618" s="4" t="n">
        <v>3726000</v>
      </c>
      <c r="I618" s="4" t="n">
        <v>61688.74172185431</v>
      </c>
      <c r="J618" t="inlineStr">
        <is>
          <t>Нежилое помещение</t>
        </is>
      </c>
      <c r="K618" s="5" t="n">
        <v>5.91</v>
      </c>
      <c r="L618" s="4" t="n">
        <v>338.95</v>
      </c>
      <c r="M618" t="n">
        <v>10445</v>
      </c>
      <c r="N618" s="6" t="n">
        <v>12380664</v>
      </c>
      <c r="O618" t="n">
        <v>182</v>
      </c>
      <c r="P618" s="12" t="n">
        <v>0.4412404504394282</v>
      </c>
      <c r="Q618" t="inlineStr">
        <is>
          <t>EA</t>
        </is>
      </c>
      <c r="R618" t="inlineStr">
        <is>
          <t>М</t>
        </is>
      </c>
      <c r="S618" s="2">
        <f>HYPERLINK("https://yandex.ru/maps/?&amp;text=55.817997, 37.50125", "55.817997, 37.50125")</f>
        <v/>
      </c>
      <c r="T618" s="2">
        <f>HYPERLINK("D:\venv_torgi\env\cache\objs_in_district/55.817997_37.50125.json", "55.817997_37.50125.json")</f>
        <v/>
      </c>
      <c r="U618" t="inlineStr">
        <is>
          <t>77:09:0003013:2544</t>
        </is>
      </c>
      <c r="W618" s="17" t="n">
        <v>88908.30990624685</v>
      </c>
      <c r="X618" s="14" t="n">
        <v>27219.56818439254</v>
      </c>
      <c r="Y618" t="n">
        <v>0</v>
      </c>
    </row>
    <row r="619">
      <c r="A619" s="8" t="n">
        <v>617</v>
      </c>
      <c r="B619" t="n">
        <v>77</v>
      </c>
      <c r="C619" s="1" t="n">
        <v>117.4</v>
      </c>
      <c r="D619" s="2">
        <f>HYPERLINK("https://torgi.gov.ru/new/public/lots/lot/21000005000000003050_1/(lotInfo:info)", "21000005000000003050_1")</f>
        <v/>
      </c>
      <c r="E619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Нижняя Первомайская, д. 13, общей площадью 117,40 кв. м (кадастровый номер: 77:03:0005014:11774)</t>
        </is>
      </c>
      <c r="F619" s="3" t="inlineStr">
        <is>
          <t>12.09.22 12:00</t>
        </is>
      </c>
      <c r="G619" t="inlineStr">
        <is>
          <t>г Москва, ул Нижняя Первомайская, д 13</t>
        </is>
      </c>
      <c r="H619" s="4" t="n">
        <v>8196431</v>
      </c>
      <c r="I619" s="4" t="n">
        <v>69816.27768313458</v>
      </c>
      <c r="J619" t="inlineStr">
        <is>
          <t>Нежилое помещение</t>
        </is>
      </c>
      <c r="K619" s="5" t="n">
        <v>4.13</v>
      </c>
      <c r="L619" s="4" t="n">
        <v>712.41</v>
      </c>
      <c r="M619" t="n">
        <v>16920</v>
      </c>
      <c r="N619" s="6" t="n">
        <v>12380664</v>
      </c>
      <c r="O619" t="n">
        <v>98</v>
      </c>
      <c r="Q619" t="inlineStr">
        <is>
          <t>EA</t>
        </is>
      </c>
      <c r="R619" t="inlineStr">
        <is>
          <t>М</t>
        </is>
      </c>
      <c r="S619" s="2">
        <f>HYPERLINK("https://yandex.ru/maps/?&amp;text=55.7912776, 37.7954093", "55.7912776, 37.7954093")</f>
        <v/>
      </c>
      <c r="T619" s="2">
        <f>HYPERLINK("D:\venv_torgi\env\cache\objs_in_district/55.7912776_37.7954093.json", "55.7912776_37.7954093.json")</f>
        <v/>
      </c>
      <c r="U619" t="inlineStr">
        <is>
          <t>77:03:0005014:11774</t>
        </is>
      </c>
      <c r="W619" s="17" t="n">
        <v>69816.27768313458</v>
      </c>
      <c r="X619" s="17" t="n">
        <v>0</v>
      </c>
      <c r="Y619" t="n">
        <v>0</v>
      </c>
    </row>
    <row r="620">
      <c r="A620" s="8" t="n">
        <v>618</v>
      </c>
      <c r="B620" t="n">
        <v>77</v>
      </c>
      <c r="C620" s="1" t="n">
        <v>57.3</v>
      </c>
      <c r="D620" s="2">
        <f>HYPERLINK("https://torgi.gov.ru/new/public/lots/lot/21000005000000003304_1/(lotInfo:info)", "21000005000000003304_1")</f>
        <v/>
      </c>
      <c r="E620" t="inlineStr">
        <is>
          <t>Продажа имущества, находящегося в собственности города Москвы, нежилое помещение по адресу: г. Москва, ул. Нижние Поля, д. 29, стр. 1 площадью 57,3 кв. м (Этаж № 2), кадастровый номер: 77:04:0004018:1611, посредством публичного предложения</t>
        </is>
      </c>
      <c r="F620" s="3" t="inlineStr">
        <is>
          <t>15.09.22 12:00</t>
        </is>
      </c>
      <c r="G620" t="inlineStr">
        <is>
          <t>г Москва, ул Нижние Поля, д 29 стр 1</t>
        </is>
      </c>
      <c r="H620" s="4" t="n">
        <v>4062000</v>
      </c>
      <c r="I620" s="4" t="n">
        <v>70890.05235602094</v>
      </c>
      <c r="J620" t="inlineStr">
        <is>
          <t>Нежилое помещение</t>
        </is>
      </c>
      <c r="K620" s="5" t="n">
        <v>5.13</v>
      </c>
      <c r="L620" s="4" t="n">
        <v>2215.31</v>
      </c>
      <c r="M620" t="n">
        <v>13807</v>
      </c>
      <c r="N620" s="6" t="n">
        <v>12380664</v>
      </c>
      <c r="O620" t="n">
        <v>32</v>
      </c>
      <c r="P620" s="12" t="n">
        <v>0.2541718753392282</v>
      </c>
      <c r="Q620" t="inlineStr">
        <is>
          <t>PP</t>
        </is>
      </c>
      <c r="R620" t="inlineStr">
        <is>
          <t>М</t>
        </is>
      </c>
      <c r="S620" s="2">
        <f>HYPERLINK("https://yandex.ru/maps/?&amp;text=55.657311, 37.73058", "55.657311, 37.73058")</f>
        <v/>
      </c>
      <c r="T620" s="2">
        <f>HYPERLINK("D:\venv_torgi\env\cache\objs_in_district/55.657311_37.73058.json", "55.657311_37.73058.json")</f>
        <v/>
      </c>
      <c r="U620" t="inlineStr">
        <is>
          <t xml:space="preserve">77:04:0004018:1611, </t>
        </is>
      </c>
      <c r="V620" s="7" t="inlineStr">
        <is>
          <t>2</t>
        </is>
      </c>
      <c r="W620" s="17" t="n">
        <v>88908.30990624685</v>
      </c>
      <c r="X620" s="14" t="n">
        <v>18018.25755022591</v>
      </c>
      <c r="Y620" t="n">
        <v>0</v>
      </c>
    </row>
    <row r="621">
      <c r="A621" s="8" t="n">
        <v>619</v>
      </c>
      <c r="B621" t="n">
        <v>77</v>
      </c>
      <c r="C621" s="1" t="n">
        <v>52.8</v>
      </c>
      <c r="D621" s="2">
        <f>HYPERLINK("https://torgi.gov.ru/new/public/lots/lot/21000005000000003387_1/(lotInfo:info)", "21000005000000003387_1")</f>
        <v/>
      </c>
      <c r="E621" t="inlineStr">
        <is>
          <t>Продажа имущества, находящегося в собственности города Москвы, нежилое помещение по адресу: город Москва, 9-я Чоботовская аллея, дом 1, строение 1, этаж № 1, площадь 52,80 кв.м, кадастровый номер: 77:07:0015005:29883</t>
        </is>
      </c>
      <c r="F621" s="3" t="inlineStr">
        <is>
          <t>22.09.22 12:00</t>
        </is>
      </c>
      <c r="G621" t="inlineStr">
        <is>
          <t>г Москва, 9-я Чоботовская ал, д 1 стр 1</t>
        </is>
      </c>
      <c r="H621" s="4" t="n">
        <v>3997000</v>
      </c>
      <c r="I621" s="4" t="n">
        <v>75700.75757575758</v>
      </c>
      <c r="J621" t="inlineStr">
        <is>
          <t>Нежилое помещение</t>
        </is>
      </c>
      <c r="K621" s="5" t="n">
        <v>46.41</v>
      </c>
      <c r="L621" s="4" t="n">
        <v>5823.08</v>
      </c>
      <c r="M621" t="n">
        <v>1631</v>
      </c>
      <c r="N621" s="6" t="n">
        <v>12380664</v>
      </c>
      <c r="O621" t="n">
        <v>13</v>
      </c>
      <c r="P621" s="12" t="n">
        <v>0.174470543670211</v>
      </c>
      <c r="Q621" t="inlineStr">
        <is>
          <t>EA</t>
        </is>
      </c>
      <c r="R621" t="inlineStr">
        <is>
          <t>М</t>
        </is>
      </c>
      <c r="S621" s="2">
        <f>HYPERLINK("https://yandex.ru/maps/?&amp;text=55.655514, 37.3523", "55.655514, 37.3523")</f>
        <v/>
      </c>
      <c r="T621" s="2">
        <f>HYPERLINK("D:\venv_torgi\env\cache\objs_in_district/55.655514_37.3523.json", "55.655514_37.3523.json")</f>
        <v/>
      </c>
      <c r="U621" t="inlineStr">
        <is>
          <t>77:07:0015005:29883</t>
        </is>
      </c>
      <c r="V621" s="7" t="inlineStr">
        <is>
          <t>1</t>
        </is>
      </c>
      <c r="W621" s="17" t="n">
        <v>88908.30990624685</v>
      </c>
      <c r="X621" s="14" t="n">
        <v>13207.55233048927</v>
      </c>
      <c r="Y621" t="n">
        <v>0</v>
      </c>
    </row>
    <row r="622">
      <c r="A622" s="8" t="n">
        <v>620</v>
      </c>
      <c r="B622" t="n">
        <v>77</v>
      </c>
      <c r="C622" s="1" t="n">
        <v>83.8</v>
      </c>
      <c r="D622" s="2">
        <f>HYPERLINK("https://torgi.gov.ru/new/public/lots/lot/21000005000000003176_1/(lotInfo:info)", "21000005000000003176_1")</f>
        <v/>
      </c>
      <c r="E622" t="inlineStr">
        <is>
          <t>Продажа имущества, находящегося в собственности города Москвы, нежилое помещение по адресу: г. Москва, г. Зеленоград, корп. 441, площадью 83,8 кв. м., Этаж № 1, кадастровый номер: 77:10:0000000:3322.</t>
        </is>
      </c>
      <c r="F622" s="3" t="inlineStr">
        <is>
          <t>13.09.22 12:00</t>
        </is>
      </c>
      <c r="G622" t="inlineStr">
        <is>
          <t>г Москва, г Зеленоград, к 441</t>
        </is>
      </c>
      <c r="H622" s="4" t="n">
        <v>7621000</v>
      </c>
      <c r="I622" s="4" t="n">
        <v>90942.72076372315</v>
      </c>
      <c r="J622" t="inlineStr">
        <is>
          <t>Нежилое помещение</t>
        </is>
      </c>
      <c r="K622" s="5" t="n">
        <v>10.04</v>
      </c>
      <c r="L622" s="4" t="n">
        <v>745.4299999999999</v>
      </c>
      <c r="M622" t="n">
        <v>9057</v>
      </c>
      <c r="N622" s="6" t="n">
        <v>12380664</v>
      </c>
      <c r="O622" t="n">
        <v>122</v>
      </c>
      <c r="P622" s="12" t="n">
        <v>0.1491222310079564</v>
      </c>
      <c r="Q622" t="inlineStr">
        <is>
          <t>EA</t>
        </is>
      </c>
      <c r="R622" t="inlineStr">
        <is>
          <t>М</t>
        </is>
      </c>
      <c r="S622" s="2">
        <f>HYPERLINK("https://yandex.ru/maps/?&amp;text=55.993741, 37.210249", "55.993741, 37.210249")</f>
        <v/>
      </c>
      <c r="T622" s="2">
        <f>HYPERLINK("D:\venv_torgi\env\cache\objs_in_district/55.993741_37.210249.json", "55.993741_37.210249.json")</f>
        <v/>
      </c>
      <c r="U622" t="inlineStr">
        <is>
          <t>77:10:0000000:3322</t>
        </is>
      </c>
      <c r="V622" s="7" t="inlineStr">
        <is>
          <t>1</t>
        </is>
      </c>
      <c r="W622" s="17" t="n">
        <v>104504.3021779431</v>
      </c>
      <c r="X622" s="14" t="n">
        <v>13561.58141422</v>
      </c>
      <c r="Y622" t="n">
        <v>0</v>
      </c>
    </row>
    <row r="623">
      <c r="A623" s="8" t="n">
        <v>621</v>
      </c>
      <c r="B623" t="n">
        <v>77</v>
      </c>
      <c r="C623" s="1" t="n">
        <v>106.1</v>
      </c>
      <c r="D623" s="2">
        <f>HYPERLINK("https://torgi.gov.ru/new/public/lots/lot/21000005000000003057_1/(lotInfo:info)", "21000005000000003057_1")</f>
        <v/>
      </c>
      <c r="E623" t="inlineStr">
        <is>
          <t>Продажа имущества, находящегося в собственности города Москвы, нежилое помещение по адресу: г. Москва, г. Зеленоград, корп. 146, площадью 106,1 кв. м., Этаж № 1, кадастровый номер: 77:10:0000000:2691.</t>
        </is>
      </c>
      <c r="F623" s="3" t="inlineStr">
        <is>
          <t>06.09.22 12:00</t>
        </is>
      </c>
      <c r="G623" t="inlineStr">
        <is>
          <t>г Москва, г Зеленоград, к 146</t>
        </is>
      </c>
      <c r="H623" s="4" t="n">
        <v>9823000</v>
      </c>
      <c r="I623" s="4" t="n">
        <v>92582.46936852027</v>
      </c>
      <c r="J623" t="inlineStr">
        <is>
          <t>Нежилое помещение</t>
        </is>
      </c>
      <c r="K623" s="5" t="n">
        <v>10.31</v>
      </c>
      <c r="L623" s="4" t="n">
        <v>2436.37</v>
      </c>
      <c r="M623" t="n">
        <v>8982</v>
      </c>
      <c r="N623" s="6" t="n">
        <v>12380664</v>
      </c>
      <c r="O623" t="n">
        <v>38</v>
      </c>
      <c r="Q623" t="inlineStr">
        <is>
          <t>EA</t>
        </is>
      </c>
      <c r="R623" t="inlineStr">
        <is>
          <t>М</t>
        </is>
      </c>
      <c r="S623" s="2">
        <f>HYPERLINK("https://yandex.ru/maps/?&amp;text=56.008817, 37.206737", "56.008817, 37.206737")</f>
        <v/>
      </c>
      <c r="T623" s="2">
        <f>HYPERLINK("D:\venv_torgi\env\cache\objs_in_district/56.008817_37.206737.json", "56.008817_37.206737.json")</f>
        <v/>
      </c>
      <c r="U623" t="inlineStr">
        <is>
          <t>77:10:0000000:2691</t>
        </is>
      </c>
      <c r="V623" s="7" t="inlineStr">
        <is>
          <t>1</t>
        </is>
      </c>
      <c r="W623" s="17" t="n">
        <v>81558.6413441996</v>
      </c>
      <c r="X623" s="15" t="n">
        <v>-11023.82802432067</v>
      </c>
      <c r="Y623" t="n">
        <v>0</v>
      </c>
    </row>
    <row r="624">
      <c r="A624" s="8" t="n">
        <v>622</v>
      </c>
      <c r="B624" t="n">
        <v>77</v>
      </c>
      <c r="C624" s="1" t="n">
        <v>21</v>
      </c>
      <c r="D624" s="2">
        <f>HYPERLINK("https://torgi.gov.ru/new/public/lots/lot/21000005000000003589_1/(lotInfo:info)", "21000005000000003589_1")</f>
        <v/>
      </c>
      <c r="E624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Новорогожская, д. 11, корп. 2, общей площадью 21,0 кв. м (кадастровый номер: 77:01:0006031:3152)</t>
        </is>
      </c>
      <c r="F624" s="3" t="inlineStr">
        <is>
          <t>26.09.22 12:00</t>
        </is>
      </c>
      <c r="G624" t="inlineStr">
        <is>
          <t>г Москва, ул Новорогожская, д 11 к 2</t>
        </is>
      </c>
      <c r="H624" s="4" t="n">
        <v>1966000</v>
      </c>
      <c r="I624" s="4" t="n">
        <v>93619.04761904762</v>
      </c>
      <c r="J624" t="inlineStr">
        <is>
          <t>Нежилое помещение</t>
        </is>
      </c>
      <c r="K624" s="5" t="n">
        <v>6.01</v>
      </c>
      <c r="L624" s="4" t="n">
        <v>866.84</v>
      </c>
      <c r="M624" t="n">
        <v>15573</v>
      </c>
      <c r="N624" s="6" t="n">
        <v>12380664</v>
      </c>
      <c r="O624" t="n">
        <v>108</v>
      </c>
      <c r="P624" s="12" t="n">
        <v>0.2194363434798798</v>
      </c>
      <c r="Q624" t="inlineStr">
        <is>
          <t>EA</t>
        </is>
      </c>
      <c r="R624" t="inlineStr">
        <is>
          <t>М</t>
        </is>
      </c>
      <c r="S624" s="2">
        <f>HYPERLINK("https://yandex.ru/maps/?&amp;text=55.742564, 37.682188", "55.742564, 37.682188")</f>
        <v/>
      </c>
      <c r="T624" s="2">
        <f>HYPERLINK("D:\venv_torgi\env\cache\objs_in_district/55.742564_37.682188.json", "55.742564_37.682188.json")</f>
        <v/>
      </c>
      <c r="U624" t="inlineStr">
        <is>
          <t>77:01:0006031:3152</t>
        </is>
      </c>
      <c r="W624" s="17" t="n">
        <v>114162.4691086402</v>
      </c>
      <c r="X624" s="14" t="n">
        <v>20543.42148959255</v>
      </c>
      <c r="Y624" t="n">
        <v>0</v>
      </c>
    </row>
    <row r="625">
      <c r="A625" s="8" t="n">
        <v>623</v>
      </c>
      <c r="B625" t="n">
        <v>77</v>
      </c>
      <c r="C625" s="1" t="n">
        <v>21.6</v>
      </c>
      <c r="D625" s="2">
        <f>HYPERLINK("https://torgi.gov.ru/new/public/lots/lot/21000005000000003175_1/(lotInfo:info)", "21000005000000003175_1")</f>
        <v/>
      </c>
      <c r="E625" t="inlineStr">
        <is>
          <t>Продажа имущества, находящегося в собственности города Москвы, нежилое помещение по адресу: г. Москва, г. Зеленоград, корп. 1403 площадью 21,6 кв. м (Этаж № 1), кадастровый номер: 77:10:0000000:2590</t>
        </is>
      </c>
      <c r="F625" s="3" t="inlineStr">
        <is>
          <t>14.09.22 12:00</t>
        </is>
      </c>
      <c r="G625" t="inlineStr">
        <is>
          <t>г Москва, г Зеленоград, к 1403</t>
        </is>
      </c>
      <c r="H625" s="4" t="n">
        <v>2250000</v>
      </c>
      <c r="I625" s="4" t="n">
        <v>104166.6666666667</v>
      </c>
      <c r="J625" t="inlineStr">
        <is>
          <t>Нежилое помещение</t>
        </is>
      </c>
      <c r="K625" s="5" t="n">
        <v>11.58</v>
      </c>
      <c r="L625" s="4" t="n">
        <v>1554.72</v>
      </c>
      <c r="M625" t="n">
        <v>8994</v>
      </c>
      <c r="N625" s="6" t="n">
        <v>12380664</v>
      </c>
      <c r="O625" t="n">
        <v>67</v>
      </c>
      <c r="P625" s="12" t="n">
        <v>0.5193703467759679</v>
      </c>
      <c r="Q625" t="inlineStr">
        <is>
          <t>EA</t>
        </is>
      </c>
      <c r="R625" t="inlineStr">
        <is>
          <t>М</t>
        </is>
      </c>
      <c r="S625" s="2">
        <f>HYPERLINK("https://yandex.ru/maps/?&amp;text=55.985116, 37.149873", "55.985116, 37.149873")</f>
        <v/>
      </c>
      <c r="T625" s="2">
        <f>HYPERLINK("D:\venv_torgi\env\cache\objs_in_district/55.985116_37.149873.json", "55.985116_37.149873.json")</f>
        <v/>
      </c>
      <c r="U625" t="inlineStr">
        <is>
          <t>77:10:0000000:2590</t>
        </is>
      </c>
      <c r="V625" s="7" t="inlineStr">
        <is>
          <t>1</t>
        </is>
      </c>
      <c r="W625" s="17" t="n">
        <v>158267.74445583</v>
      </c>
      <c r="X625" s="14" t="n">
        <v>54101.07778916332</v>
      </c>
      <c r="Y625" t="n">
        <v>0</v>
      </c>
    </row>
    <row r="626">
      <c r="A626" s="8" t="n">
        <v>624</v>
      </c>
      <c r="B626" t="n">
        <v>77</v>
      </c>
      <c r="C626" s="1" t="n">
        <v>60.9</v>
      </c>
      <c r="D626" s="2">
        <f>HYPERLINK("https://torgi.gov.ru/new/public/lots/lot/21000005000000003448_1/(lotInfo:info)", "21000005000000003448_1")</f>
        <v/>
      </c>
      <c r="E626" t="inlineStr">
        <is>
          <t>Продажа имущества, находящегося в собственности города Москвы, нежилое помещение по адресу: г. Москва, ул. 2-я Мелитопольская, д. 21, корп. 3 площадью 60,9 кв. м (Этаж № 1), кадастровый номер: 77:06:0012015:7510, посредством публичного предложения.</t>
        </is>
      </c>
      <c r="F626" s="3" t="inlineStr">
        <is>
          <t>28.09.22 12:00</t>
        </is>
      </c>
      <c r="G626" t="inlineStr">
        <is>
          <t>г Москва, ул 2-я Мелитопольская, д 21 к 3</t>
        </is>
      </c>
      <c r="H626" s="4" t="n">
        <v>6463000</v>
      </c>
      <c r="I626" s="4" t="n">
        <v>106124.7947454844</v>
      </c>
      <c r="J626" t="inlineStr">
        <is>
          <t>Нежилое помещение</t>
        </is>
      </c>
      <c r="K626" s="5" t="n">
        <v>25.54</v>
      </c>
      <c r="L626" s="4" t="n">
        <v>5585.47</v>
      </c>
      <c r="M626" t="n">
        <v>4156</v>
      </c>
      <c r="N626" s="6" t="n">
        <v>12380664</v>
      </c>
      <c r="O626" t="n">
        <v>19</v>
      </c>
      <c r="Q626" t="inlineStr">
        <is>
          <t>PP</t>
        </is>
      </c>
      <c r="R626" t="inlineStr">
        <is>
          <t>М</t>
        </is>
      </c>
      <c r="S626" s="2">
        <f>HYPERLINK("https://yandex.ru/maps/?&amp;text=55.539732, 37.581271", "55.539732, 37.581271")</f>
        <v/>
      </c>
      <c r="T626" s="2">
        <f>HYPERLINK("D:\venv_torgi\env\cache\objs_in_district/55.539732_37.581271.json", "55.539732_37.581271.json")</f>
        <v/>
      </c>
      <c r="U626" t="inlineStr">
        <is>
          <t xml:space="preserve">77:06:0012015:7510, </t>
        </is>
      </c>
      <c r="V626" s="7" t="inlineStr">
        <is>
          <t>1</t>
        </is>
      </c>
      <c r="W626" s="17" t="n">
        <v>88908.30990624685</v>
      </c>
      <c r="X626" s="15" t="n">
        <v>-17216.48483923754</v>
      </c>
      <c r="Y626" t="n">
        <v>0</v>
      </c>
    </row>
    <row r="627">
      <c r="A627" s="8" t="n">
        <v>625</v>
      </c>
      <c r="B627" t="n">
        <v>77</v>
      </c>
      <c r="C627" s="1" t="n">
        <v>60.4</v>
      </c>
      <c r="D627" s="2">
        <f>HYPERLINK("https://torgi.gov.ru/new/public/lots/lot/21000005000000003130_1/(lotInfo:info)", "21000005000000003130_1")</f>
        <v/>
      </c>
      <c r="E627" t="inlineStr">
        <is>
          <t>Продажа имущества, находящегося в собственности города Москвы, нежилое помещение по адресу: г. Москва, ул. Первомайская Нижняя, д. 53, площадью 60,4 кв. м., Этаж № 1, кадастровый номер: 77:03:0005014:11807 посредством публичного предложения</t>
        </is>
      </c>
      <c r="F627" s="3" t="inlineStr">
        <is>
          <t>12.09.22 12:00</t>
        </is>
      </c>
      <c r="G627" t="inlineStr">
        <is>
          <t>г Москва, ул Нижняя Первомайская, д 53</t>
        </is>
      </c>
      <c r="H627" s="4" t="n">
        <v>6709000</v>
      </c>
      <c r="I627" s="4" t="n">
        <v>111076.1589403973</v>
      </c>
      <c r="J627" t="inlineStr">
        <is>
          <t>Нежилое помещение</t>
        </is>
      </c>
      <c r="K627" s="5" t="n">
        <v>6.93</v>
      </c>
      <c r="L627" s="4" t="n">
        <v>1068.04</v>
      </c>
      <c r="M627" t="n">
        <v>16035</v>
      </c>
      <c r="N627" s="6" t="n">
        <v>12380664</v>
      </c>
      <c r="O627" t="n">
        <v>104</v>
      </c>
      <c r="Q627" t="inlineStr">
        <is>
          <t>PP</t>
        </is>
      </c>
      <c r="R627" t="inlineStr">
        <is>
          <t>М</t>
        </is>
      </c>
      <c r="S627" s="2">
        <f>HYPERLINK("https://yandex.ru/maps/?&amp;text=55.79225, 37.812588", "55.79225, 37.812588")</f>
        <v/>
      </c>
      <c r="T627" s="2">
        <f>HYPERLINK("D:\venv_torgi\env\cache\objs_in_district/55.79225_37.812588.json", "55.79225_37.812588.json")</f>
        <v/>
      </c>
      <c r="U627" t="inlineStr">
        <is>
          <t xml:space="preserve">77:03:0005014:11807 </t>
        </is>
      </c>
      <c r="V627" s="7" t="inlineStr">
        <is>
          <t>1</t>
        </is>
      </c>
      <c r="W627" s="17" t="n">
        <v>88908.30990624685</v>
      </c>
      <c r="X627" s="15" t="n">
        <v>-22167.84903415045</v>
      </c>
      <c r="Y627" t="n">
        <v>0</v>
      </c>
    </row>
    <row r="628">
      <c r="A628" s="8" t="n">
        <v>626</v>
      </c>
      <c r="B628" t="n">
        <v>77</v>
      </c>
      <c r="C628" s="1" t="n">
        <v>31.1</v>
      </c>
      <c r="D628" s="2">
        <f>HYPERLINK("https://torgi.gov.ru/new/public/lots/lot/21000005000000003403_1/(lotInfo:info)", "21000005000000003403_1")</f>
        <v/>
      </c>
      <c r="E628" t="inlineStr">
        <is>
          <t>Продажа имущества, находящегося в собственности города Москвы, нежилое помещение по адресу: г. Москва, ул. Бартеневская, д. 49, корп. 3, площадью 31,1 кв. м., Этаж № 1, кадастровый номер: 77:06:0012003:8265.</t>
        </is>
      </c>
      <c r="F628" s="3" t="inlineStr">
        <is>
          <t>26.09.22 12:00</t>
        </is>
      </c>
      <c r="G628" t="inlineStr">
        <is>
          <t>г Москва, ул Бартеневская, д 49 к 3</t>
        </is>
      </c>
      <c r="H628" s="4" t="n">
        <v>3685000</v>
      </c>
      <c r="I628" s="4" t="n">
        <v>118488.7459807074</v>
      </c>
      <c r="J628" t="inlineStr">
        <is>
          <t>Нежилое помещение</t>
        </is>
      </c>
      <c r="K628" s="5" t="n">
        <v>13.07</v>
      </c>
      <c r="L628" s="4" t="n">
        <v>4231.71</v>
      </c>
      <c r="M628" t="n">
        <v>9066</v>
      </c>
      <c r="N628" s="6" t="n">
        <v>12380664</v>
      </c>
      <c r="O628" t="n">
        <v>28</v>
      </c>
      <c r="P628" s="12" t="n">
        <v>0.3357196343490674</v>
      </c>
      <c r="Q628" t="inlineStr">
        <is>
          <t>EA</t>
        </is>
      </c>
      <c r="R628" t="inlineStr">
        <is>
          <t>М</t>
        </is>
      </c>
      <c r="S628" s="2">
        <f>HYPERLINK("https://yandex.ru/maps/?&amp;text=55.545788, 37.519062", "55.545788, 37.519062")</f>
        <v/>
      </c>
      <c r="T628" s="2">
        <f>HYPERLINK("D:\venv_torgi\env\cache\objs_in_district/55.545788_37.519062.json", "55.545788_37.519062.json")</f>
        <v/>
      </c>
      <c r="U628" t="inlineStr">
        <is>
          <t>77:06:0012003:8265</t>
        </is>
      </c>
      <c r="V628" s="7" t="inlineStr">
        <is>
          <t>1</t>
        </is>
      </c>
      <c r="W628" s="17" t="n">
        <v>158267.74445583</v>
      </c>
      <c r="X628" s="14" t="n">
        <v>39778.99847512261</v>
      </c>
      <c r="Y628" t="n">
        <v>0</v>
      </c>
    </row>
    <row r="629">
      <c r="A629" s="8" t="n">
        <v>627</v>
      </c>
      <c r="B629" t="n">
        <v>77</v>
      </c>
      <c r="C629" s="1" t="n">
        <v>68.59999999999999</v>
      </c>
      <c r="D629" s="2">
        <f>HYPERLINK("https://torgi.gov.ru/new/public/lots/lot/21000005000000003590_1/(lotInfo:info)", "21000005000000003590_1")</f>
        <v/>
      </c>
      <c r="E629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р-н Люблино, ул. Маршала Баграмяна, д. 3, пом. XII (нежилое помещение общей площадью 68,6 кв. м) (кадастровый номер: 77:04:0004029:3114)</t>
        </is>
      </c>
      <c r="F629" s="3" t="inlineStr">
        <is>
          <t>26.09.22 12:00</t>
        </is>
      </c>
      <c r="G629" t="inlineStr">
        <is>
          <t>г Москва, ул Маршала Баграмяна, д 3</t>
        </is>
      </c>
      <c r="H629" s="4" t="n">
        <v>8257000</v>
      </c>
      <c r="I629" s="4" t="n">
        <v>120364.4314868805</v>
      </c>
      <c r="J629" t="inlineStr">
        <is>
          <t>Нежилое помещение</t>
        </is>
      </c>
      <c r="K629" s="5" t="n">
        <v>15.42</v>
      </c>
      <c r="L629" s="4" t="n">
        <v>8024.27</v>
      </c>
      <c r="M629" t="n">
        <v>7804</v>
      </c>
      <c r="N629" s="6" t="n">
        <v>12380664</v>
      </c>
      <c r="O629" t="n">
        <v>15</v>
      </c>
      <c r="Q629" t="inlineStr">
        <is>
          <t>EA</t>
        </is>
      </c>
      <c r="R629" t="inlineStr">
        <is>
          <t>М</t>
        </is>
      </c>
      <c r="S629" s="2">
        <f>HYPERLINK("https://yandex.ru/maps/?&amp;text=55.671158, 37.790696", "55.671158, 37.790696")</f>
        <v/>
      </c>
      <c r="T629" s="2">
        <f>HYPERLINK("D:\venv_torgi\env\cache\objs_in_district/55.671158_37.790696.json", "55.671158_37.790696.json")</f>
        <v/>
      </c>
      <c r="U629" t="inlineStr">
        <is>
          <t>77:04:0004029:3114</t>
        </is>
      </c>
      <c r="W629" s="17" t="n">
        <v>104504.3021779431</v>
      </c>
      <c r="X629" s="15" t="n">
        <v>-15860.12930893735</v>
      </c>
      <c r="Y629" t="n">
        <v>0</v>
      </c>
    </row>
    <row r="630">
      <c r="A630" s="8" t="n">
        <v>628</v>
      </c>
      <c r="B630" t="n">
        <v>77</v>
      </c>
      <c r="C630" s="1" t="n">
        <v>39.7</v>
      </c>
      <c r="D630" s="2">
        <f>HYPERLINK("https://torgi.gov.ru/new/public/lots/lot/21000005000000003178_1/(lotInfo:info)", "21000005000000003178_1")</f>
        <v/>
      </c>
      <c r="E630" t="inlineStr">
        <is>
          <t>Продажа имущества, находящегося в собственности города Москвы, нежилое помещение по адресу: г. Москва, ул. Генерала Глаголева, д. 19 площадью 39,7 кв. м (Этаж № 1). кадастровый номер: 77:08:0010006:5887</t>
        </is>
      </c>
      <c r="F630" s="3" t="inlineStr">
        <is>
          <t>14.09.22 12:00</t>
        </is>
      </c>
      <c r="G630" t="inlineStr">
        <is>
          <t>г Москва, ул Генерала Глаголева, д 19</t>
        </is>
      </c>
      <c r="H630" s="4" t="n">
        <v>5030000</v>
      </c>
      <c r="I630" s="4" t="n">
        <v>126700.2518891688</v>
      </c>
      <c r="J630" t="inlineStr">
        <is>
          <t>Нежилое помещение</t>
        </is>
      </c>
      <c r="K630" s="5" t="n">
        <v>11.43</v>
      </c>
      <c r="L630" s="4" t="n">
        <v>2390.57</v>
      </c>
      <c r="M630" t="n">
        <v>11088</v>
      </c>
      <c r="N630" s="6" t="n">
        <v>12380664</v>
      </c>
      <c r="O630" t="n">
        <v>53</v>
      </c>
      <c r="P630" s="12" t="n">
        <v>0.2491509850688769</v>
      </c>
      <c r="Q630" t="inlineStr">
        <is>
          <t>EA</t>
        </is>
      </c>
      <c r="R630" t="inlineStr">
        <is>
          <t>М</t>
        </is>
      </c>
      <c r="S630" s="2">
        <f>HYPERLINK("https://yandex.ru/maps/?&amp;text=55.78462, 37.462784", "55.78462, 37.462784")</f>
        <v/>
      </c>
      <c r="T630" s="2">
        <f>HYPERLINK("D:\venv_torgi\env\cache\objs_in_district/55.78462_37.462784.json", "55.78462_37.462784.json")</f>
        <v/>
      </c>
      <c r="U630" t="inlineStr">
        <is>
          <t>77:08:0010006:5887</t>
        </is>
      </c>
      <c r="V630" s="7" t="inlineStr">
        <is>
          <t>1</t>
        </is>
      </c>
      <c r="W630" s="17" t="n">
        <v>158267.74445583</v>
      </c>
      <c r="X630" s="14" t="n">
        <v>31567.49256666123</v>
      </c>
      <c r="Y630" t="n">
        <v>0</v>
      </c>
    </row>
    <row r="631">
      <c r="A631" s="8" t="n">
        <v>629</v>
      </c>
      <c r="B631" t="n">
        <v>77</v>
      </c>
      <c r="C631" s="1" t="n">
        <v>19.4</v>
      </c>
      <c r="D631" s="2">
        <f>HYPERLINK("https://torgi.gov.ru/new/public/lots/lot/21000005000000003182_1/(lotInfo:info)", "21000005000000003182_1")</f>
        <v/>
      </c>
      <c r="E631" t="inlineStr">
        <is>
          <t>Продажа имущества, находящегося в собственности города Москвы, нежилое помещение по адресу: г. Москва, ул. Генерала Глаголева, д. 19, площадью 19,4 кв. м., Этаж № 1, кадастровый номер: 77:08:0010006:5866</t>
        </is>
      </c>
      <c r="F631" s="3" t="inlineStr">
        <is>
          <t>14.09.22 12:00</t>
        </is>
      </c>
      <c r="G631" t="inlineStr">
        <is>
          <t>г Москва, ул Генерала Глаголева, д 19</t>
        </is>
      </c>
      <c r="H631" s="4" t="n">
        <v>2489000</v>
      </c>
      <c r="I631" s="4" t="n">
        <v>128298.969072165</v>
      </c>
      <c r="J631" t="inlineStr">
        <is>
          <t>Нежилое помещение</t>
        </is>
      </c>
      <c r="K631" s="5" t="n">
        <v>11.57</v>
      </c>
      <c r="L631" s="4" t="n">
        <v>2420.72</v>
      </c>
      <c r="M631" t="n">
        <v>11088</v>
      </c>
      <c r="N631" s="6" t="n">
        <v>12380664</v>
      </c>
      <c r="O631" t="n">
        <v>53</v>
      </c>
      <c r="P631" s="12" t="n">
        <v>0.2335854730586988</v>
      </c>
      <c r="Q631" t="inlineStr">
        <is>
          <t>EA</t>
        </is>
      </c>
      <c r="R631" t="inlineStr">
        <is>
          <t>М</t>
        </is>
      </c>
      <c r="S631" s="2">
        <f>HYPERLINK("https://yandex.ru/maps/?&amp;text=55.78462, 37.462784", "55.78462, 37.462784")</f>
        <v/>
      </c>
      <c r="T631" s="2">
        <f>HYPERLINK("D:\venv_torgi\env\cache\objs_in_district/55.78462_37.462784.json", "55.78462_37.462784.json")</f>
        <v/>
      </c>
      <c r="U631" t="inlineStr">
        <is>
          <t>77:08:0010006:5866</t>
        </is>
      </c>
      <c r="V631" s="7" t="inlineStr">
        <is>
          <t>1</t>
        </is>
      </c>
      <c r="W631" s="17" t="n">
        <v>158267.74445583</v>
      </c>
      <c r="X631" s="14" t="n">
        <v>29968.77538366502</v>
      </c>
      <c r="Y631" t="n">
        <v>0</v>
      </c>
    </row>
    <row r="632">
      <c r="A632" s="8" t="n">
        <v>630</v>
      </c>
      <c r="B632" t="n">
        <v>77</v>
      </c>
      <c r="C632" s="1" t="n">
        <v>22.8</v>
      </c>
      <c r="D632" s="2">
        <f>HYPERLINK("https://torgi.gov.ru/new/public/lots/lot/21000005000000003185_1/(lotInfo:info)", "21000005000000003185_1")</f>
        <v/>
      </c>
      <c r="E632" t="inlineStr">
        <is>
          <t>Продажа имущества, находящегося в собственности города Москвы, нежилое помещение по адресу: г. Москва, ул. Введенского, д. 16 площадью 22,8 кв. м (Этаж № 1), кадастровый номер: 77:06:0008001:2776</t>
        </is>
      </c>
      <c r="F632" s="3" t="inlineStr">
        <is>
          <t>12.09.22 12:00</t>
        </is>
      </c>
      <c r="G632" t="inlineStr">
        <is>
          <t>г Москва, ул Введенского, д 16</t>
        </is>
      </c>
      <c r="H632" s="4" t="n">
        <v>2930000</v>
      </c>
      <c r="I632" s="4" t="n">
        <v>128508.7719298246</v>
      </c>
      <c r="J632" t="inlineStr">
        <is>
          <t>Нежилое помещение</t>
        </is>
      </c>
      <c r="K632" s="5" t="n">
        <v>8.18</v>
      </c>
      <c r="L632" s="4" t="n">
        <v>2039.81</v>
      </c>
      <c r="M632" t="n">
        <v>15713</v>
      </c>
      <c r="N632" s="6" t="n">
        <v>12380664</v>
      </c>
      <c r="O632" t="n">
        <v>63</v>
      </c>
      <c r="P632" s="12" t="n">
        <v>0.2315715268235234</v>
      </c>
      <c r="Q632" t="inlineStr">
        <is>
          <t>EA</t>
        </is>
      </c>
      <c r="R632" t="inlineStr">
        <is>
          <t>М</t>
        </is>
      </c>
      <c r="S632" s="2">
        <f>HYPERLINK("https://yandex.ru/maps/?&amp;text=55.642479, 37.540425", "55.642479, 37.540425")</f>
        <v/>
      </c>
      <c r="T632" s="2">
        <f>HYPERLINK("D:\venv_torgi\env\cache\objs_in_district/55.642479_37.540425.json", "55.642479_37.540425.json")</f>
        <v/>
      </c>
      <c r="U632" t="inlineStr">
        <is>
          <t>77:06:0008001:2776</t>
        </is>
      </c>
      <c r="V632" s="7" t="inlineStr">
        <is>
          <t>1</t>
        </is>
      </c>
      <c r="W632" s="17" t="n">
        <v>158267.74445583</v>
      </c>
      <c r="X632" s="14" t="n">
        <v>29758.97252600543</v>
      </c>
      <c r="Y632" t="n">
        <v>0</v>
      </c>
    </row>
    <row r="633">
      <c r="A633" s="8" t="n">
        <v>631</v>
      </c>
      <c r="B633" t="n">
        <v>77</v>
      </c>
      <c r="C633" s="1" t="n">
        <v>36.4</v>
      </c>
      <c r="D633" s="2">
        <f>HYPERLINK("https://torgi.gov.ru/new/public/lots/lot/21000005000000002958_1/(lotInfo:info)", "21000005000000002958_1")</f>
        <v/>
      </c>
      <c r="E633" t="inlineStr">
        <is>
          <t>Продажа имущества, находящегося в собственности города Москвы, нежилое помещение по адресу: г. Москва, ул. Бутлерова, д. 22, площадью 36,4 кв. м., Этаж № 1, кадастровый номер: 77:06:0008003:1052, посредством публичного предложения</t>
        </is>
      </c>
      <c r="F633" s="3" t="inlineStr">
        <is>
          <t>31.08.22 12:00</t>
        </is>
      </c>
      <c r="G633" t="inlineStr">
        <is>
          <t>г Москва, ул Бутлерова, д 22</t>
        </is>
      </c>
      <c r="H633" s="4" t="n">
        <v>5090000</v>
      </c>
      <c r="I633" s="4" t="n">
        <v>139835.1648351648</v>
      </c>
      <c r="J633" t="inlineStr">
        <is>
          <t>Нежилое помещение</t>
        </is>
      </c>
      <c r="K633" s="5" t="n">
        <v>9.33</v>
      </c>
      <c r="L633" s="4" t="n">
        <v>3107.44</v>
      </c>
      <c r="M633" t="n">
        <v>14986</v>
      </c>
      <c r="N633" s="6" t="n">
        <v>12380664</v>
      </c>
      <c r="O633" t="n">
        <v>45</v>
      </c>
      <c r="P633" s="12" t="n">
        <v>0.1318164829454252</v>
      </c>
      <c r="Q633" t="inlineStr">
        <is>
          <t>PP</t>
        </is>
      </c>
      <c r="R633" t="inlineStr">
        <is>
          <t>М</t>
        </is>
      </c>
      <c r="S633" s="2">
        <f>HYPERLINK("https://yandex.ru/maps/?&amp;text=55.649144, 37.534918", "55.649144, 37.534918")</f>
        <v/>
      </c>
      <c r="T633" s="2">
        <f>HYPERLINK("D:\venv_torgi\env\cache\objs_in_district/55.649144_37.534918.json", "55.649144_37.534918.json")</f>
        <v/>
      </c>
      <c r="U633" t="inlineStr">
        <is>
          <t xml:space="preserve">77:06:0008003:1052, </t>
        </is>
      </c>
      <c r="V633" s="7" t="inlineStr">
        <is>
          <t>1</t>
        </is>
      </c>
      <c r="W633" s="17" t="n">
        <v>158267.74445583</v>
      </c>
      <c r="X633" s="14" t="n">
        <v>18432.57962066523</v>
      </c>
      <c r="Y633" t="n">
        <v>0</v>
      </c>
    </row>
    <row r="634">
      <c r="A634" s="8" t="n">
        <v>632</v>
      </c>
      <c r="B634" t="n">
        <v>77</v>
      </c>
      <c r="C634" s="1" t="n">
        <v>35.9</v>
      </c>
      <c r="D634" s="2">
        <f>HYPERLINK("https://torgi.gov.ru/new/public/lots/lot/21000005000000003066_1/(lotInfo:info)", "21000005000000003066_1")</f>
        <v/>
      </c>
      <c r="E634" t="inlineStr">
        <is>
          <t>Продажа имущества, находящегося в собственности города Москвы, нежилое помещение по адресу: г. Москва, ул. Белобородова Генерала, д. 18 площадью 35,9 кв. м, Этаж № 1, кадастровый номер: 77:08:0002022:3598</t>
        </is>
      </c>
      <c r="F634" s="3" t="inlineStr">
        <is>
          <t>06.09.22 12:00</t>
        </is>
      </c>
      <c r="G634" t="inlineStr">
        <is>
          <t>г Москва, ул Генерала Белобородова, д 18</t>
        </is>
      </c>
      <c r="H634" s="4" t="n">
        <v>5349000</v>
      </c>
      <c r="I634" s="4" t="n">
        <v>148997.2144846797</v>
      </c>
      <c r="J634" t="inlineStr">
        <is>
          <t>Нежилое помещение</t>
        </is>
      </c>
      <c r="K634" s="5" t="n">
        <v>14.57</v>
      </c>
      <c r="L634" s="4" t="n">
        <v>1446.57</v>
      </c>
      <c r="M634" t="n">
        <v>10223</v>
      </c>
      <c r="N634" s="6" t="n">
        <v>12380664</v>
      </c>
      <c r="O634" t="n">
        <v>103</v>
      </c>
      <c r="P634" s="12" t="n">
        <v>0.06221948513073414</v>
      </c>
      <c r="Q634" t="inlineStr">
        <is>
          <t>EA</t>
        </is>
      </c>
      <c r="R634" t="inlineStr">
        <is>
          <t>М</t>
        </is>
      </c>
      <c r="S634" s="2">
        <f>HYPERLINK("https://yandex.ru/maps/?&amp;text=55.834153, 37.356441", "55.834153, 37.356441")</f>
        <v/>
      </c>
      <c r="T634" s="2">
        <f>HYPERLINK("D:\venv_torgi\env\cache\objs_in_district/55.834153_37.356441.json", "55.834153_37.356441.json")</f>
        <v/>
      </c>
      <c r="U634" t="inlineStr">
        <is>
          <t>77:08:0002022:3598</t>
        </is>
      </c>
      <c r="V634" s="7" t="inlineStr">
        <is>
          <t>1</t>
        </is>
      </c>
      <c r="W634" s="17" t="n">
        <v>158267.74445583</v>
      </c>
      <c r="X634" s="14" t="n">
        <v>9270.529971150332</v>
      </c>
      <c r="Y634" t="n">
        <v>0</v>
      </c>
    </row>
    <row r="635">
      <c r="A635" s="8" t="n">
        <v>633</v>
      </c>
      <c r="B635" t="n">
        <v>77</v>
      </c>
      <c r="C635" s="1" t="n">
        <v>13.3</v>
      </c>
      <c r="D635" s="2">
        <f>HYPERLINK("https://torgi.gov.ru/new/public/lots/lot/21000005000000002938_1/(lotInfo:info)", "21000005000000002938_1")</f>
        <v/>
      </c>
      <c r="E635" t="inlineStr">
        <is>
          <t>Продажа объекта нежилого фонда, находящегося в хозяйственном ведении Государственного унитарного предприятия города Москвы «Центр управления городским имуществом» (ГУП «ЦУГИ»), по адресу: г. Москва, ш. Ленинградское, д. 8, корп. 1, общей площадью 13,30 кв. м (кадастровый номер: 77:09:0003018:10762)</t>
        </is>
      </c>
      <c r="F635" s="3" t="inlineStr">
        <is>
          <t>29.08.22 12:00</t>
        </is>
      </c>
      <c r="G635" t="inlineStr">
        <is>
          <t>г Москва, Ленинградское шоссе, д 8 к 1</t>
        </is>
      </c>
      <c r="H635" s="4" t="n">
        <v>2127000</v>
      </c>
      <c r="I635" s="4" t="n">
        <v>159924.8120300752</v>
      </c>
      <c r="J635" t="inlineStr">
        <is>
          <t>Нежилое помещение</t>
        </is>
      </c>
      <c r="K635" s="5" t="n">
        <v>15.31</v>
      </c>
      <c r="L635" s="4" t="n">
        <v>1080.57</v>
      </c>
      <c r="M635" t="n">
        <v>10445</v>
      </c>
      <c r="N635" s="6" t="n">
        <v>12380664</v>
      </c>
      <c r="O635" t="n">
        <v>148</v>
      </c>
      <c r="Q635" t="inlineStr">
        <is>
          <t>EA</t>
        </is>
      </c>
      <c r="R635" t="inlineStr">
        <is>
          <t>М</t>
        </is>
      </c>
      <c r="S635" s="2">
        <f>HYPERLINK("https://yandex.ru/maps/?&amp;text=55.816696, 37.50204", "55.816696, 37.50204")</f>
        <v/>
      </c>
      <c r="T635" s="2">
        <f>HYPERLINK("D:\venv_torgi\env\cache\objs_in_district/55.816696_37.50204.json", "55.816696_37.50204.json")</f>
        <v/>
      </c>
      <c r="U635" t="inlineStr">
        <is>
          <t>77:09:0003018:10762</t>
        </is>
      </c>
      <c r="W635" s="17" t="n">
        <v>114162.4691086402</v>
      </c>
      <c r="X635" s="15" t="n">
        <v>-45762.34292143503</v>
      </c>
      <c r="Y635" t="n">
        <v>0</v>
      </c>
    </row>
    <row r="636">
      <c r="A636" s="8" t="n">
        <v>634</v>
      </c>
      <c r="B636" t="n">
        <v>77</v>
      </c>
      <c r="C636" s="1" t="n">
        <v>11.1</v>
      </c>
      <c r="D636" s="2">
        <f>HYPERLINK("https://torgi.gov.ru/new/public/lots/lot/21000005000000003414_1/(lotInfo:info)", "21000005000000003414_1")</f>
        <v/>
      </c>
      <c r="E636" t="inlineStr">
        <is>
          <t>Продажа имущества, находящегося в собственности города Москвы, нежилое помещение по адресу: г. Москва, ул. Никитская Б., д. 24/1, стр. 6 площадью 11,1 кв. м (Этаж № 1), кадастровый номер: 77:01:0001069:5226</t>
        </is>
      </c>
      <c r="F636" s="3" t="inlineStr">
        <is>
          <t>22.09.22 12:00</t>
        </is>
      </c>
      <c r="G636" t="inlineStr">
        <is>
          <t>г Москва, ул Большая Никитская, д 24/1 стр 6</t>
        </is>
      </c>
      <c r="H636" s="4" t="n">
        <v>2492000</v>
      </c>
      <c r="I636" s="4" t="n">
        <v>224504.5045045045</v>
      </c>
      <c r="J636" t="inlineStr">
        <is>
          <t>Нежилое помещение</t>
        </is>
      </c>
      <c r="K636" s="5" t="n">
        <v>18.63</v>
      </c>
      <c r="L636" s="4" t="n">
        <v>726.55</v>
      </c>
      <c r="M636" t="n">
        <v>12050</v>
      </c>
      <c r="N636" s="6" t="n">
        <v>12380664</v>
      </c>
      <c r="O636" t="n">
        <v>309</v>
      </c>
      <c r="Q636" t="inlineStr">
        <is>
          <t>EA</t>
        </is>
      </c>
      <c r="R636" t="inlineStr">
        <is>
          <t>М</t>
        </is>
      </c>
      <c r="S636" s="2">
        <f>HYPERLINK("https://yandex.ru/maps/?&amp;text=55.757171, 37.602076", "55.757171, 37.602076")</f>
        <v/>
      </c>
      <c r="T636" s="2">
        <f>HYPERLINK("D:\venv_torgi\env\cache\objs_in_district/55.757171_37.602076.json", "55.757171_37.602076.json")</f>
        <v/>
      </c>
      <c r="U636" t="inlineStr">
        <is>
          <t>77:01:0001069:5226</t>
        </is>
      </c>
      <c r="V636" s="7" t="inlineStr">
        <is>
          <t>1</t>
        </is>
      </c>
      <c r="W636" s="17" t="n">
        <v>174234.2734568142</v>
      </c>
      <c r="X636" s="15" t="n">
        <v>-50270.23104769029</v>
      </c>
      <c r="Y636" t="n">
        <v>0</v>
      </c>
    </row>
    <row r="637">
      <c r="A637" s="8" t="n">
        <v>635</v>
      </c>
      <c r="B637" t="n">
        <v>78</v>
      </c>
      <c r="C637" s="1" t="n">
        <v>83.8</v>
      </c>
      <c r="D637" s="2">
        <f>HYPERLINK("https://torgi.gov.ru/new/public/lots/lot/21000002210000000929_1/(lotInfo:info)", "21000002210000000929_1")</f>
        <v/>
      </c>
      <c r="E637" t="inlineStr">
        <is>
          <t>Нежилое помещение, расположенное по адресу: Санкт-Петербург, г. Пушкин, Конюшенная ул., д. 37, литера А, пом. 2-Н, площадь 83.8 кв.м, назначение: нежилое помещение, наименование: нежилое помещение, этаж: цокольный, кадастровый номер 78:42:1811101:2227</t>
        </is>
      </c>
      <c r="F637" s="3" t="inlineStr">
        <is>
          <t>23.09.22 20:00</t>
        </is>
      </c>
      <c r="G637" t="inlineStr">
        <is>
          <t>г Санкт-Петербург, г Пушкин, ул Конюшенная, д 37 литера А</t>
        </is>
      </c>
      <c r="H637" s="4" t="n">
        <v>2760000</v>
      </c>
      <c r="I637" s="4" t="n">
        <v>32935.56085918855</v>
      </c>
      <c r="J637" t="inlineStr">
        <is>
          <t>Нежилое помещение</t>
        </is>
      </c>
      <c r="K637" s="5" t="n">
        <v>5.74</v>
      </c>
      <c r="L637" s="4" t="n">
        <v>522.78</v>
      </c>
      <c r="M637" t="n">
        <v>5733</v>
      </c>
      <c r="N637" s="6" t="n">
        <v>5225690</v>
      </c>
      <c r="O637" t="n">
        <v>63</v>
      </c>
      <c r="P637" s="12" t="n">
        <v>2.172992942938998</v>
      </c>
      <c r="Q637" t="inlineStr">
        <is>
          <t>EA</t>
        </is>
      </c>
      <c r="R637" t="inlineStr">
        <is>
          <t>М</t>
        </is>
      </c>
      <c r="S637" s="2">
        <f>HYPERLINK("https://yandex.ru/maps/?&amp;text=59.721039, 30.415689", "59.721039, 30.415689")</f>
        <v/>
      </c>
      <c r="T637" s="2">
        <f>HYPERLINK("D:\venv_torgi\env\cache\objs_in_district/59.721039_30.415689.json", "59.721039_30.415689.json")</f>
        <v/>
      </c>
      <c r="U637" t="inlineStr">
        <is>
          <t>78:42:1811101:2227</t>
        </is>
      </c>
      <c r="V637" s="7" t="inlineStr">
        <is>
          <t>0</t>
        </is>
      </c>
      <c r="W637" s="17" t="n">
        <v>104504.3021779431</v>
      </c>
      <c r="X637" s="14" t="n">
        <v>71568.74131875459</v>
      </c>
      <c r="Y637" t="n">
        <v>0</v>
      </c>
    </row>
    <row r="638">
      <c r="A638" s="8" t="n">
        <v>636</v>
      </c>
      <c r="B638" t="n">
        <v>78</v>
      </c>
      <c r="C638" s="1" t="n">
        <v>61</v>
      </c>
      <c r="D638" s="2">
        <f>HYPERLINK("https://torgi.gov.ru/new/public/lots/lot/21000002210000000884_1/(lotInfo:info)", "21000002210000000884_1")</f>
        <v/>
      </c>
      <c r="E638" t="inlineStr">
        <is>
          <t>Нежилое помещение, расположенное по адресу: Санкт-Петербург, переулок Лодыгина, д. 7, литера А, пом. 2-Н, площадь 61 кв.м, назначение: нежилое помещение, этаж: цокольный, кадастровый номер 78:32:0001655:1212</t>
        </is>
      </c>
      <c r="F638" s="3" t="inlineStr">
        <is>
          <t>19.09.22 20:00</t>
        </is>
      </c>
      <c r="G638" t="inlineStr">
        <is>
          <t>г Санкт-Петербург, пер Лодыгина, д 7 литера А</t>
        </is>
      </c>
      <c r="H638" s="4" t="n">
        <v>3850000</v>
      </c>
      <c r="I638" s="4" t="n">
        <v>63114.75409836065</v>
      </c>
      <c r="J638" t="inlineStr">
        <is>
          <t>Нежилое помещение</t>
        </is>
      </c>
      <c r="K638" s="5" t="n">
        <v>9.220000000000001</v>
      </c>
      <c r="L638" s="4" t="n">
        <v>504.91</v>
      </c>
      <c r="M638" t="n">
        <v>6847</v>
      </c>
      <c r="N638" s="6" t="n">
        <v>5225690</v>
      </c>
      <c r="O638" t="n">
        <v>125</v>
      </c>
      <c r="P638" s="12" t="n">
        <v>0.4086771179950801</v>
      </c>
      <c r="Q638" t="inlineStr">
        <is>
          <t>EA</t>
        </is>
      </c>
      <c r="R638" t="inlineStr">
        <is>
          <t>М</t>
        </is>
      </c>
      <c r="S638" s="2">
        <f>HYPERLINK("https://yandex.ru/maps/?&amp;text=59.912495, 30.288883", "59.912495, 30.288883")</f>
        <v/>
      </c>
      <c r="T638" s="2">
        <f>HYPERLINK("D:\venv_torgi\env\cache\objs_in_district/59.912495_30.288883.json", "59.912495_30.288883.json")</f>
        <v/>
      </c>
      <c r="U638" t="inlineStr">
        <is>
          <t>78:32:0001655:1212</t>
        </is>
      </c>
      <c r="V638" s="7" t="inlineStr">
        <is>
          <t>0</t>
        </is>
      </c>
      <c r="W638" s="17" t="n">
        <v>88908.30990624685</v>
      </c>
      <c r="X638" s="14" t="n">
        <v>25793.5558078862</v>
      </c>
      <c r="Y638" t="n">
        <v>0</v>
      </c>
    </row>
    <row r="639">
      <c r="A639" s="8" t="n">
        <v>637</v>
      </c>
      <c r="B639" t="n">
        <v>78</v>
      </c>
      <c r="C639" s="1" t="n">
        <v>31.3</v>
      </c>
      <c r="D639" s="2">
        <f>HYPERLINK("https://torgi.gov.ru/new/public/lots/lot/21000002210000000897_1/(lotInfo:info)", "21000002210000000897_1")</f>
        <v/>
      </c>
      <c r="E639" t="inlineStr">
        <is>
          <t>Нежилое помещение, расположенное по адресу: Санкт-Петербург, 11-я линия В.О., д. 32/44, литера А, пом. 9-Н, площадь 31.3 кв.м, назначение: нежилое помещение, этаж №3, кадастровый номер 78:06:0002043:2724</t>
        </is>
      </c>
      <c r="F639" s="3" t="inlineStr">
        <is>
          <t>20.09.22 20:00</t>
        </is>
      </c>
      <c r="G639" t="inlineStr">
        <is>
          <t>г Санкт-Петербург, линия 11-я В.О., д 32/44 литера А, помещ 9-Н</t>
        </is>
      </c>
      <c r="H639" s="4" t="n">
        <v>2080000</v>
      </c>
      <c r="I639" s="4" t="n">
        <v>66453.67412140575</v>
      </c>
      <c r="J639" t="inlineStr">
        <is>
          <t>Нежилое помещение</t>
        </is>
      </c>
      <c r="K639" s="5" t="n">
        <v>6.54</v>
      </c>
      <c r="L639" s="4" t="n">
        <v>330.61</v>
      </c>
      <c r="M639" t="n">
        <v>10155</v>
      </c>
      <c r="N639" s="6" t="n">
        <v>5225690</v>
      </c>
      <c r="O639" t="n">
        <v>201</v>
      </c>
      <c r="P639" s="12" t="n">
        <v>0.7179256168752103</v>
      </c>
      <c r="Q639" t="inlineStr">
        <is>
          <t>EA</t>
        </is>
      </c>
      <c r="R639" t="inlineStr">
        <is>
          <t>М</t>
        </is>
      </c>
      <c r="S639" s="2">
        <f>HYPERLINK("https://yandex.ru/maps/?&amp;text=59.9411815, 30.2736063", "59.9411815, 30.2736063")</f>
        <v/>
      </c>
      <c r="T639" s="2">
        <f>HYPERLINK("D:\venv_torgi\env\cache\objs_in_district/59.9411815_30.2736063.json", "59.9411815_30.2736063.json")</f>
        <v/>
      </c>
      <c r="U639" t="inlineStr">
        <is>
          <t>78:06:0002043:2724</t>
        </is>
      </c>
      <c r="V639" s="7" t="inlineStr">
        <is>
          <t>3</t>
        </is>
      </c>
      <c r="W639" s="17" t="n">
        <v>114162.4691086402</v>
      </c>
      <c r="X639" s="14" t="n">
        <v>47708.79498723442</v>
      </c>
      <c r="Y639" t="n">
        <v>0</v>
      </c>
    </row>
    <row r="640">
      <c r="A640" s="8" t="n">
        <v>638</v>
      </c>
      <c r="B640" t="n">
        <v>78</v>
      </c>
      <c r="C640" s="1" t="n">
        <v>18</v>
      </c>
      <c r="D640" s="2">
        <f>HYPERLINK("https://torgi.gov.ru/new/public/lots/lot/21000002210000000896_1/(lotInfo:info)", "21000002210000000896_1")</f>
        <v/>
      </c>
      <c r="E640" t="inlineStr">
        <is>
          <t>Нежилое помещение, расположенное по адресу: Санкт-Петербург, 11-я линия В.О., д. 32/44, литера А, пом. 4-Н, площадь 18 кв.м, назначение: нежилое помещение, этаж №1, кадастровый номер 78:06:0002043:2719</t>
        </is>
      </c>
      <c r="F640" s="3" t="inlineStr">
        <is>
          <t>20.09.22 20:00</t>
        </is>
      </c>
      <c r="G640" t="inlineStr">
        <is>
          <t>г Санкт-Петербург, линия 11-я В.О., д 32/44 литера А, помещ 4-Н</t>
        </is>
      </c>
      <c r="H640" s="4" t="n">
        <v>1200000</v>
      </c>
      <c r="I640" s="4" t="n">
        <v>66666.66666666667</v>
      </c>
      <c r="J640" t="inlineStr">
        <is>
          <t>Нежилое помещение</t>
        </is>
      </c>
      <c r="K640" s="5" t="n">
        <v>6.56</v>
      </c>
      <c r="L640" s="4" t="n">
        <v>331.67</v>
      </c>
      <c r="M640" t="n">
        <v>10155</v>
      </c>
      <c r="N640" s="6" t="n">
        <v>5225690</v>
      </c>
      <c r="O640" t="n">
        <v>201</v>
      </c>
      <c r="P640" s="12" t="n">
        <v>1.37401616683745</v>
      </c>
      <c r="Q640" t="inlineStr">
        <is>
          <t>EA</t>
        </is>
      </c>
      <c r="R640" t="inlineStr">
        <is>
          <t>М</t>
        </is>
      </c>
      <c r="S640" s="2">
        <f>HYPERLINK("https://yandex.ru/maps/?&amp;text=59.9411815, 30.2736063", "59.9411815, 30.2736063")</f>
        <v/>
      </c>
      <c r="T640" s="2">
        <f>HYPERLINK("D:\venv_torgi\env\cache\objs_in_district/59.9411815_30.2736063.json", "59.9411815_30.2736063.json")</f>
        <v/>
      </c>
      <c r="U640" t="inlineStr">
        <is>
          <t>78:06:0002043:2719</t>
        </is>
      </c>
      <c r="V640" s="7" t="inlineStr">
        <is>
          <t>1</t>
        </is>
      </c>
      <c r="W640" s="17" t="n">
        <v>158267.74445583</v>
      </c>
      <c r="X640" s="14" t="n">
        <v>91601.07778916335</v>
      </c>
      <c r="Y640" t="n">
        <v>0</v>
      </c>
    </row>
    <row r="641">
      <c r="A641" s="8" t="n">
        <v>639</v>
      </c>
      <c r="B641" t="n">
        <v>78</v>
      </c>
      <c r="C641" s="1" t="n">
        <v>16.8</v>
      </c>
      <c r="D641" s="2">
        <f>HYPERLINK("https://torgi.gov.ru/new/public/lots/lot/21000002210000000871_1/(lotInfo:info)", "21000002210000000871_1")</f>
        <v/>
      </c>
      <c r="E641" t="inlineStr">
        <is>
          <t>Помещение, расположенное по адресу: Санкт-Петербург, г. Ломоносов, Дворцовый проспект, д. 63, литера А, пом. 4-Н, площадь 16.8 кв.м., этаж № 1, назначение: нежилое помещение, наименование: нежилое помещение, кадастровый номер 78:40:2054701:1026</t>
        </is>
      </c>
      <c r="F641" s="3" t="inlineStr">
        <is>
          <t>14.09.22 20:00</t>
        </is>
      </c>
      <c r="G641" t="inlineStr">
        <is>
          <t>г Санкт-Петербург, г Ломоносов, Дворцовый пр-кт, д 63 литера А</t>
        </is>
      </c>
      <c r="H641" s="4" t="n">
        <v>1356000</v>
      </c>
      <c r="I641" s="4" t="n">
        <v>80714.28571428571</v>
      </c>
      <c r="J641" t="inlineStr">
        <is>
          <t>Нежилое помещение</t>
        </is>
      </c>
      <c r="K641" s="5" t="n">
        <v>29.73</v>
      </c>
      <c r="L641" s="4" t="n">
        <v>1301.84</v>
      </c>
      <c r="M641" t="n">
        <v>2715</v>
      </c>
      <c r="N641" s="6" t="n">
        <v>5225690</v>
      </c>
      <c r="O641" t="n">
        <v>62</v>
      </c>
      <c r="P641" s="12" t="n">
        <v>0.130582589469122</v>
      </c>
      <c r="Q641" t="inlineStr">
        <is>
          <t>EK</t>
        </is>
      </c>
      <c r="R641" t="inlineStr">
        <is>
          <t>М</t>
        </is>
      </c>
      <c r="S641" s="2">
        <f>HYPERLINK("https://yandex.ru/maps/?&amp;text=59.91586, 29.764913", "59.91586, 29.764913")</f>
        <v/>
      </c>
      <c r="T641" s="2">
        <f>HYPERLINK("D:\venv_torgi\env\cache\objs_in_district/59.91586_29.764913.json", "59.91586_29.764913.json")</f>
        <v/>
      </c>
      <c r="U641" t="inlineStr">
        <is>
          <t>78:40:2054701:1026</t>
        </is>
      </c>
      <c r="V641" s="7" t="inlineStr">
        <is>
          <t>1</t>
        </is>
      </c>
      <c r="W641" s="17" t="n">
        <v>91254.1661500077</v>
      </c>
      <c r="X641" s="14" t="n">
        <v>10539.88043572199</v>
      </c>
      <c r="Y641" t="n">
        <v>0</v>
      </c>
    </row>
    <row r="642">
      <c r="A642" s="8" t="n">
        <v>640</v>
      </c>
      <c r="B642" t="n">
        <v>78</v>
      </c>
      <c r="C642" s="1" t="n">
        <v>84.2</v>
      </c>
      <c r="D642" s="2">
        <f>HYPERLINK("https://torgi.gov.ru/new/public/lots/lot/21000002210000000891_1/(lotInfo:info)", "21000002210000000891_1")</f>
        <v/>
      </c>
      <c r="E642" t="inlineStr">
        <is>
          <t>Нежилое помещение, расположенное по адресу: Санкт-Петербург, ул. Ломоносова, д. 14, литера Л, пом. 12-Н, площадь 84.2 кв.м, назначение: нежилое помещение, наименование: нежилое помещение, этаж: цокольный, кадастровый номер 78:31:0001055:2930</t>
        </is>
      </c>
      <c r="F642" s="3" t="inlineStr">
        <is>
          <t>19.09.22 20:00</t>
        </is>
      </c>
      <c r="G642" t="inlineStr">
        <is>
          <t>г Санкт-Петербург, ул Ломоносова, д 14 литера Л</t>
        </is>
      </c>
      <c r="H642" s="4" t="n">
        <v>7440000</v>
      </c>
      <c r="I642" s="4" t="n">
        <v>88361.04513064133</v>
      </c>
      <c r="J642" t="inlineStr">
        <is>
          <t>Нежилое помещение</t>
        </is>
      </c>
      <c r="K642" s="5" t="n">
        <v>5.87</v>
      </c>
      <c r="L642" s="4" t="n">
        <v>412.9</v>
      </c>
      <c r="M642" t="n">
        <v>15046</v>
      </c>
      <c r="N642" s="6" t="n">
        <v>5225690</v>
      </c>
      <c r="O642" t="n">
        <v>214</v>
      </c>
      <c r="P642" s="12" t="n">
        <v>0.1826965380890877</v>
      </c>
      <c r="Q642" t="inlineStr">
        <is>
          <t>EA</t>
        </is>
      </c>
      <c r="R642" t="inlineStr">
        <is>
          <t>М</t>
        </is>
      </c>
      <c r="S642" s="2">
        <f>HYPERLINK("https://yandex.ru/maps/?&amp;text=59.927874, 30.338479", "59.927874, 30.338479")</f>
        <v/>
      </c>
      <c r="T642" s="2">
        <f>HYPERLINK("D:\venv_torgi\env\cache\objs_in_district/59.927874_30.338479.json", "59.927874_30.338479.json")</f>
        <v/>
      </c>
      <c r="U642" t="inlineStr">
        <is>
          <t>78:31:0001055:2930</t>
        </is>
      </c>
      <c r="V642" s="7" t="inlineStr">
        <is>
          <t>0</t>
        </is>
      </c>
      <c r="W642" s="17" t="n">
        <v>104504.3021779431</v>
      </c>
      <c r="X642" s="14" t="n">
        <v>16143.25704730181</v>
      </c>
      <c r="Y642" t="n">
        <v>0</v>
      </c>
    </row>
    <row r="643">
      <c r="A643" s="8" t="n">
        <v>641</v>
      </c>
      <c r="B643" t="n">
        <v>78</v>
      </c>
      <c r="C643" s="1" t="n">
        <v>93.90000000000001</v>
      </c>
      <c r="D643" s="2">
        <f>HYPERLINK("https://torgi.gov.ru/new/public/lots/lot/21000002210000000899_1/(lotInfo:info)", "21000002210000000899_1")</f>
        <v/>
      </c>
      <c r="E643" t="inlineStr">
        <is>
          <t>Нежилое помещение, расположенное по адресу: Санкт-Петербург, Боткинская ул., д. 1, литера А, пом. 4-Н, площадь 93.9 кв.м, назначение: нежилое помещение, наименование: нежилое помещение, этаж: цокольный, кадастровый номер 78:10:0005109:1437</t>
        </is>
      </c>
      <c r="F643" s="3" t="inlineStr">
        <is>
          <t>20.09.22 20:00</t>
        </is>
      </c>
      <c r="G643" t="inlineStr">
        <is>
          <t>г Санкт-Петербург, ул Боткинская, д 1 литера А</t>
        </is>
      </c>
      <c r="H643" s="4" t="n">
        <v>8360000</v>
      </c>
      <c r="I643" s="4" t="n">
        <v>89030.88391906282</v>
      </c>
      <c r="J643" t="inlineStr">
        <is>
          <t>Нежилое помещение</t>
        </is>
      </c>
      <c r="K643" s="5" t="n">
        <v>15.28</v>
      </c>
      <c r="L643" s="4" t="n">
        <v>559.9400000000001</v>
      </c>
      <c r="M643" t="n">
        <v>5826</v>
      </c>
      <c r="N643" s="6" t="n">
        <v>5225690</v>
      </c>
      <c r="O643" t="n">
        <v>159</v>
      </c>
      <c r="P643" s="12" t="n">
        <v>0.1737983223096725</v>
      </c>
      <c r="Q643" t="inlineStr">
        <is>
          <t>EA</t>
        </is>
      </c>
      <c r="R643" t="inlineStr">
        <is>
          <t>М</t>
        </is>
      </c>
      <c r="S643" s="2">
        <f>HYPERLINK("https://yandex.ru/maps/?&amp;text=59.95931, 30.357695", "59.95931, 30.357695")</f>
        <v/>
      </c>
      <c r="T643" s="2">
        <f>HYPERLINK("D:\venv_torgi\env\cache\objs_in_district/59.95931_30.357695.json", "59.95931_30.357695.json")</f>
        <v/>
      </c>
      <c r="U643" t="inlineStr">
        <is>
          <t>78:10:0005109:1437</t>
        </is>
      </c>
      <c r="V643" s="7" t="inlineStr">
        <is>
          <t>0</t>
        </is>
      </c>
      <c r="W643" s="17" t="n">
        <v>104504.3021779431</v>
      </c>
      <c r="X643" s="14" t="n">
        <v>15473.41825888032</v>
      </c>
      <c r="Y643" t="n">
        <v>0</v>
      </c>
    </row>
    <row r="644">
      <c r="A644" s="8" t="n">
        <v>642</v>
      </c>
      <c r="B644" t="n">
        <v>78</v>
      </c>
      <c r="C644" s="1" t="n">
        <v>17.8</v>
      </c>
      <c r="D644" s="2">
        <f>HYPERLINK("https://torgi.gov.ru/new/public/lots/lot/21000002210000000882_1/(lotInfo:info)", "21000002210000000882_1")</f>
        <v/>
      </c>
      <c r="E644" t="inlineStr">
        <is>
          <t>Нежилое помещение, расположенное по адресу: Санкт-Петербург, ул. Декабристов, д. 13, литера А, пом. 10-Н, площадь 17.8 кв.м., назначение: нежилое помещение, наименование: склад, этаж №1, кадастровый номер 78:32:0001297:249</t>
        </is>
      </c>
      <c r="F644" s="3" t="inlineStr">
        <is>
          <t>19.09.22 20:00</t>
        </is>
      </c>
      <c r="G644" t="inlineStr">
        <is>
          <t>г Санкт-Петербург, ул Декабристов, д 13 литера А</t>
        </is>
      </c>
      <c r="H644" s="4" t="n">
        <v>1800000</v>
      </c>
      <c r="I644" s="4" t="n">
        <v>101123.595505618</v>
      </c>
      <c r="J644" t="inlineStr">
        <is>
          <t>Нежилое помещение</t>
        </is>
      </c>
      <c r="K644" s="5" t="n">
        <v>9.27</v>
      </c>
      <c r="L644" s="4" t="n">
        <v>609.17</v>
      </c>
      <c r="M644" t="n">
        <v>10908</v>
      </c>
      <c r="N644" s="6" t="n">
        <v>5225690</v>
      </c>
      <c r="O644" t="n">
        <v>166</v>
      </c>
      <c r="P644" s="12" t="n">
        <v>0.5650921396187634</v>
      </c>
      <c r="Q644" t="inlineStr">
        <is>
          <t>EA</t>
        </is>
      </c>
      <c r="R644" t="inlineStr">
        <is>
          <t>М</t>
        </is>
      </c>
      <c r="S644" s="2">
        <f>HYPERLINK("https://yandex.ru/maps/?&amp;text=59.92832, 30.303184", "59.92832, 30.303184")</f>
        <v/>
      </c>
      <c r="T644" s="2">
        <f>HYPERLINK("D:\venv_torgi\env\cache\objs_in_district/59.92832_30.303184.json", "59.92832_30.303184.json")</f>
        <v/>
      </c>
      <c r="U644" t="inlineStr">
        <is>
          <t>78:32:0001297:249</t>
        </is>
      </c>
      <c r="V644" s="7" t="inlineStr">
        <is>
          <t>1</t>
        </is>
      </c>
      <c r="W644" s="17" t="n">
        <v>158267.74445583</v>
      </c>
      <c r="X644" s="14" t="n">
        <v>57144.14895021202</v>
      </c>
      <c r="Y644" t="n">
        <v>0</v>
      </c>
    </row>
    <row r="645">
      <c r="A645" s="8" t="n">
        <v>643</v>
      </c>
      <c r="B645" t="n">
        <v>78</v>
      </c>
      <c r="C645" s="1" t="n">
        <v>72.59999999999999</v>
      </c>
      <c r="D645" s="2">
        <f>HYPERLINK("https://torgi.gov.ru/new/public/lots/lot/21000002210000000889_1/(lotInfo:info)", "21000002210000000889_1")</f>
        <v/>
      </c>
      <c r="E645" t="inlineStr">
        <is>
          <t>Нежилое помещение, расположенное по адресу: Санкт-Петербург, Рижский проспект, д. 19, литера Г, пом. 5-Н, площадь 72.6 кв.м., назначение: нежилое помещение, наименование: офис, этаж: цокольный, кадастровый номер 78:32:0001612:1077</t>
        </is>
      </c>
      <c r="F645" s="3" t="inlineStr">
        <is>
          <t>19.09.22 20:00</t>
        </is>
      </c>
      <c r="G645" t="inlineStr">
        <is>
          <t>г Санкт-Петербург, Рижский пр-кт, д 19 литера Г</t>
        </is>
      </c>
      <c r="H645" s="4" t="n">
        <v>7350000</v>
      </c>
      <c r="I645" s="4" t="n">
        <v>101239.6694214876</v>
      </c>
      <c r="J645" t="inlineStr">
        <is>
          <t>офис</t>
        </is>
      </c>
      <c r="K645" s="5" t="n">
        <v>11.97</v>
      </c>
      <c r="L645" s="4" t="n">
        <v>1002.37</v>
      </c>
      <c r="M645" t="n">
        <v>8455</v>
      </c>
      <c r="N645" s="6" t="n">
        <v>5225690</v>
      </c>
      <c r="O645" t="n">
        <v>101</v>
      </c>
      <c r="P645" s="12" t="n">
        <v>0.03224657661478533</v>
      </c>
      <c r="Q645" t="inlineStr">
        <is>
          <t>EA</t>
        </is>
      </c>
      <c r="R645" t="inlineStr">
        <is>
          <t>М</t>
        </is>
      </c>
      <c r="S645" s="2">
        <f>HYPERLINK("https://yandex.ru/maps/?&amp;text=59.913762, 30.286143", "59.913762, 30.286143")</f>
        <v/>
      </c>
      <c r="T645" s="2">
        <f>HYPERLINK("D:\venv_torgi\env\cache\objs_in_district/59.913762_30.286143.json", "59.913762_30.286143.json")</f>
        <v/>
      </c>
      <c r="U645" t="inlineStr">
        <is>
          <t>78:32:0001612:1077</t>
        </is>
      </c>
      <c r="V645" s="7" t="inlineStr">
        <is>
          <t>0</t>
        </is>
      </c>
      <c r="W645" s="17" t="n">
        <v>104504.3021779431</v>
      </c>
      <c r="X645" s="14" t="n">
        <v>3264.632756455539</v>
      </c>
      <c r="Y645" t="n">
        <v>0</v>
      </c>
    </row>
    <row r="646">
      <c r="A646" s="8" t="n">
        <v>644</v>
      </c>
      <c r="B646" t="n">
        <v>78</v>
      </c>
      <c r="C646" s="1" t="n">
        <v>58.3</v>
      </c>
      <c r="D646" s="2">
        <f>HYPERLINK("https://torgi.gov.ru/new/public/lots/lot/21000002210000000911_1/(lotInfo:info)", "21000002210000000911_1")</f>
        <v/>
      </c>
      <c r="E646" t="inlineStr">
        <is>
          <t>Нежилое помещение, расположенное по адресу: Санкт-Петербург, Вознесенский проспект, д. 55, литера А, пом. 9-Н,10-Н, площадь 58.3 кв.м., назначение: нежилое, этаж: цокольный, кадастровый номер 78:32:0001063:802</t>
        </is>
      </c>
      <c r="F646" s="3" t="inlineStr">
        <is>
          <t>21.09.22 20:00</t>
        </is>
      </c>
      <c r="G646" t="inlineStr">
        <is>
          <t>г Санкт-Петербург, Вознесенский пр-кт, д 55 литера А</t>
        </is>
      </c>
      <c r="H646" s="4" t="n">
        <v>6100000</v>
      </c>
      <c r="I646" s="4" t="n">
        <v>104631.217838765</v>
      </c>
      <c r="J646" t="inlineStr">
        <is>
          <t>Нежилое помещение</t>
        </is>
      </c>
      <c r="K646" s="5" t="n">
        <v>12.5</v>
      </c>
      <c r="L646" s="4" t="n">
        <v>473.44</v>
      </c>
      <c r="M646" t="n">
        <v>8368</v>
      </c>
      <c r="N646" s="6" t="n">
        <v>5225690</v>
      </c>
      <c r="O646" t="n">
        <v>221</v>
      </c>
      <c r="Q646" t="inlineStr">
        <is>
          <t>EA</t>
        </is>
      </c>
      <c r="R646" t="inlineStr">
        <is>
          <t>М</t>
        </is>
      </c>
      <c r="S646" s="2">
        <f>HYPERLINK("https://yandex.ru/maps/?&amp;text=59.920492, 30.307541", "59.920492, 30.307541")</f>
        <v/>
      </c>
      <c r="T646" s="2">
        <f>HYPERLINK("D:\venv_torgi\env\cache\objs_in_district/59.920492_30.307541.json", "59.920492_30.307541.json")</f>
        <v/>
      </c>
      <c r="U646" t="inlineStr">
        <is>
          <t>78:32:0001063:802</t>
        </is>
      </c>
      <c r="V646" s="7" t="inlineStr">
        <is>
          <t>0</t>
        </is>
      </c>
      <c r="W646" s="17" t="n">
        <v>88908.30990624685</v>
      </c>
      <c r="X646" s="15" t="n">
        <v>-15722.90793251815</v>
      </c>
      <c r="Y646" t="n">
        <v>0</v>
      </c>
    </row>
    <row r="647">
      <c r="A647" s="8" t="n">
        <v>645</v>
      </c>
      <c r="B647" t="n">
        <v>78</v>
      </c>
      <c r="C647" s="1" t="n">
        <v>11</v>
      </c>
      <c r="D647" s="2">
        <f>HYPERLINK("https://torgi.gov.ru/new/public/lots/lot/21000002210000000888_1/(lotInfo:info)", "21000002210000000888_1")</f>
        <v/>
      </c>
      <c r="E647" t="inlineStr">
        <is>
          <t>Нежилое помещение, расположенное по адресу: Санкт-Петербург, ул. Правды, д. 16, литера А, пом. 6-Н, площадь 11 кв.м., назначение: нежилое помещение, этаж № 1, кадастровый номер 78:31:0001691:2615</t>
        </is>
      </c>
      <c r="F647" s="3" t="inlineStr">
        <is>
          <t>19.09.22 20:00</t>
        </is>
      </c>
      <c r="G647" t="inlineStr">
        <is>
          <t>г Санкт-Петербург, ул Правды, д 16 литера А</t>
        </is>
      </c>
      <c r="H647" s="4" t="n">
        <v>1200000</v>
      </c>
      <c r="I647" s="4" t="n">
        <v>109090.9090909091</v>
      </c>
      <c r="J647" t="inlineStr">
        <is>
          <t>Нежилое помещение</t>
        </is>
      </c>
      <c r="K647" s="5" t="n">
        <v>5.16</v>
      </c>
      <c r="L647" s="4" t="n">
        <v>426.13</v>
      </c>
      <c r="M647" t="n">
        <v>21127</v>
      </c>
      <c r="N647" s="6" t="n">
        <v>5225690</v>
      </c>
      <c r="O647" t="n">
        <v>256</v>
      </c>
      <c r="P647" s="12" t="n">
        <v>0.04550102249488728</v>
      </c>
      <c r="Q647" t="inlineStr">
        <is>
          <t>EA</t>
        </is>
      </c>
      <c r="R647" t="inlineStr">
        <is>
          <t>М</t>
        </is>
      </c>
      <c r="S647" s="2">
        <f>HYPERLINK("https://yandex.ru/maps/?&amp;text=59.922327, 30.341066", "59.922327, 30.341066")</f>
        <v/>
      </c>
      <c r="T647" s="2">
        <f>HYPERLINK("D:\venv_torgi\env\cache\objs_in_district/59.922327_30.341066.json", "59.922327_30.341066.json")</f>
        <v/>
      </c>
      <c r="U647" t="inlineStr">
        <is>
          <t>78:31:0001691:2615</t>
        </is>
      </c>
      <c r="V647" s="7" t="inlineStr">
        <is>
          <t>1</t>
        </is>
      </c>
      <c r="W647" s="17" t="n">
        <v>114054.6569994423</v>
      </c>
      <c r="X647" s="14" t="n">
        <v>4963.747908533158</v>
      </c>
      <c r="Y647" t="n">
        <v>0</v>
      </c>
    </row>
    <row r="648">
      <c r="A648" s="8" t="n">
        <v>646</v>
      </c>
      <c r="B648" t="n">
        <v>78</v>
      </c>
      <c r="C648" s="1" t="n">
        <v>77.90000000000001</v>
      </c>
      <c r="D648" s="2">
        <f>HYPERLINK("https://torgi.gov.ru/new/public/lots/lot/21000002210000000913_1/(lotInfo:info)", "21000002210000000913_1")</f>
        <v/>
      </c>
      <c r="E648" t="inlineStr">
        <is>
          <t>Нежилое помещение, расположенное по адресу: Санкт-Петербург, Вознесенский проспект, д. 55, литера А, пом. 27-Н, площадь 77.9 кв.м., назначение: нежилое, этаж: цокольный, кадастровый номер 78:32:0001063:785</t>
        </is>
      </c>
      <c r="F648" s="3" t="inlineStr">
        <is>
          <t>21.09.22 20:00</t>
        </is>
      </c>
      <c r="G648" t="inlineStr">
        <is>
          <t>г Санкт-Петербург, Вознесенский пр-кт, д 55 литера А</t>
        </is>
      </c>
      <c r="H648" s="4" t="n">
        <v>8500000</v>
      </c>
      <c r="I648" s="4" t="n">
        <v>109114.2490372272</v>
      </c>
      <c r="J648" t="inlineStr">
        <is>
          <t>Нежилое помещение</t>
        </is>
      </c>
      <c r="K648" s="5" t="n">
        <v>13.04</v>
      </c>
      <c r="L648" s="4" t="n">
        <v>493.73</v>
      </c>
      <c r="M648" t="n">
        <v>8368</v>
      </c>
      <c r="N648" s="6" t="n">
        <v>5225690</v>
      </c>
      <c r="O648" t="n">
        <v>221</v>
      </c>
      <c r="Q648" t="inlineStr">
        <is>
          <t>EA</t>
        </is>
      </c>
      <c r="R648" t="inlineStr">
        <is>
          <t>М</t>
        </is>
      </c>
      <c r="S648" s="2">
        <f>HYPERLINK("https://yandex.ru/maps/?&amp;text=59.920492, 30.307541", "59.920492, 30.307541")</f>
        <v/>
      </c>
      <c r="T648" s="2">
        <f>HYPERLINK("D:\venv_torgi\env\cache\objs_in_district/59.920492_30.307541.json", "59.920492_30.307541.json")</f>
        <v/>
      </c>
      <c r="U648" t="inlineStr">
        <is>
          <t>78:32:0001063:785</t>
        </is>
      </c>
      <c r="V648" s="7" t="inlineStr">
        <is>
          <t>0</t>
        </is>
      </c>
      <c r="W648" s="17" t="n">
        <v>104504.3021779431</v>
      </c>
      <c r="X648" s="15" t="n">
        <v>-4609.946859284057</v>
      </c>
      <c r="Y648" t="n">
        <v>0</v>
      </c>
    </row>
    <row r="649">
      <c r="A649" s="8" t="n">
        <v>647</v>
      </c>
      <c r="B649" t="n">
        <v>78</v>
      </c>
      <c r="C649" s="1" t="n">
        <v>63.8</v>
      </c>
      <c r="D649" s="2">
        <f>HYPERLINK("https://torgi.gov.ru/new/public/lots/lot/21000002210000000912_1/(lotInfo:info)", "21000002210000000912_1")</f>
        <v/>
      </c>
      <c r="E649" t="inlineStr">
        <is>
          <t>Нежилое помещение, расположенное по адресу: Санкт-Петербург, Вознесенский проспект, д. 55, литера А, пом. 13-Н, площадь 63.8 кв.м., назначение: нежилое, этаж: цокольный, кадастровый номер 78:32:0001063:771</t>
        </is>
      </c>
      <c r="F649" s="3" t="inlineStr">
        <is>
          <t>21.09.22 20:00</t>
        </is>
      </c>
      <c r="G649" t="inlineStr">
        <is>
          <t>г Санкт-Петербург, Вознесенский пр-кт, д 55 литера А</t>
        </is>
      </c>
      <c r="H649" s="4" t="n">
        <v>7100000</v>
      </c>
      <c r="I649" s="4" t="n">
        <v>111285.2664576802</v>
      </c>
      <c r="J649" t="inlineStr">
        <is>
          <t>Нежилое помещение</t>
        </is>
      </c>
      <c r="K649" s="5" t="n">
        <v>13.3</v>
      </c>
      <c r="L649" s="4" t="n">
        <v>503.55</v>
      </c>
      <c r="M649" t="n">
        <v>8368</v>
      </c>
      <c r="N649" s="6" t="n">
        <v>5225690</v>
      </c>
      <c r="O649" t="n">
        <v>221</v>
      </c>
      <c r="Q649" t="inlineStr">
        <is>
          <t>EA</t>
        </is>
      </c>
      <c r="R649" t="inlineStr">
        <is>
          <t>М</t>
        </is>
      </c>
      <c r="S649" s="2">
        <f>HYPERLINK("https://yandex.ru/maps/?&amp;text=59.920492, 30.307541", "59.920492, 30.307541")</f>
        <v/>
      </c>
      <c r="T649" s="2">
        <f>HYPERLINK("D:\venv_torgi\env\cache\objs_in_district/59.920492_30.307541.json", "59.920492_30.307541.json")</f>
        <v/>
      </c>
      <c r="U649" t="inlineStr">
        <is>
          <t>78:32:0001063:771</t>
        </is>
      </c>
      <c r="V649" s="7" t="inlineStr">
        <is>
          <t>0</t>
        </is>
      </c>
      <c r="W649" s="17" t="n">
        <v>104504.3021779431</v>
      </c>
      <c r="X649" s="15" t="n">
        <v>-6780.964279737062</v>
      </c>
      <c r="Y649" t="n">
        <v>0</v>
      </c>
    </row>
    <row r="650">
      <c r="A650" s="8" t="n">
        <v>648</v>
      </c>
      <c r="B650" t="n">
        <v>78</v>
      </c>
      <c r="C650" s="1" t="n">
        <v>63.7</v>
      </c>
      <c r="D650" s="2">
        <f>HYPERLINK("https://torgi.gov.ru/new/public/lots/lot/21000002210000000931_1/(lotInfo:info)", "21000002210000000931_1")</f>
        <v/>
      </c>
      <c r="E650" t="inlineStr">
        <is>
          <t>Нежилое помещение, расположенное по адресу: Санкт-Петербург, Рузовская ул., д. 25, литера А, пом. 6-Н, площадь 63.7 кв.м, назначение: нежилое, наименование: нежилое помещение, этаж № 1, кадастровый номер 78:32:0001687:1397</t>
        </is>
      </c>
      <c r="F650" s="3" t="inlineStr">
        <is>
          <t>23.09.22 20:00</t>
        </is>
      </c>
      <c r="G650" t="inlineStr">
        <is>
          <t>г Санкт-Петербург, ул Рузовская, д 25 литера А</t>
        </is>
      </c>
      <c r="H650" s="4" t="n">
        <v>7340000</v>
      </c>
      <c r="I650" s="4" t="n">
        <v>115227.6295133438</v>
      </c>
      <c r="J650" t="inlineStr">
        <is>
          <t>Нежилое помещение</t>
        </is>
      </c>
      <c r="K650" s="5" t="n">
        <v>12.01</v>
      </c>
      <c r="L650" s="4" t="n">
        <v>1371.75</v>
      </c>
      <c r="M650" t="n">
        <v>9591</v>
      </c>
      <c r="N650" s="6" t="n">
        <v>5225690</v>
      </c>
      <c r="O650" t="n">
        <v>84</v>
      </c>
      <c r="Q650" t="inlineStr">
        <is>
          <t>EA</t>
        </is>
      </c>
      <c r="R650" t="inlineStr">
        <is>
          <t>М</t>
        </is>
      </c>
      <c r="S650" s="2">
        <f>HYPERLINK("https://yandex.ru/maps/?&amp;text=59.915251, 30.329298", "59.915251, 30.329298")</f>
        <v/>
      </c>
      <c r="T650" s="2">
        <f>HYPERLINK("D:\venv_torgi\env\cache\objs_in_district/59.915251_30.329298.json", "59.915251_30.329298.json")</f>
        <v/>
      </c>
      <c r="U650" t="inlineStr">
        <is>
          <t>78:32:0001687:1397</t>
        </is>
      </c>
      <c r="V650" s="7" t="inlineStr">
        <is>
          <t>1</t>
        </is>
      </c>
      <c r="W650" s="17" t="n">
        <v>104504.3021779431</v>
      </c>
      <c r="X650" s="15" t="n">
        <v>-10723.32733540065</v>
      </c>
      <c r="Y650" t="n">
        <v>0</v>
      </c>
    </row>
    <row r="651">
      <c r="A651" s="8" t="n">
        <v>649</v>
      </c>
      <c r="B651" t="n">
        <v>78</v>
      </c>
      <c r="C651" s="1" t="n">
        <v>37.1</v>
      </c>
      <c r="D651" s="2">
        <f>HYPERLINK("https://torgi.gov.ru/new/public/lots/lot/21000002210000000879_1/(lotInfo:info)", "21000002210000000879_1")</f>
        <v/>
      </c>
      <c r="E651" t="inlineStr">
        <is>
          <t>Нежилое помещение, расположенное по адресу: Санкт-Петербург, Бронницкая ул., д. 19, литера А, пом. 1-Н, площадь 37.1 кв.м., назначение: нежилое, наименование: нежилое помещение, этаж: мезонин-надстройка, кадастровый номер 78:32:0001681:1080</t>
        </is>
      </c>
      <c r="F651" s="3" t="inlineStr">
        <is>
          <t>19.09.22 20:00</t>
        </is>
      </c>
      <c r="G651" t="inlineStr">
        <is>
          <t>г Санкт-Петербург, ул Бронницкая, д 19 литера А</t>
        </is>
      </c>
      <c r="H651" s="4" t="n">
        <v>4520000</v>
      </c>
      <c r="I651" s="4" t="n">
        <v>121832.884097035</v>
      </c>
      <c r="J651" t="inlineStr">
        <is>
          <t>Нежилое помещение</t>
        </is>
      </c>
      <c r="K651" s="5" t="n">
        <v>10.82</v>
      </c>
      <c r="L651" s="4" t="n">
        <v>651.51</v>
      </c>
      <c r="M651" t="n">
        <v>11264</v>
      </c>
      <c r="N651" s="6" t="n">
        <v>5225690</v>
      </c>
      <c r="O651" t="n">
        <v>187</v>
      </c>
      <c r="Q651" t="inlineStr">
        <is>
          <t>EA</t>
        </is>
      </c>
      <c r="R651" t="inlineStr">
        <is>
          <t>М</t>
        </is>
      </c>
      <c r="S651" s="2">
        <f>HYPERLINK("https://yandex.ru/maps/?&amp;text=59.913785, 30.322776", "59.913785, 30.322776")</f>
        <v/>
      </c>
      <c r="T651" s="2">
        <f>HYPERLINK("D:\venv_torgi\env\cache\objs_in_district/59.913785_30.322776.json", "59.913785_30.322776.json")</f>
        <v/>
      </c>
      <c r="U651" t="inlineStr">
        <is>
          <t>78:32:0001681:1080</t>
        </is>
      </c>
      <c r="W651" s="17" t="n">
        <v>114162.4691086402</v>
      </c>
      <c r="X651" s="15" t="n">
        <v>-7670.414988394827</v>
      </c>
      <c r="Y651" t="n">
        <v>0</v>
      </c>
    </row>
    <row r="652">
      <c r="A652" s="8" t="n">
        <v>650</v>
      </c>
      <c r="B652" t="n">
        <v>78</v>
      </c>
      <c r="C652" s="1" t="n">
        <v>62.4</v>
      </c>
      <c r="D652" s="2">
        <f>HYPERLINK("https://torgi.gov.ru/new/public/lots/lot/21000002210000000886_1/(lotInfo:info)", "21000002210000000886_1")</f>
        <v/>
      </c>
      <c r="E652" t="inlineStr">
        <is>
          <t>Нежилое помещение, расположенное по адресу: Санкт-Петербург, ул. Маршала Казакова, д. 24, корп. 1, литера А, пом. 10-Н, площадь 62.4 кв.м, назначение: нежилое помещение, наименование: нежилое помещение, этаж № 1, кадастровый номер 78:40:0008304:12660</t>
        </is>
      </c>
      <c r="F652" s="3" t="inlineStr">
        <is>
          <t>19.09.22 20:00</t>
        </is>
      </c>
      <c r="G652" t="inlineStr">
        <is>
          <t>г Санкт-Петербург, ул Маршала Казакова, д 24 к 1 литера А</t>
        </is>
      </c>
      <c r="H652" s="4" t="n">
        <v>7680000</v>
      </c>
      <c r="I652" s="4" t="n">
        <v>123076.9230769231</v>
      </c>
      <c r="J652" t="inlineStr">
        <is>
          <t>Нежилое помещение</t>
        </is>
      </c>
      <c r="K652" s="5" t="n">
        <v>10.47</v>
      </c>
      <c r="L652" s="4" t="n">
        <v>1268.82</v>
      </c>
      <c r="M652" t="n">
        <v>11759</v>
      </c>
      <c r="N652" s="6" t="n">
        <v>5225690</v>
      </c>
      <c r="O652" t="n">
        <v>97</v>
      </c>
      <c r="Q652" t="inlineStr">
        <is>
          <t>EA</t>
        </is>
      </c>
      <c r="R652" t="inlineStr">
        <is>
          <t>М</t>
        </is>
      </c>
      <c r="S652" s="2">
        <f>HYPERLINK("https://yandex.ru/maps/?&amp;text=59.859162, 30.225327", "59.859162, 30.225327")</f>
        <v/>
      </c>
      <c r="T652" s="2">
        <f>HYPERLINK("D:\venv_torgi\env\cache\objs_in_district/59.859162_30.225327.json", "59.859162_30.225327.json")</f>
        <v/>
      </c>
      <c r="U652" t="inlineStr">
        <is>
          <t>78:40:0008304:12660</t>
        </is>
      </c>
      <c r="V652" s="7" t="inlineStr">
        <is>
          <t>1</t>
        </is>
      </c>
      <c r="W652" s="17" t="n">
        <v>104504.3021779431</v>
      </c>
      <c r="X652" s="15" t="n">
        <v>-18572.62089897996</v>
      </c>
      <c r="Y652" t="n">
        <v>0</v>
      </c>
    </row>
    <row r="653">
      <c r="A653" s="8" t="n">
        <v>651</v>
      </c>
      <c r="B653" t="n">
        <v>78</v>
      </c>
      <c r="C653" s="1" t="n">
        <v>49</v>
      </c>
      <c r="D653" s="2">
        <f>HYPERLINK("https://torgi.gov.ru/new/public/lots/lot/21000002210000000943_1/(lotInfo:info)", "21000002210000000943_1")</f>
        <v/>
      </c>
      <c r="E653" t="inlineStr">
        <is>
          <t>Нежилое помещение, расположенное по адресу: Санкт-Петербург,                                  Зверинская ул., д. 5, литера Б, пом. 1-Н, площадь 49 кв.м, назначение: нежилое помещение, наименование: помещение, этаж: цокольный, кадастровый номер 78:07:0003066:349</t>
        </is>
      </c>
      <c r="F653" s="3" t="inlineStr">
        <is>
          <t>26.09.22 20:00</t>
        </is>
      </c>
      <c r="G653" t="inlineStr">
        <is>
          <t>г Санкт-Петербург, ул Зверинская, д 5 литера Б</t>
        </is>
      </c>
      <c r="H653" s="4" t="n">
        <v>6500000</v>
      </c>
      <c r="I653" s="4" t="n">
        <v>132653.0612244898</v>
      </c>
      <c r="J653" t="inlineStr">
        <is>
          <t>Нежилое помещение</t>
        </is>
      </c>
      <c r="K653" s="5" t="n">
        <v>10.17</v>
      </c>
      <c r="L653" s="4" t="n">
        <v>669.96</v>
      </c>
      <c r="M653" t="n">
        <v>13049</v>
      </c>
      <c r="N653" s="6" t="n">
        <v>5225690</v>
      </c>
      <c r="O653" t="n">
        <v>198</v>
      </c>
      <c r="Q653" t="inlineStr">
        <is>
          <t>EA</t>
        </is>
      </c>
      <c r="R653" t="inlineStr">
        <is>
          <t>М</t>
        </is>
      </c>
      <c r="S653" s="2">
        <f>HYPERLINK("https://yandex.ru/maps/?&amp;text=59.953196, 30.294228", "59.953196, 30.294228")</f>
        <v/>
      </c>
      <c r="T653" s="2">
        <f>HYPERLINK("D:\venv_torgi\env\cache\objs_in_district/59.953196_30.294228.json", "59.953196_30.294228.json")</f>
        <v/>
      </c>
      <c r="U653" t="inlineStr">
        <is>
          <t>78:07:0003066:349</t>
        </is>
      </c>
      <c r="V653" s="7" t="inlineStr">
        <is>
          <t>0</t>
        </is>
      </c>
      <c r="W653" s="17" t="n">
        <v>114162.4691086402</v>
      </c>
      <c r="X653" s="15" t="n">
        <v>-18490.59211584962</v>
      </c>
      <c r="Y653" t="n">
        <v>0</v>
      </c>
    </row>
    <row r="654">
      <c r="A654" s="8" t="n">
        <v>652</v>
      </c>
      <c r="B654" t="n">
        <v>78</v>
      </c>
      <c r="C654" s="1" t="n">
        <v>52.2</v>
      </c>
      <c r="D654" s="2">
        <f>HYPERLINK("https://torgi.gov.ru/new/public/lots/lot/21000002210000000948_1/(lotInfo:info)", "21000002210000000948_1")</f>
        <v/>
      </c>
      <c r="E654" t="inlineStr">
        <is>
          <t>Нежилое помещение, расположенное по адресу: Санкт-Петербург,                                  наб. Реки Фонтанки, д. 127, литера А, пом. 35-Н, площадь 52.2 кв.м, назначение: нежилое помещение, наименование: нежилое помещение, этаж №1, кадастровый номер 78:32:0001063:560</t>
        </is>
      </c>
      <c r="F654" s="3" t="inlineStr">
        <is>
          <t>26.09.22 20:00</t>
        </is>
      </c>
      <c r="G654" t="inlineStr">
        <is>
          <t>г Санкт-Петербург, наб Реки Фонтанки, д 127 литера А</t>
        </is>
      </c>
      <c r="H654" s="4" t="n">
        <v>7400000</v>
      </c>
      <c r="I654" s="4" t="n">
        <v>141762.4521072797</v>
      </c>
      <c r="J654" t="inlineStr">
        <is>
          <t>Нежилое помещение</t>
        </is>
      </c>
      <c r="K654" s="5" t="n">
        <v>16.94</v>
      </c>
      <c r="L654" s="4" t="n">
        <v>662.4400000000001</v>
      </c>
      <c r="M654" t="n">
        <v>8368</v>
      </c>
      <c r="N654" s="6" t="n">
        <v>5225690</v>
      </c>
      <c r="O654" t="n">
        <v>214</v>
      </c>
      <c r="P654" s="12" t="n">
        <v>0.1164292244046387</v>
      </c>
      <c r="Q654" t="inlineStr">
        <is>
          <t>EA</t>
        </is>
      </c>
      <c r="R654" t="inlineStr">
        <is>
          <t>М</t>
        </is>
      </c>
      <c r="S654" s="2">
        <f>HYPERLINK("https://yandex.ru/maps/?&amp;text=59.919725, 30.307065", "59.919725, 30.307065")</f>
        <v/>
      </c>
      <c r="T654" s="2">
        <f>HYPERLINK("D:\venv_torgi\env\cache\objs_in_district/59.919725_30.307065.json", "59.919725_30.307065.json")</f>
        <v/>
      </c>
      <c r="U654" t="inlineStr">
        <is>
          <t>78:32:0001063:560</t>
        </is>
      </c>
      <c r="V654" s="7" t="inlineStr">
        <is>
          <t>1</t>
        </is>
      </c>
      <c r="W654" s="17" t="n">
        <v>158267.74445583</v>
      </c>
      <c r="X654" s="14" t="n">
        <v>16505.29234855031</v>
      </c>
      <c r="Y654" t="n">
        <v>0</v>
      </c>
    </row>
    <row r="655">
      <c r="A655" s="8" t="n">
        <v>653</v>
      </c>
      <c r="B655" t="n">
        <v>78</v>
      </c>
      <c r="C655" s="1" t="n">
        <v>55</v>
      </c>
      <c r="D655" s="2">
        <f>HYPERLINK("https://torgi.gov.ru/new/public/lots/lot/21000002210000000877_1/(lotInfo:info)", "21000002210000000877_1")</f>
        <v/>
      </c>
      <c r="E655" t="inlineStr">
        <is>
          <t>Нежилое помещение, расположенное по адресу: Санкт-Петербург, Большая Конюшенная ул., д. 1, литера А, пом. 18-Н, 23-Н, площадь 55 кв.м, назначение: нежилое помещение, наименование: нежилое помещение, этаж №1, кадастровый номер 78:31:0001184:3931</t>
        </is>
      </c>
      <c r="F655" s="3" t="inlineStr">
        <is>
          <t>19.09.22 20:00</t>
        </is>
      </c>
      <c r="G655" t="inlineStr">
        <is>
          <t>г Санкт-Петербург, ул Большая Конюшенная, д 1 литера А</t>
        </is>
      </c>
      <c r="H655" s="4" t="n">
        <v>7900000</v>
      </c>
      <c r="I655" s="4" t="n">
        <v>143636.3636363636</v>
      </c>
      <c r="J655" t="inlineStr">
        <is>
          <t>Нежилое помещение</t>
        </is>
      </c>
      <c r="K655" s="5" t="n">
        <v>25.81</v>
      </c>
      <c r="L655" s="4" t="n">
        <v>569.98</v>
      </c>
      <c r="M655" t="n">
        <v>5565</v>
      </c>
      <c r="N655" s="6" t="n">
        <v>5225690</v>
      </c>
      <c r="O655" t="n">
        <v>252</v>
      </c>
      <c r="Q655" t="inlineStr">
        <is>
          <t>EA</t>
        </is>
      </c>
      <c r="R655" t="inlineStr">
        <is>
          <t>М</t>
        </is>
      </c>
      <c r="S655" s="2">
        <f>HYPERLINK("https://yandex.ru/maps/?&amp;text=59.941029, 30.324151", "59.941029, 30.324151")</f>
        <v/>
      </c>
      <c r="T655" s="2">
        <f>HYPERLINK("D:\venv_torgi\env\cache\objs_in_district/59.941029_30.324151.json", "59.941029_30.324151.json")</f>
        <v/>
      </c>
      <c r="U655" t="inlineStr">
        <is>
          <t>78:31:0001184:3931</t>
        </is>
      </c>
      <c r="V655" s="7" t="inlineStr">
        <is>
          <t>1</t>
        </is>
      </c>
      <c r="W655" s="17" t="n">
        <v>134463.3431085044</v>
      </c>
      <c r="X655" s="15" t="n">
        <v>-9173.020527859189</v>
      </c>
      <c r="Y655" t="n">
        <v>0</v>
      </c>
    </row>
    <row r="656">
      <c r="A656" s="8" t="n">
        <v>654</v>
      </c>
      <c r="B656" t="n">
        <v>78</v>
      </c>
      <c r="C656" s="1" t="n">
        <v>69.59999999999999</v>
      </c>
      <c r="D656" s="2">
        <f>HYPERLINK("https://torgi.gov.ru/new/public/lots/lot/21000002210000000941_1/(lotInfo:info)", "21000002210000000941_1")</f>
        <v/>
      </c>
      <c r="E656" t="inlineStr">
        <is>
          <t>Нежилое помещение, расположенное по адресу: Санкт-Петербург, 1-я линия В.О., д. 32, литера В, пом. 1-Н, площадь 69.6 кв.м, назначение: нежилое помещение, наименование: нежилое помещение, этаж № 1, кадастровый номер 78:06:0002014:1610</t>
        </is>
      </c>
      <c r="F656" s="3" t="inlineStr">
        <is>
          <t>26.09.22 20:00</t>
        </is>
      </c>
      <c r="G656" t="inlineStr">
        <is>
          <t>г Санкт-Петербург, линия 1-я В.О., д 32 литера В, помещ 1-Н</t>
        </is>
      </c>
      <c r="H656" s="4" t="n">
        <v>10000000</v>
      </c>
      <c r="I656" s="4" t="n">
        <v>143678.1609195402</v>
      </c>
      <c r="J656" t="inlineStr">
        <is>
          <t>Нежилое помещение</t>
        </is>
      </c>
      <c r="K656" s="5" t="n">
        <v>15.67</v>
      </c>
      <c r="L656" s="4" t="n">
        <v>865.53</v>
      </c>
      <c r="M656" t="n">
        <v>9171</v>
      </c>
      <c r="N656" s="6" t="n">
        <v>5225690</v>
      </c>
      <c r="O656" t="n">
        <v>166</v>
      </c>
      <c r="Q656" t="inlineStr">
        <is>
          <t>EA</t>
        </is>
      </c>
      <c r="R656" t="inlineStr">
        <is>
          <t>М</t>
        </is>
      </c>
      <c r="S656" s="2">
        <f>HYPERLINK("https://yandex.ru/maps/?&amp;text=59.943075, 30.287329", "59.943075, 30.287329")</f>
        <v/>
      </c>
      <c r="T656" s="2">
        <f>HYPERLINK("D:\venv_torgi\env\cache\objs_in_district/59.943075_30.287329.json", "59.943075_30.287329.json")</f>
        <v/>
      </c>
      <c r="U656" t="inlineStr">
        <is>
          <t>78:06:0002014:1610</t>
        </is>
      </c>
      <c r="V656" s="7" t="inlineStr">
        <is>
          <t>1</t>
        </is>
      </c>
      <c r="W656" s="17" t="n">
        <v>104504.3021779431</v>
      </c>
      <c r="X656" s="15" t="n">
        <v>-39173.85874159707</v>
      </c>
      <c r="Y656" t="n">
        <v>0</v>
      </c>
    </row>
    <row r="657">
      <c r="A657" s="8" t="n">
        <v>655</v>
      </c>
      <c r="B657" t="n">
        <v>78</v>
      </c>
      <c r="C657" s="1" t="n">
        <v>33.7</v>
      </c>
      <c r="D657" s="2">
        <f>HYPERLINK("https://torgi.gov.ru/new/public/lots/lot/21000002210000000907_1/(lotInfo:info)", "21000002210000000907_1")</f>
        <v/>
      </c>
      <c r="E657" t="inlineStr">
        <is>
          <t>Нежилое помещение, расположенное по адресу: Санкт-Петербург, 12-я Красноармейская ул., д. 6, литера А, пом. 1-Н, площадь 33.7 кв.м, назначение: нежилое помещение, наименование: нежилое помещение, этаж №1, кадастровый номер 78:32:0001719:3502</t>
        </is>
      </c>
      <c r="F657" s="3" t="inlineStr">
        <is>
          <t>21.09.22 20:00</t>
        </is>
      </c>
      <c r="G657" t="inlineStr">
        <is>
          <t>г Санкт-Петербург, ул 12-я Красноармейская, д 6 литера А</t>
        </is>
      </c>
      <c r="H657" s="4" t="n">
        <v>4870000</v>
      </c>
      <c r="I657" s="4" t="n">
        <v>144510.3857566766</v>
      </c>
      <c r="J657" t="inlineStr">
        <is>
          <t>Нежилое помещение</t>
        </is>
      </c>
      <c r="K657" s="5" t="n">
        <v>19.34</v>
      </c>
      <c r="L657" s="4" t="n">
        <v>1174.88</v>
      </c>
      <c r="M657" t="n">
        <v>7474</v>
      </c>
      <c r="N657" s="6" t="n">
        <v>5225690</v>
      </c>
      <c r="O657" t="n">
        <v>123</v>
      </c>
      <c r="P657" s="12" t="n">
        <v>0.09519979223028131</v>
      </c>
      <c r="Q657" t="inlineStr">
        <is>
          <t>EA</t>
        </is>
      </c>
      <c r="R657" t="inlineStr">
        <is>
          <t>М</t>
        </is>
      </c>
      <c r="S657" s="2">
        <f>HYPERLINK("https://yandex.ru/maps/?&amp;text=59.91143, 30.305834", "59.91143, 30.305834")</f>
        <v/>
      </c>
      <c r="T657" s="2">
        <f>HYPERLINK("D:\venv_torgi\env\cache\objs_in_district/59.91143_30.305834.json", "59.91143_30.305834.json")</f>
        <v/>
      </c>
      <c r="U657" t="inlineStr">
        <is>
          <t>78:32:0001719:3502</t>
        </is>
      </c>
      <c r="V657" s="7" t="inlineStr">
        <is>
          <t>1</t>
        </is>
      </c>
      <c r="W657" s="17" t="n">
        <v>158267.74445583</v>
      </c>
      <c r="X657" s="14" t="n">
        <v>13757.35869915341</v>
      </c>
      <c r="Y657" t="n">
        <v>0</v>
      </c>
    </row>
    <row r="658">
      <c r="A658" s="8" t="n">
        <v>656</v>
      </c>
      <c r="B658" t="n">
        <v>78</v>
      </c>
      <c r="C658" s="1" t="n">
        <v>29.9</v>
      </c>
      <c r="D658" s="2">
        <f>HYPERLINK("https://torgi.gov.ru/new/public/lots/lot/21000002210000000909_1/(lotInfo:info)", "21000002210000000909_1")</f>
        <v/>
      </c>
      <c r="E658" t="inlineStr">
        <is>
          <t>Нежилое помещение, расположенное по адресу: Санкт-Петербург, Английский проспект, д. 17-19, литера А, пом. 41-Н, площадь 29.9 кв.м, назначение: нежилое помещение, этаж № 1, кадастровый номер 78:32:0001083:2525</t>
        </is>
      </c>
      <c r="F658" s="3" t="inlineStr">
        <is>
          <t>21.09.22 20:00</t>
        </is>
      </c>
      <c r="G658" t="inlineStr">
        <is>
          <t>г Санкт-Петербург, Английский пр-кт, д 17-19</t>
        </is>
      </c>
      <c r="H658" s="4" t="n">
        <v>4360000</v>
      </c>
      <c r="I658" s="4" t="n">
        <v>145819.3979933111</v>
      </c>
      <c r="J658" t="inlineStr">
        <is>
          <t>Нежилое помещение</t>
        </is>
      </c>
      <c r="K658" s="5" t="n">
        <v>9.99</v>
      </c>
      <c r="L658" s="4" t="n">
        <v>985.26</v>
      </c>
      <c r="M658" t="n">
        <v>14596</v>
      </c>
      <c r="N658" s="6" t="n">
        <v>5225690</v>
      </c>
      <c r="O658" t="n">
        <v>148</v>
      </c>
      <c r="P658" s="12" t="n">
        <v>0.08536824752965948</v>
      </c>
      <c r="Q658" t="inlineStr">
        <is>
          <t>EA</t>
        </is>
      </c>
      <c r="R658" t="inlineStr">
        <is>
          <t>М</t>
        </is>
      </c>
      <c r="S658" s="2">
        <f>HYPERLINK("https://yandex.ru/maps/?&amp;text=59.924149, 30.283708", "59.924149, 30.283708")</f>
        <v/>
      </c>
      <c r="T658" s="2">
        <f>HYPERLINK("D:\venv_torgi\env\cache\objs_in_district/59.924149_30.283708.json", "59.924149_30.283708.json")</f>
        <v/>
      </c>
      <c r="U658" t="inlineStr">
        <is>
          <t>78:32:0001083:2525</t>
        </is>
      </c>
      <c r="V658" s="7" t="inlineStr">
        <is>
          <t>1</t>
        </is>
      </c>
      <c r="W658" s="17" t="n">
        <v>158267.74445583</v>
      </c>
      <c r="X658" s="14" t="n">
        <v>12448.34646251891</v>
      </c>
      <c r="Y658" t="n">
        <v>0</v>
      </c>
    </row>
    <row r="659">
      <c r="A659" s="8" t="n">
        <v>657</v>
      </c>
      <c r="B659" t="n">
        <v>78</v>
      </c>
      <c r="C659" s="1" t="n">
        <v>15.5</v>
      </c>
      <c r="D659" s="2">
        <f>HYPERLINK("https://torgi.gov.ru/new/public/lots/lot/21000002210000000930_1/(lotInfo:info)", "21000002210000000930_1")</f>
        <v/>
      </c>
      <c r="E659" t="inlineStr">
        <is>
          <t>Нежилое помещение, расположенное по адресу: Санкт-Петербург, Рижский проспект, д. 20, литера И, пом. 7-Н, площадь 15.5 кв.м, назначение: нежилое помещение, наименование: нежилое помещение, этаж №1, кадастровый номер 78:32:0001653:2070</t>
        </is>
      </c>
      <c r="F659" s="3" t="inlineStr">
        <is>
          <t>23.09.22 20:00</t>
        </is>
      </c>
      <c r="G659" t="inlineStr">
        <is>
          <t>г Санкт-Петербург, Рижский пр-кт, д 20 литера И</t>
        </is>
      </c>
      <c r="H659" s="4" t="n">
        <v>2290000</v>
      </c>
      <c r="I659" s="4" t="n">
        <v>147741.935483871</v>
      </c>
      <c r="J659" t="inlineStr">
        <is>
          <t>Нежилое помещение</t>
        </is>
      </c>
      <c r="K659" s="5" t="n">
        <v>13.79</v>
      </c>
      <c r="L659" s="4" t="n">
        <v>1969.88</v>
      </c>
      <c r="M659" t="n">
        <v>10716</v>
      </c>
      <c r="N659" s="6" t="n">
        <v>5225690</v>
      </c>
      <c r="O659" t="n">
        <v>75</v>
      </c>
      <c r="P659" s="12" t="n">
        <v>0.07124455854382743</v>
      </c>
      <c r="Q659" t="inlineStr">
        <is>
          <t>EA</t>
        </is>
      </c>
      <c r="R659" t="inlineStr">
        <is>
          <t>М</t>
        </is>
      </c>
      <c r="S659" s="2">
        <f>HYPERLINK("https://yandex.ru/maps/?&amp;text=59.913613, 30.29191", "59.913613, 30.29191")</f>
        <v/>
      </c>
      <c r="T659" s="2">
        <f>HYPERLINK("D:\venv_torgi\env\cache\objs_in_district/59.913613_30.29191.json", "59.913613_30.29191.json")</f>
        <v/>
      </c>
      <c r="U659" t="inlineStr">
        <is>
          <t>78:32:0001653:2070</t>
        </is>
      </c>
      <c r="V659" s="7" t="inlineStr">
        <is>
          <t>1</t>
        </is>
      </c>
      <c r="W659" s="17" t="n">
        <v>158267.74445583</v>
      </c>
      <c r="X659" s="14" t="n">
        <v>10525.80897195902</v>
      </c>
      <c r="Y659" t="n">
        <v>0</v>
      </c>
    </row>
    <row r="660">
      <c r="A660" s="8" t="n">
        <v>658</v>
      </c>
      <c r="B660" t="n">
        <v>78</v>
      </c>
      <c r="C660" s="1" t="n">
        <v>23.2</v>
      </c>
      <c r="D660" s="2">
        <f>HYPERLINK("https://torgi.gov.ru/new/public/lots/lot/21000002210000000917_1/(lotInfo:info)", "21000002210000000917_1")</f>
        <v/>
      </c>
      <c r="E660" t="inlineStr">
        <is>
          <t>Нежилое помещение, расположенное по адресу: Санкт-Петербург, Гороховая ул., д. 34, литера А, пом. 4-Н, площадь 23.2 кв.м, назначение: нежилое, наименование: нежилое помещение, этаж: цокольный, кадастровый номер 78:31:0001144:579</t>
        </is>
      </c>
      <c r="F660" s="3" t="inlineStr">
        <is>
          <t>21.09.22 20:00</t>
        </is>
      </c>
      <c r="G660" t="inlineStr">
        <is>
          <t>г Санкт-Петербург, ул Гороховая, д 34 литера А</t>
        </is>
      </c>
      <c r="H660" s="4" t="n">
        <v>3510000</v>
      </c>
      <c r="I660" s="4" t="n">
        <v>151293.1034482759</v>
      </c>
      <c r="J660" t="inlineStr">
        <is>
          <t>Нежилое помещение</t>
        </is>
      </c>
      <c r="K660" s="5" t="n">
        <v>16.46</v>
      </c>
      <c r="L660" s="4" t="n">
        <v>220.54</v>
      </c>
      <c r="M660" t="n">
        <v>9189</v>
      </c>
      <c r="N660" s="6" t="n">
        <v>5225690</v>
      </c>
      <c r="O660" t="n">
        <v>686</v>
      </c>
      <c r="P660" s="12" t="n">
        <v>0.1516339442159796</v>
      </c>
      <c r="Q660" t="inlineStr">
        <is>
          <t>EA</t>
        </is>
      </c>
      <c r="R660" t="inlineStr">
        <is>
          <t>М</t>
        </is>
      </c>
      <c r="S660" s="2">
        <f>HYPERLINK("https://yandex.ru/maps/?&amp;text=59.929082, 30.32151", "59.929082, 30.32151")</f>
        <v/>
      </c>
      <c r="T660" s="2">
        <f>HYPERLINK("D:\venv_torgi\env\cache\objs_in_district/59.929082_30.32151.json", "59.929082_30.32151.json")</f>
        <v/>
      </c>
      <c r="U660" t="inlineStr">
        <is>
          <t>78:31:0001144:579</t>
        </is>
      </c>
      <c r="V660" s="7" t="inlineStr">
        <is>
          <t>0</t>
        </is>
      </c>
      <c r="W660" s="17" t="n">
        <v>174234.2734568142</v>
      </c>
      <c r="X660" s="14" t="n">
        <v>22941.17000853829</v>
      </c>
      <c r="Y660" t="n">
        <v>0</v>
      </c>
    </row>
    <row r="661">
      <c r="A661" s="8" t="n">
        <v>659</v>
      </c>
      <c r="B661" t="n">
        <v>78</v>
      </c>
      <c r="C661" s="1" t="n">
        <v>28.3</v>
      </c>
      <c r="D661" s="2">
        <f>HYPERLINK("https://torgi.gov.ru/new/public/lots/lot/21000002210000000906_1/(lotInfo:info)", "21000002210000000906_1")</f>
        <v/>
      </c>
      <c r="E661" t="inlineStr">
        <is>
          <t>Нежилое помещение, расположенное по адресу: Санкт-Петербург, 9-я линия В.О., д. 22, литера А, пом. 13-Н, площадь 28.3 кв.м, назначение: нежилое помещение, наименование: нежилое помещение, этаж: цокольный, кадастровый номер 78:06:0002039:2873</t>
        </is>
      </c>
      <c r="F661" s="3" t="inlineStr">
        <is>
          <t>21.09.22 20:00</t>
        </is>
      </c>
      <c r="G661" t="inlineStr">
        <is>
          <t>г Санкт-Петербург, линия 9-я В.О., д 22 литера А, помещ 13-Н</t>
        </is>
      </c>
      <c r="H661" s="4" t="n">
        <v>4550000</v>
      </c>
      <c r="I661" s="4" t="n">
        <v>160777.3851590106</v>
      </c>
      <c r="J661" t="inlineStr">
        <is>
          <t>Нежилое помещение</t>
        </is>
      </c>
      <c r="K661" s="5" t="n">
        <v>16.75</v>
      </c>
      <c r="L661" s="4" t="n">
        <v>343.54</v>
      </c>
      <c r="M661" t="n">
        <v>9599</v>
      </c>
      <c r="N661" s="6" t="n">
        <v>5225690</v>
      </c>
      <c r="O661" t="n">
        <v>468</v>
      </c>
      <c r="P661" s="12" t="n">
        <v>0.08369888765447082</v>
      </c>
      <c r="Q661" t="inlineStr">
        <is>
          <t>EA</t>
        </is>
      </c>
      <c r="R661" t="inlineStr">
        <is>
          <t>М</t>
        </is>
      </c>
      <c r="S661" s="2">
        <f>HYPERLINK("https://yandex.ru/maps/?&amp;text=59.939947, 30.278453", "59.939947, 30.278453")</f>
        <v/>
      </c>
      <c r="T661" s="2">
        <f>HYPERLINK("D:\venv_torgi\env\cache\objs_in_district/59.939947_30.278453.json", "59.939947_30.278453.json")</f>
        <v/>
      </c>
      <c r="U661" t="inlineStr">
        <is>
          <t>78:06:0002039:2873</t>
        </is>
      </c>
      <c r="V661" s="7" t="inlineStr">
        <is>
          <t>0</t>
        </is>
      </c>
      <c r="W661" s="17" t="n">
        <v>174234.2734568142</v>
      </c>
      <c r="X661" s="14" t="n">
        <v>13456.88829780361</v>
      </c>
      <c r="Y661" t="n">
        <v>0</v>
      </c>
    </row>
    <row r="662">
      <c r="A662" s="8" t="n">
        <v>660</v>
      </c>
      <c r="B662" t="n">
        <v>78</v>
      </c>
      <c r="C662" s="1" t="n">
        <v>43.9</v>
      </c>
      <c r="D662" s="2">
        <f>HYPERLINK("https://torgi.gov.ru/new/public/lots/lot/21000002210000000847_1/(lotInfo:info)", "21000002210000000847_1")</f>
        <v/>
      </c>
      <c r="E662" t="inlineStr">
        <is>
          <t>Помещение, расположенное по адресу: Санкт-Петербург, переулок Гривцова, д.1/64, литера А, пом. 65-Н, площадь 43.9 кв.м, этаж № 1, назначение: нежилое, наименование: нежилое помещение, кадастровый номер 78:32:0001292:247</t>
        </is>
      </c>
      <c r="F662" s="3" t="inlineStr">
        <is>
          <t>31.08.22 20:00</t>
        </is>
      </c>
      <c r="G662" t="inlineStr">
        <is>
          <t>г Санкт-Петербург, пер Гривцова, д 1/64</t>
        </is>
      </c>
      <c r="H662" s="4" t="n">
        <v>7230000</v>
      </c>
      <c r="I662" s="4" t="n">
        <v>164692.4829157176</v>
      </c>
      <c r="J662" t="inlineStr">
        <is>
          <t>Нежилое помещение</t>
        </is>
      </c>
      <c r="K662" s="5" t="n">
        <v>17.16</v>
      </c>
      <c r="L662" s="4" t="n">
        <v>661.41</v>
      </c>
      <c r="M662" t="n">
        <v>9599</v>
      </c>
      <c r="N662" s="6" t="n">
        <v>5225690</v>
      </c>
      <c r="O662" t="n">
        <v>249</v>
      </c>
      <c r="P662" s="12" t="n">
        <v>0.05793701310569022</v>
      </c>
      <c r="Q662" t="inlineStr">
        <is>
          <t>EK</t>
        </is>
      </c>
      <c r="R662" t="inlineStr">
        <is>
          <t>М</t>
        </is>
      </c>
      <c r="S662" s="2">
        <f>HYPERLINK("https://yandex.ru/maps/?&amp;text=59.931675, 30.31223", "59.931675, 30.31223")</f>
        <v/>
      </c>
      <c r="T662" s="2">
        <f>HYPERLINK("D:\venv_torgi\env\cache\objs_in_district/59.931675_30.31223.json", "59.931675_30.31223.json")</f>
        <v/>
      </c>
      <c r="U662" t="inlineStr">
        <is>
          <t>78:32:0001292:247</t>
        </is>
      </c>
      <c r="V662" s="7" t="inlineStr">
        <is>
          <t>1</t>
        </is>
      </c>
      <c r="W662" s="17" t="n">
        <v>174234.2734568142</v>
      </c>
      <c r="X662" s="14" t="n">
        <v>9541.79054109659</v>
      </c>
      <c r="Y662" t="n">
        <v>0</v>
      </c>
    </row>
    <row r="663">
      <c r="A663" s="8" t="n">
        <v>661</v>
      </c>
      <c r="B663" t="n">
        <v>78</v>
      </c>
      <c r="C663" s="1" t="n">
        <v>19.3</v>
      </c>
      <c r="D663" s="2">
        <f>HYPERLINK("https://torgi.gov.ru/new/public/lots/lot/21000002210000000895_1/(lotInfo:info)", "21000002210000000895_1")</f>
        <v/>
      </c>
      <c r="E663" t="inlineStr">
        <is>
          <t>Нежилое помещение, расположенное по адресу: Санкт-Петербург, 11-я Красноармейская ул., д. 22, литера. Б, пом. 3-Н, площадь 19.3 кв.м, назначение: нежилое помещение, наименование: нежилое помещение, этаж №1, кадастровый номер 78:32:0001676:3363</t>
        </is>
      </c>
      <c r="F663" s="3" t="inlineStr">
        <is>
          <t>20.09.22 20:00</t>
        </is>
      </c>
      <c r="G663" t="inlineStr">
        <is>
          <t>г Санкт-Петербург, ул 11-я Красноармейская, д 22 литера Б</t>
        </is>
      </c>
      <c r="H663" s="4" t="n">
        <v>3190000</v>
      </c>
      <c r="I663" s="4" t="n">
        <v>165284.9740932642</v>
      </c>
      <c r="J663" t="inlineStr">
        <is>
          <t>Нежилое помещение</t>
        </is>
      </c>
      <c r="K663" s="5" t="n">
        <v>15.35</v>
      </c>
      <c r="L663" s="4" t="n">
        <v>1424.86</v>
      </c>
      <c r="M663" t="n">
        <v>10768</v>
      </c>
      <c r="N663" s="6" t="n">
        <v>5225690</v>
      </c>
      <c r="O663" t="n">
        <v>116</v>
      </c>
      <c r="Q663" t="inlineStr">
        <is>
          <t>EA</t>
        </is>
      </c>
      <c r="R663" t="inlineStr">
        <is>
          <t>М</t>
        </is>
      </c>
      <c r="S663" s="2">
        <f>HYPERLINK("https://yandex.ru/maps/?&amp;text=59.91208, 30.300426", "59.91208, 30.300426")</f>
        <v/>
      </c>
      <c r="T663" s="2">
        <f>HYPERLINK("D:\venv_torgi\env\cache\objs_in_district/59.91208_30.300426.json", "59.91208_30.300426.json")</f>
        <v/>
      </c>
      <c r="U663" t="inlineStr">
        <is>
          <t>78:32:0001676:3363</t>
        </is>
      </c>
      <c r="V663" s="7" t="inlineStr">
        <is>
          <t>1</t>
        </is>
      </c>
      <c r="W663" s="17" t="n">
        <v>158267.74445583</v>
      </c>
      <c r="X663" s="15" t="n">
        <v>-7017.229637434182</v>
      </c>
      <c r="Y663" t="n">
        <v>0</v>
      </c>
    </row>
    <row r="664">
      <c r="A664" s="8" t="n">
        <v>662</v>
      </c>
      <c r="B664" t="n">
        <v>78</v>
      </c>
      <c r="C664" s="1" t="n">
        <v>22.2</v>
      </c>
      <c r="D664" s="2">
        <f>HYPERLINK("https://torgi.gov.ru/new/public/lots/lot/21000002210000000898_1/(lotInfo:info)", "21000002210000000898_1")</f>
        <v/>
      </c>
      <c r="E664" t="inlineStr">
        <is>
          <t>Нежилое помещение, расположенное по адресу: Санкт-Петербург, Большая Подьяческая ул., д. 16, литера А, пом. 2-Н, площадь 22.2 кв.м, назначение: нежилое помещение, наименование: нежилое помещение, этаж №1, кадастровый номер 78:32:0001238:2355</t>
        </is>
      </c>
      <c r="F664" s="3" t="inlineStr">
        <is>
          <t>20.09.22 20:00</t>
        </is>
      </c>
      <c r="G664" t="inlineStr">
        <is>
          <t>г Санкт-Петербург, ул Большая Подьяческая, д 16 литера А</t>
        </is>
      </c>
      <c r="H664" s="4" t="n">
        <v>3680000</v>
      </c>
      <c r="I664" s="4" t="n">
        <v>165765.7657657658</v>
      </c>
      <c r="J664" t="inlineStr">
        <is>
          <t>Нежилое помещение</t>
        </is>
      </c>
      <c r="K664" s="5" t="n">
        <v>17.06</v>
      </c>
      <c r="L664" s="4" t="n">
        <v>668.41</v>
      </c>
      <c r="M664" t="n">
        <v>9714</v>
      </c>
      <c r="N664" s="6" t="n">
        <v>5225690</v>
      </c>
      <c r="O664" t="n">
        <v>248</v>
      </c>
      <c r="P664" s="12" t="n">
        <v>0.05108719313621593</v>
      </c>
      <c r="Q664" t="inlineStr">
        <is>
          <t>EA</t>
        </is>
      </c>
      <c r="R664" t="inlineStr">
        <is>
          <t>М</t>
        </is>
      </c>
      <c r="S664" s="2">
        <f>HYPERLINK("https://yandex.ru/maps/?&amp;text=59.924722, 30.305744", "59.924722, 30.305744")</f>
        <v/>
      </c>
      <c r="T664" s="2">
        <f>HYPERLINK("D:\venv_torgi\env\cache\objs_in_district/59.924722_30.305744.json", "59.924722_30.305744.json")</f>
        <v/>
      </c>
      <c r="U664" t="inlineStr">
        <is>
          <t>78:32:0001238:2355</t>
        </is>
      </c>
      <c r="V664" s="7" t="inlineStr">
        <is>
          <t>1</t>
        </is>
      </c>
      <c r="W664" s="17" t="n">
        <v>174234.2734568142</v>
      </c>
      <c r="X664" s="14" t="n">
        <v>8468.507691048406</v>
      </c>
      <c r="Y664" t="n">
        <v>0</v>
      </c>
    </row>
    <row r="665">
      <c r="A665" s="8" t="n">
        <v>663</v>
      </c>
      <c r="B665" t="n">
        <v>78</v>
      </c>
      <c r="C665" s="1" t="n">
        <v>33.7</v>
      </c>
      <c r="D665" s="2">
        <f>HYPERLINK("https://torgi.gov.ru/new/public/lots/lot/21000002210000000946_1/(lotInfo:info)", "21000002210000000946_1")</f>
        <v/>
      </c>
      <c r="E665" t="inlineStr">
        <is>
          <t>Нежилое помещение, расположенное по адресу: Санкт-Петербург,                                  Миллионная ул., д. 17, литера А, пом. 8-Н, площадь 33.7 кв.м, назначение: нежилое, наименование: нежилое помещение, этаж: цокольный, кадастровый номер 78:31:0001018:2350</t>
        </is>
      </c>
      <c r="F665" s="3" t="inlineStr">
        <is>
          <t>26.09.22 20:00</t>
        </is>
      </c>
      <c r="G665" t="inlineStr">
        <is>
          <t>г Санкт-Петербург, ул Миллионная, д 17 литера А</t>
        </is>
      </c>
      <c r="H665" s="4" t="n">
        <v>5600000</v>
      </c>
      <c r="I665" s="4" t="n">
        <v>166172.1068249258</v>
      </c>
      <c r="J665" t="inlineStr">
        <is>
          <t>Нежилое помещение</t>
        </is>
      </c>
      <c r="K665" s="5" t="n">
        <v>37.81</v>
      </c>
      <c r="L665" s="4" t="n">
        <v>1362.07</v>
      </c>
      <c r="M665" t="n">
        <v>4395</v>
      </c>
      <c r="N665" s="6" t="n">
        <v>5225690</v>
      </c>
      <c r="O665" t="n">
        <v>122</v>
      </c>
      <c r="Q665" t="inlineStr">
        <is>
          <t>EA</t>
        </is>
      </c>
      <c r="R665" t="inlineStr">
        <is>
          <t>М</t>
        </is>
      </c>
      <c r="S665" s="2">
        <f>HYPERLINK("https://yandex.ru/maps/?&amp;text=59.943751, 30.323764", "59.943751, 30.323764")</f>
        <v/>
      </c>
      <c r="T665" s="2">
        <f>HYPERLINK("D:\venv_torgi\env\cache\objs_in_district/59.943751_30.323764.json", "59.943751_30.323764.json")</f>
        <v/>
      </c>
      <c r="U665" t="inlineStr">
        <is>
          <t>78:31:0001018:2350</t>
        </is>
      </c>
      <c r="V665" s="7" t="inlineStr">
        <is>
          <t>0</t>
        </is>
      </c>
      <c r="W665" s="17" t="n">
        <v>114162.4691086402</v>
      </c>
      <c r="X665" s="15" t="n">
        <v>-52009.63771628564</v>
      </c>
      <c r="Y665" t="n">
        <v>0</v>
      </c>
    </row>
    <row r="666">
      <c r="A666" s="8" t="n">
        <v>664</v>
      </c>
      <c r="B666" t="n">
        <v>78</v>
      </c>
      <c r="C666" s="1" t="n">
        <v>15</v>
      </c>
      <c r="D666" s="2">
        <f>HYPERLINK("https://torgi.gov.ru/new/public/lots/lot/21000002210000000878_1/(lotInfo:info)", "21000002210000000878_1")</f>
        <v/>
      </c>
      <c r="E666" t="inlineStr">
        <is>
          <t>Нежилое помещение, расположенное по адресу: Санкт-Петербург, Большой проспект П.С., д. 67, литера А, пом. 7-Н, площадь 15 кв.м., назначение: нежилое помещение, наименование: нежилое помещение, этаж: цокольный, кадастровый номер 78:07:0003084:2477</t>
        </is>
      </c>
      <c r="F666" s="3" t="inlineStr">
        <is>
          <t>19.09.22 20:00</t>
        </is>
      </c>
      <c r="G666" t="inlineStr">
        <is>
          <t>г Санкт-Петербург, пр-кт Большой П.С., д 67 литера А</t>
        </is>
      </c>
      <c r="H666" s="4" t="n">
        <v>2520000</v>
      </c>
      <c r="I666" s="4" t="n">
        <v>168000</v>
      </c>
      <c r="J666" t="inlineStr">
        <is>
          <t>Нежилое помещение</t>
        </is>
      </c>
      <c r="K666" s="5" t="n">
        <v>15.67</v>
      </c>
      <c r="L666" s="4" t="n">
        <v>418.95</v>
      </c>
      <c r="M666" t="n">
        <v>10723</v>
      </c>
      <c r="N666" s="6" t="n">
        <v>5225690</v>
      </c>
      <c r="O666" t="n">
        <v>401</v>
      </c>
      <c r="P666" s="12" t="n">
        <v>0.03710877057627503</v>
      </c>
      <c r="Q666" t="inlineStr">
        <is>
          <t>EA</t>
        </is>
      </c>
      <c r="R666" t="inlineStr">
        <is>
          <t>М</t>
        </is>
      </c>
      <c r="S666" s="2">
        <f>HYPERLINK("https://yandex.ru/maps/?&amp;text=59.963994, 30.309571", "59.963994, 30.309571")</f>
        <v/>
      </c>
      <c r="T666" s="2">
        <f>HYPERLINK("D:\venv_torgi\env\cache\objs_in_district/59.963994_30.309571.json", "59.963994_30.309571.json")</f>
        <v/>
      </c>
      <c r="U666" t="inlineStr">
        <is>
          <t>78:07:0003084:2477</t>
        </is>
      </c>
      <c r="V666" s="7" t="inlineStr">
        <is>
          <t>0</t>
        </is>
      </c>
      <c r="W666" s="17" t="n">
        <v>174234.2734568142</v>
      </c>
      <c r="X666" s="14" t="n">
        <v>6234.273456814204</v>
      </c>
      <c r="Y666" t="n">
        <v>0</v>
      </c>
    </row>
    <row r="667">
      <c r="A667" s="8" t="n">
        <v>665</v>
      </c>
      <c r="B667" t="n">
        <v>78</v>
      </c>
      <c r="C667" s="1" t="n">
        <v>43.4</v>
      </c>
      <c r="D667" s="2">
        <f>HYPERLINK("https://torgi.gov.ru/new/public/lots/lot/21000002210000000933_1/(lotInfo:info)", "21000002210000000933_1")</f>
        <v/>
      </c>
      <c r="E667" t="inlineStr">
        <is>
          <t>Нежилое помещение, расположенное по адресу: Санкт-Петербург, Средняя Подьяческая ул., д. 11, литера А, пом. 5-Н, площадь 43.4 кв.м, назначение: нежилое помещение, наименование: нежилое помещение, этаж № 1, кадастровый номер 78:32:0001240:1337</t>
        </is>
      </c>
      <c r="F667" s="3" t="inlineStr">
        <is>
          <t>23.09.22 20:00</t>
        </is>
      </c>
      <c r="G667" t="inlineStr">
        <is>
          <t>г Санкт-Петербург, ул Средняя Подьяческая, д 11 литера А</t>
        </is>
      </c>
      <c r="H667" s="4" t="n">
        <v>7440000</v>
      </c>
      <c r="I667" s="4" t="n">
        <v>171428.5714285714</v>
      </c>
      <c r="J667" t="inlineStr">
        <is>
          <t>Нежилое помещение</t>
        </is>
      </c>
      <c r="K667" s="5" t="n">
        <v>16.87</v>
      </c>
      <c r="L667" s="4" t="n">
        <v>840.33</v>
      </c>
      <c r="M667" t="n">
        <v>10164</v>
      </c>
      <c r="N667" s="6" t="n">
        <v>5225690</v>
      </c>
      <c r="O667" t="n">
        <v>204</v>
      </c>
      <c r="Q667" t="inlineStr">
        <is>
          <t>EA</t>
        </is>
      </c>
      <c r="R667" t="inlineStr">
        <is>
          <t>М</t>
        </is>
      </c>
      <c r="S667" s="2">
        <f>HYPERLINK("https://yandex.ru/maps/?&amp;text=59.925412, 30.303435", "59.925412, 30.303435")</f>
        <v/>
      </c>
      <c r="T667" s="2">
        <f>HYPERLINK("D:\venv_torgi\env\cache\objs_in_district/59.925412_30.303435.json", "59.925412_30.303435.json")</f>
        <v/>
      </c>
      <c r="U667" t="inlineStr">
        <is>
          <t>78:32:0001240:1337</t>
        </is>
      </c>
      <c r="V667" s="7" t="inlineStr">
        <is>
          <t>1</t>
        </is>
      </c>
      <c r="W667" s="17" t="n">
        <v>158267.74445583</v>
      </c>
      <c r="X667" s="15" t="n">
        <v>-13160.82697274137</v>
      </c>
      <c r="Y667" t="n">
        <v>0</v>
      </c>
    </row>
    <row r="668">
      <c r="A668" s="8" t="n">
        <v>666</v>
      </c>
      <c r="B668" t="n">
        <v>78</v>
      </c>
      <c r="C668" s="1" t="n">
        <v>17.9</v>
      </c>
      <c r="D668" s="2">
        <f>HYPERLINK("https://torgi.gov.ru/new/public/lots/lot/21000002210000000872_1/(lotInfo:info)", "21000002210000000872_1")</f>
        <v/>
      </c>
      <c r="E668" t="inlineStr">
        <is>
          <t>Помещение, расположенное по адресу: Санкт-Петербург, Караванная ул., д. 9, литера А, пом. 3-Н, площадь 17.9 кв.м., этаж № 1, назначение: нежилое помещение,  кадастровый номер 78:31:0001285:3437</t>
        </is>
      </c>
      <c r="F668" s="3" t="inlineStr">
        <is>
          <t>14.09.22 20:00</t>
        </is>
      </c>
      <c r="G668" t="inlineStr">
        <is>
          <t>г Санкт-Петербург, ул Караванная, д 9 литера А</t>
        </is>
      </c>
      <c r="H668" s="4" t="n">
        <v>3170000</v>
      </c>
      <c r="I668" s="4" t="n">
        <v>177094.9720670391</v>
      </c>
      <c r="J668" t="inlineStr">
        <is>
          <t>Нежилое помещение</t>
        </is>
      </c>
      <c r="K668" s="5" t="n">
        <v>15.56</v>
      </c>
      <c r="L668" s="4" t="n">
        <v>673.36</v>
      </c>
      <c r="M668" t="n">
        <v>11382</v>
      </c>
      <c r="N668" s="6" t="n">
        <v>5225690</v>
      </c>
      <c r="O668" t="n">
        <v>263</v>
      </c>
      <c r="Q668" t="inlineStr">
        <is>
          <t>EK</t>
        </is>
      </c>
      <c r="R668" t="inlineStr">
        <is>
          <t>М</t>
        </is>
      </c>
      <c r="S668" s="2">
        <f>HYPERLINK("https://yandex.ru/maps/?&amp;text=59.93442, 30.340895", "59.93442, 30.340895")</f>
        <v/>
      </c>
      <c r="T668" s="2">
        <f>HYPERLINK("D:\venv_torgi\env\cache\objs_in_district/59.93442_30.340895.json", "59.93442_30.340895.json")</f>
        <v/>
      </c>
      <c r="U668" t="inlineStr">
        <is>
          <t>78:31:0001285:3437</t>
        </is>
      </c>
      <c r="V668" s="7" t="inlineStr">
        <is>
          <t>1</t>
        </is>
      </c>
      <c r="W668" s="17" t="n">
        <v>174234.2734568142</v>
      </c>
      <c r="X668" s="15" t="n">
        <v>-2860.698610224907</v>
      </c>
      <c r="Y668" t="n">
        <v>0</v>
      </c>
    </row>
    <row r="669">
      <c r="A669" s="8" t="n">
        <v>667</v>
      </c>
      <c r="B669" t="n">
        <v>78</v>
      </c>
      <c r="C669" s="1" t="n">
        <v>17.9</v>
      </c>
      <c r="D669" s="2">
        <f>HYPERLINK("https://torgi.gov.ru/new/public/lots/lot/21000002210000000953_1/(lotInfo:info)", "21000002210000000953_1")</f>
        <v/>
      </c>
      <c r="E669" t="inlineStr">
        <is>
          <t>Нежилое помещение, расположенное по адресу: Санкт-Петербург,                                  ул. Рубинштейна, д. 19/8, литера А, пом. 3-Н, площадь 17.9 кв.м, назначение: нежилое помещение, этаж №1, кадастровый номер 78:31:0001137:2613</t>
        </is>
      </c>
      <c r="F669" s="3" t="inlineStr">
        <is>
          <t>26.09.22 20:00</t>
        </is>
      </c>
      <c r="G669" t="inlineStr">
        <is>
          <t>г Санкт-Петербург, ул Рубинштейна, д 19/8</t>
        </is>
      </c>
      <c r="H669" s="4" t="n">
        <v>3240000</v>
      </c>
      <c r="I669" s="4" t="n">
        <v>181005.5865921788</v>
      </c>
      <c r="J669" t="inlineStr">
        <is>
          <t>Нежилое помещение</t>
        </is>
      </c>
      <c r="K669" s="5" t="n">
        <v>10.4</v>
      </c>
      <c r="L669" s="4" t="n">
        <v>502.79</v>
      </c>
      <c r="M669" t="n">
        <v>17407</v>
      </c>
      <c r="N669" s="6" t="n">
        <v>5225690</v>
      </c>
      <c r="O669" t="n">
        <v>360</v>
      </c>
      <c r="Q669" t="inlineStr">
        <is>
          <t>EA</t>
        </is>
      </c>
      <c r="R669" t="inlineStr">
        <is>
          <t>М</t>
        </is>
      </c>
      <c r="S669" s="2">
        <f>HYPERLINK("https://yandex.ru/maps/?&amp;text=59.92857, 30.343401", "59.92857, 30.343401")</f>
        <v/>
      </c>
      <c r="T669" s="2">
        <f>HYPERLINK("D:\venv_torgi\env\cache\objs_in_district/59.92857_30.343401.json", "59.92857_30.343401.json")</f>
        <v/>
      </c>
      <c r="U669" t="inlineStr">
        <is>
          <t>78:31:0001137:2613</t>
        </is>
      </c>
      <c r="V669" s="7" t="inlineStr">
        <is>
          <t>1</t>
        </is>
      </c>
      <c r="W669" s="17" t="n">
        <v>174234.2734568142</v>
      </c>
      <c r="X669" s="15" t="n">
        <v>-6771.313135364588</v>
      </c>
      <c r="Y669" t="n">
        <v>0</v>
      </c>
    </row>
    <row r="670">
      <c r="A670" s="8" t="n">
        <v>668</v>
      </c>
      <c r="B670" t="n">
        <v>78</v>
      </c>
      <c r="C670" s="1" t="n">
        <v>26.3</v>
      </c>
      <c r="D670" s="2">
        <f>HYPERLINK("https://torgi.gov.ru/new/public/lots/lot/21000002210000000908_1/(lotInfo:info)", "21000002210000000908_1")</f>
        <v/>
      </c>
      <c r="E670" t="inlineStr">
        <is>
          <t>Нежилое помещение, расположенное по адресу: Санкт-Петербург, ул. Александра Невского, д. 6, литера В, пом. 1-Н, площадь 26.3 кв.м, назначение: нежилое помещение, наименование: нежилое помещение, этаж № 1, кадастровый номер 78:31:0001500:2429</t>
        </is>
      </c>
      <c r="F670" s="3" t="inlineStr">
        <is>
          <t>21.09.22 20:00</t>
        </is>
      </c>
      <c r="G670" t="inlineStr">
        <is>
          <t>г Санкт-Петербург, ул Александра Невского, д 6 литера В</t>
        </is>
      </c>
      <c r="H670" s="4" t="n">
        <v>4780000</v>
      </c>
      <c r="I670" s="4" t="n">
        <v>181749.0494296578</v>
      </c>
      <c r="J670" t="inlineStr">
        <is>
          <t>Нежилое помещение</t>
        </is>
      </c>
      <c r="K670" s="5" t="n">
        <v>29.13</v>
      </c>
      <c r="L670" s="4" t="n">
        <v>904.22</v>
      </c>
      <c r="M670" t="n">
        <v>6240</v>
      </c>
      <c r="N670" s="6" t="n">
        <v>5225690</v>
      </c>
      <c r="O670" t="n">
        <v>201</v>
      </c>
      <c r="Q670" t="inlineStr">
        <is>
          <t>EA</t>
        </is>
      </c>
      <c r="R670" t="inlineStr">
        <is>
          <t>М</t>
        </is>
      </c>
      <c r="S670" s="2">
        <f>HYPERLINK("https://yandex.ru/maps/?&amp;text=59.925646, 30.383493", "59.925646, 30.383493")</f>
        <v/>
      </c>
      <c r="T670" s="2">
        <f>HYPERLINK("D:\venv_torgi\env\cache\objs_in_district/59.925646_30.383493.json", "59.925646_30.383493.json")</f>
        <v/>
      </c>
      <c r="U670" t="inlineStr">
        <is>
          <t>78:31:0001500:2429</t>
        </is>
      </c>
      <c r="V670" s="7" t="inlineStr">
        <is>
          <t>1</t>
        </is>
      </c>
      <c r="W670" s="17" t="n">
        <v>158267.74445583</v>
      </c>
      <c r="X670" s="15" t="n">
        <v>-23481.30497382779</v>
      </c>
      <c r="Y670" t="n">
        <v>0</v>
      </c>
    </row>
    <row r="671">
      <c r="A671" s="8" t="n">
        <v>669</v>
      </c>
      <c r="B671" t="n">
        <v>78</v>
      </c>
      <c r="C671" s="1" t="n">
        <v>46.9</v>
      </c>
      <c r="D671" s="2">
        <f>HYPERLINK("https://torgi.gov.ru/new/public/lots/lot/21000002210000000950_1/(lotInfo:info)", "21000002210000000950_1")</f>
        <v/>
      </c>
      <c r="E671" t="inlineStr">
        <is>
          <t>Нежилое помещение, расположенное по адресу: Санкт-Петербург,                                  Саперный переулок, д. 4, литера А, пом. 1-Н, площадь 46.9 кв.м, назначение: нежилое помещение, наименование: нежилое помещение, этаж №1, кадастровый номер 78:31:0001278:2509</t>
        </is>
      </c>
      <c r="F671" s="3" t="inlineStr">
        <is>
          <t>26.09.22 20:00</t>
        </is>
      </c>
      <c r="G671" t="inlineStr">
        <is>
          <t>г Санкт-Петербург, Сапёрный пер, д 4 литера А</t>
        </is>
      </c>
      <c r="H671" s="4" t="n">
        <v>8600000</v>
      </c>
      <c r="I671" s="4" t="n">
        <v>183368.8699360341</v>
      </c>
      <c r="J671" t="inlineStr">
        <is>
          <t>Нежилое помещение</t>
        </is>
      </c>
      <c r="K671" s="5" t="n">
        <v>17.99</v>
      </c>
      <c r="L671" s="4" t="n">
        <v>601.21</v>
      </c>
      <c r="M671" t="n">
        <v>10194</v>
      </c>
      <c r="N671" s="6" t="n">
        <v>5225690</v>
      </c>
      <c r="O671" t="n">
        <v>305</v>
      </c>
      <c r="Q671" t="inlineStr">
        <is>
          <t>EA</t>
        </is>
      </c>
      <c r="R671" t="inlineStr">
        <is>
          <t>М</t>
        </is>
      </c>
      <c r="S671" s="2">
        <f>HYPERLINK("https://yandex.ru/maps/?&amp;text=59.941168, 30.3564", "59.941168, 30.3564")</f>
        <v/>
      </c>
      <c r="T671" s="2">
        <f>HYPERLINK("D:\venv_torgi\env\cache\objs_in_district/59.941168_30.3564.json", "59.941168_30.3564.json")</f>
        <v/>
      </c>
      <c r="U671" t="inlineStr">
        <is>
          <t>78:31:0001278:2509</t>
        </is>
      </c>
      <c r="V671" s="7" t="inlineStr">
        <is>
          <t>1</t>
        </is>
      </c>
      <c r="W671" s="17" t="n">
        <v>174234.2734568142</v>
      </c>
      <c r="X671" s="15" t="n">
        <v>-9134.596479219908</v>
      </c>
      <c r="Y671" t="n">
        <v>0</v>
      </c>
    </row>
    <row r="672">
      <c r="A672" s="8" t="n">
        <v>670</v>
      </c>
      <c r="B672" t="n">
        <v>78</v>
      </c>
      <c r="C672" s="1" t="n">
        <v>17.6</v>
      </c>
      <c r="D672" s="2">
        <f>HYPERLINK("https://torgi.gov.ru/new/public/lots/lot/21000002210000000900_1/(lotInfo:info)", "21000002210000000900_1")</f>
        <v/>
      </c>
      <c r="E672" t="inlineStr">
        <is>
          <t>Нежилое помещение, расположенное по адресу: Санкт-Петербург, Бухарестская ул., д. 23, корп. 1, литера А, пом. 26-Н, площадь 17.6 кв.м, назначение: нежилое помещение, наименование: квартира, этаж №1, кадастровый номер 78:13:0007407:5125</t>
        </is>
      </c>
      <c r="F672" s="3" t="inlineStr">
        <is>
          <t>20.09.22 20:00</t>
        </is>
      </c>
      <c r="G672" t="inlineStr">
        <is>
          <t>г Санкт-Петербург, ул Бухарестская, д 23 к 1 литера А</t>
        </is>
      </c>
      <c r="H672" s="4" t="n">
        <v>3600000</v>
      </c>
      <c r="I672" s="4" t="n">
        <v>204545.4545454545</v>
      </c>
      <c r="J672" t="inlineStr">
        <is>
          <t>Нежилое помещение</t>
        </is>
      </c>
      <c r="K672" s="5" t="n">
        <v>57.83</v>
      </c>
      <c r="L672" s="4" t="n">
        <v>2840.9</v>
      </c>
      <c r="M672" t="n">
        <v>3537</v>
      </c>
      <c r="N672" s="6" t="n">
        <v>5225690</v>
      </c>
      <c r="O672" t="n">
        <v>72</v>
      </c>
      <c r="Q672" t="inlineStr">
        <is>
          <t>EA</t>
        </is>
      </c>
      <c r="R672" t="inlineStr">
        <is>
          <t>М</t>
        </is>
      </c>
      <c r="S672" s="2">
        <f>HYPERLINK("https://yandex.ru/maps/?&amp;text=59.876152, 30.372462", "59.876152, 30.372462")</f>
        <v/>
      </c>
      <c r="T672" s="2">
        <f>HYPERLINK("D:\venv_torgi\env\cache\objs_in_district/59.876152_30.372462.json", "59.876152_30.372462.json")</f>
        <v/>
      </c>
      <c r="U672" t="inlineStr">
        <is>
          <t>78:13:0007407:5125</t>
        </is>
      </c>
      <c r="V672" s="7" t="inlineStr">
        <is>
          <t>1</t>
        </is>
      </c>
      <c r="W672" s="17" t="n">
        <v>158267.74445583</v>
      </c>
      <c r="X672" s="15" t="n">
        <v>-46277.71008962448</v>
      </c>
      <c r="Y672" t="n">
        <v>0</v>
      </c>
    </row>
    <row r="673">
      <c r="A673" s="8" t="n">
        <v>671</v>
      </c>
      <c r="B673" t="n">
        <v>78</v>
      </c>
      <c r="C673" s="1" t="n">
        <v>10.1</v>
      </c>
      <c r="D673" s="2">
        <f>HYPERLINK("https://torgi.gov.ru/new/public/lots/lot/21000002210000000926_1/(lotInfo:info)", "21000002210000000926_1")</f>
        <v/>
      </c>
      <c r="E673" t="inlineStr">
        <is>
          <t>Нежилое помещение, расположенное по адресу: Санкт-Петербург, Гороховая ул., д. 32, литера А, пом. 9-Н, площадь 10.1 кв.м, назначение: нежилое, этаж №2, кадастровый номер 78:31:0001144:557</t>
        </is>
      </c>
      <c r="F673" s="3" t="inlineStr">
        <is>
          <t>23.09.22 20:00</t>
        </is>
      </c>
      <c r="G673" t="inlineStr">
        <is>
          <t>г Санкт-Петербург, ул Гороховая, д 32 литера А</t>
        </is>
      </c>
      <c r="H673" s="4" t="n">
        <v>2100000</v>
      </c>
      <c r="I673" s="4" t="n">
        <v>207920.7920792079</v>
      </c>
      <c r="J673" t="inlineStr">
        <is>
          <t>Нежилое помещение</t>
        </is>
      </c>
      <c r="K673" s="5" t="n">
        <v>22.63</v>
      </c>
      <c r="L673" s="4" t="n">
        <v>309.4</v>
      </c>
      <c r="M673" t="n">
        <v>9189</v>
      </c>
      <c r="N673" s="6" t="n">
        <v>5225690</v>
      </c>
      <c r="O673" t="n">
        <v>672</v>
      </c>
      <c r="Q673" t="inlineStr">
        <is>
          <t>EA</t>
        </is>
      </c>
      <c r="R673" t="inlineStr">
        <is>
          <t>М</t>
        </is>
      </c>
      <c r="S673" s="2">
        <f>HYPERLINK("https://yandex.ru/maps/?&amp;text=59.929434, 30.320988", "59.929434, 30.320988")</f>
        <v/>
      </c>
      <c r="T673" s="2">
        <f>HYPERLINK("D:\venv_torgi\env\cache\objs_in_district/59.929434_30.320988.json", "59.929434_30.320988.json")</f>
        <v/>
      </c>
      <c r="U673" t="inlineStr">
        <is>
          <t>78:31:0001144:557</t>
        </is>
      </c>
      <c r="V673" s="7" t="inlineStr">
        <is>
          <t>2</t>
        </is>
      </c>
      <c r="W673" s="17" t="n">
        <v>174234.2734568142</v>
      </c>
      <c r="X673" s="15" t="n">
        <v>-33686.51862239369</v>
      </c>
      <c r="Y673" t="n">
        <v>0</v>
      </c>
    </row>
    <row r="674">
      <c r="A674" s="8" t="n">
        <v>672</v>
      </c>
      <c r="B674" t="n">
        <v>78</v>
      </c>
      <c r="C674" s="1" t="n">
        <v>37.3</v>
      </c>
      <c r="D674" s="2">
        <f>HYPERLINK("https://torgi.gov.ru/new/public/lots/lot/21000002210000000947_1/(lotInfo:info)", "21000002210000000947_1")</f>
        <v/>
      </c>
      <c r="E674" t="inlineStr">
        <is>
          <t>Нежилое помещение, расположенное по адресу: Санкт-Петербург,                                  Московский проспект, д. 2/6, литера А, пом. 3-Н, площадь 37.3 кв.м, назначение: нежилое помещение, этаж №2, кадастровый номер 78:32:0001059:1759</t>
        </is>
      </c>
      <c r="F674" s="3" t="inlineStr">
        <is>
          <t>26.09.22 20:00</t>
        </is>
      </c>
      <c r="G674" t="inlineStr">
        <is>
          <t>г Санкт-Петербург, Московский пр-кт, д 2/6</t>
        </is>
      </c>
      <c r="H674" s="4" t="n">
        <v>8700000</v>
      </c>
      <c r="I674" s="4" t="n">
        <v>233243.9678284182</v>
      </c>
      <c r="J674" t="inlineStr">
        <is>
          <t>Нежилое помещение</t>
        </is>
      </c>
      <c r="K674" s="5" t="n">
        <v>22.44</v>
      </c>
      <c r="L674" s="4" t="n">
        <v>393.99</v>
      </c>
      <c r="M674" t="n">
        <v>10392</v>
      </c>
      <c r="N674" s="6" t="n">
        <v>5225690</v>
      </c>
      <c r="O674" t="n">
        <v>592</v>
      </c>
      <c r="Q674" t="inlineStr">
        <is>
          <t>EA</t>
        </is>
      </c>
      <c r="R674" t="inlineStr">
        <is>
          <t>М</t>
        </is>
      </c>
      <c r="S674" s="2">
        <f>HYPERLINK("https://yandex.ru/maps/?&amp;text=59.925858, 30.317925", "59.925858, 30.317925")</f>
        <v/>
      </c>
      <c r="T674" s="2">
        <f>HYPERLINK("D:\venv_torgi\env\cache\objs_in_district/59.925858_30.317925.json", "59.925858_30.317925.json")</f>
        <v/>
      </c>
      <c r="U674" t="inlineStr">
        <is>
          <t>78:32:0001059:1759</t>
        </is>
      </c>
      <c r="V674" s="7" t="inlineStr">
        <is>
          <t>2</t>
        </is>
      </c>
      <c r="W674" s="17" t="n">
        <v>174234.2734568142</v>
      </c>
      <c r="X674" s="15" t="n">
        <v>-59009.69437160398</v>
      </c>
      <c r="Y674" t="n">
        <v>0</v>
      </c>
    </row>
    <row r="675">
      <c r="A675" s="8" t="n">
        <v>673</v>
      </c>
      <c r="B675" t="n">
        <v>86</v>
      </c>
      <c r="C675" s="1" t="n">
        <v>334.4</v>
      </c>
      <c r="D675" s="2">
        <f>HYPERLINK("https://torgi.gov.ru/new/public/lots/lot/21000034510000000100_1/(lotInfo:info)", "21000034510000000100_1")</f>
        <v/>
      </c>
      <c r="E675" t="inlineStr">
        <is>
          <t>Проведение продажи на аукционе земельного участка общей площадью 387 кв. м, кадастровый номер 86:06:0020117:167, РНФИ П1.1.840003850, адрес: Ханты-Мансийский автономный округ - Югра, г. Белоярский, уч. 15/2, Промзона-2 с расположенным на нем объектом недвижимого имущества - нежилое здание, площадь 334,4 кв. м., кадастровый номер 86:06:0020117:254, РНФИ П 1.2.840000423</t>
        </is>
      </c>
      <c r="F675" s="3" t="inlineStr">
        <is>
          <t>01.09.22 13:00</t>
        </is>
      </c>
      <c r="G675" t="inlineStr">
        <is>
          <t>Ханты-Мансийский автономный округ - Югра, г. Белоярский, уч. 15/2, Промзона-2</t>
        </is>
      </c>
      <c r="H675" s="4" t="n">
        <v>993000</v>
      </c>
      <c r="I675" s="4" t="n">
        <v>2969.497607655503</v>
      </c>
      <c r="J675" t="inlineStr">
        <is>
          <t xml:space="preserve">здание, </t>
        </is>
      </c>
      <c r="K675" s="5" t="n">
        <v>5.58</v>
      </c>
      <c r="L675" s="10" t="n"/>
      <c r="M675" t="n">
        <v>532</v>
      </c>
      <c r="N675" s="6" t="n">
        <v>61677</v>
      </c>
      <c r="O675" t="inlineStr">
        <is>
          <t>0</t>
        </is>
      </c>
      <c r="P675" s="21" t="n">
        <v>0.5137651474839137</v>
      </c>
      <c r="Q675" t="inlineStr">
        <is>
          <t>EA</t>
        </is>
      </c>
      <c r="R675" t="inlineStr">
        <is>
          <t>М</t>
        </is>
      </c>
      <c r="S675" s="2">
        <f>HYPERLINK("https://yandex.ru/maps/?&amp;text=63.697294, 66.75933", "63.697294, 66.75933")</f>
        <v/>
      </c>
      <c r="T675" s="11">
        <f>HYPERLINK("D:\venv_torgi\env\cache\objs_in_district/63.697294_66.75933.json", "63.697294_66.75933.json")</f>
        <v/>
      </c>
      <c r="U675" t="inlineStr">
        <is>
          <t xml:space="preserve">86:06:0020117:167, </t>
        </is>
      </c>
      <c r="V675" s="7" t="inlineStr">
        <is>
          <t>1</t>
        </is>
      </c>
      <c r="W675" s="20" t="n">
        <v>4495.121984005761</v>
      </c>
      <c r="X675" s="22" t="n">
        <v>1525.624376350258</v>
      </c>
      <c r="Y675" t="n">
        <v>0</v>
      </c>
    </row>
    <row r="676">
      <c r="A676" s="8" t="n">
        <v>674</v>
      </c>
      <c r="B676" t="n">
        <v>86</v>
      </c>
      <c r="C676" s="1" t="n">
        <v>966.6</v>
      </c>
      <c r="D676" s="2">
        <f>HYPERLINK("https://torgi.gov.ru/new/public/lots/lot/21000034510000000101_1/(lotInfo:info)", "21000034510000000101_1")</f>
        <v/>
      </c>
      <c r="E676" t="inlineStr">
        <is>
          <t>Проведение продажи на аукционе земельного участка общей площадью 735 кв. м, кадастровый номер 86:06:0020117:168, РНФИ П1.1.840003849, адрес: Ханты-Мансийский автономный округ - Югра, г. Белоярский, уч. 15/3, Промзона - 2, с расположенным на нем объектом недвижимого имущества – нежилое здание, площадь 966,6 кв. м., кадастровый номер 86:06:0020117:255, РНФИ П1.2.840000426</t>
        </is>
      </c>
      <c r="F676" s="3" t="inlineStr">
        <is>
          <t>01.09.22 13:00</t>
        </is>
      </c>
      <c r="G676" t="inlineStr">
        <is>
          <t>Ханты-Мансийский автономный округ - Югра, г. Белоярский, уч. 15/3, Промзона - 2</t>
        </is>
      </c>
      <c r="H676" s="4" t="n">
        <v>3103000</v>
      </c>
      <c r="I676" s="4" t="n">
        <v>3210.221394578936</v>
      </c>
      <c r="J676" t="inlineStr">
        <is>
          <t xml:space="preserve">здание, </t>
        </is>
      </c>
      <c r="K676" s="5" t="n">
        <v>6.03</v>
      </c>
      <c r="L676" s="10" t="n"/>
      <c r="M676" t="n">
        <v>532</v>
      </c>
      <c r="N676" s="6" t="n">
        <v>61677</v>
      </c>
      <c r="O676" t="inlineStr">
        <is>
          <t>0</t>
        </is>
      </c>
      <c r="P676" s="21" t="n">
        <v>0.4002529518981532</v>
      </c>
      <c r="Q676" t="inlineStr">
        <is>
          <t>EA</t>
        </is>
      </c>
      <c r="R676" t="inlineStr">
        <is>
          <t>М</t>
        </is>
      </c>
      <c r="S676" s="2">
        <f>HYPERLINK("https://yandex.ru/maps/?&amp;text=63.697294, 66.75933", "63.697294, 66.75933")</f>
        <v/>
      </c>
      <c r="T676" s="11">
        <f>HYPERLINK("D:\venv_torgi\env\cache\objs_in_district/63.697294_66.75933.json", "63.697294_66.75933.json")</f>
        <v/>
      </c>
      <c r="U676" t="inlineStr">
        <is>
          <t xml:space="preserve">86:06:0020117:168, </t>
        </is>
      </c>
      <c r="V676" s="7" t="inlineStr">
        <is>
          <t>1</t>
        </is>
      </c>
      <c r="W676" s="20" t="n">
        <v>4495.121984005761</v>
      </c>
      <c r="X676" s="22" t="n">
        <v>1284.900589426825</v>
      </c>
      <c r="Y676" t="n">
        <v>0</v>
      </c>
    </row>
    <row r="677">
      <c r="A677" s="8" t="n">
        <v>675</v>
      </c>
      <c r="B677" t="n">
        <v>86</v>
      </c>
      <c r="C677" s="1" t="n">
        <v>143</v>
      </c>
      <c r="D677" s="2">
        <f>HYPERLINK("https://torgi.gov.ru/new/public/lots/lot/21000034510000000104_1/(lotInfo:info)", "21000034510000000104_1")</f>
        <v/>
      </c>
      <c r="E677" t="inlineStr">
        <is>
          <t>Проведение продажи на аукционе земельного участка общей площадью 512 кв. м, кадастровый номер 86:06:0020117:169, РНФИ П1.1.840003848, адрес: Ханты-Мансийский автономный округ - Югра, г. Белоярский, Промзона-2, с расположенным на нем объектом недвижимого имущества – нежилое здание, площадь 143 кв.м., кадастровый номер86:06:0020117:295, РНФИ П1.2.840000424</t>
        </is>
      </c>
      <c r="F677" s="3" t="inlineStr">
        <is>
          <t>01.09.22 13:00</t>
        </is>
      </c>
      <c r="G677" t="inlineStr">
        <is>
          <t>Ханты-Мансийский Автономный округ - Югра, р-н. Белоярский, г. Белоярский, Промзона-2, №15/4</t>
        </is>
      </c>
      <c r="H677" s="4" t="n">
        <v>860000</v>
      </c>
      <c r="I677" s="4" t="n">
        <v>6013.986013986014</v>
      </c>
      <c r="J677" t="inlineStr">
        <is>
          <t xml:space="preserve">здание, </t>
        </is>
      </c>
      <c r="K677" s="5" t="n">
        <v>11.3</v>
      </c>
      <c r="L677" s="10" t="n"/>
      <c r="M677" t="n">
        <v>532</v>
      </c>
      <c r="N677" s="6" t="n">
        <v>61677</v>
      </c>
      <c r="O677" t="inlineStr">
        <is>
          <t>0</t>
        </is>
      </c>
      <c r="P677" s="21" t="n">
        <v>1.697472915000894</v>
      </c>
      <c r="Q677" t="inlineStr">
        <is>
          <t>EA</t>
        </is>
      </c>
      <c r="R677" t="inlineStr">
        <is>
          <t>М</t>
        </is>
      </c>
      <c r="S677" s="2">
        <f>HYPERLINK("https://yandex.ru/maps/?&amp;text=63.697294, 66.75933", "63.697294, 66.75933")</f>
        <v/>
      </c>
      <c r="T677" s="11">
        <f>HYPERLINK("D:\venv_torgi\env\cache\objs_in_district/63.697294_66.75933.json", "63.697294_66.75933.json")</f>
        <v/>
      </c>
      <c r="U677" t="inlineStr">
        <is>
          <t xml:space="preserve">86:06:0020117:169, </t>
        </is>
      </c>
      <c r="V677" s="7" t="inlineStr">
        <is>
          <t>1</t>
        </is>
      </c>
      <c r="W677" s="20" t="n">
        <v>16222.56438392146</v>
      </c>
      <c r="X677" s="22" t="n">
        <v>10208.57836993544</v>
      </c>
      <c r="Y677" t="n">
        <v>0</v>
      </c>
    </row>
    <row r="678">
      <c r="A678" s="8" t="n">
        <v>676</v>
      </c>
      <c r="B678" t="n">
        <v>86</v>
      </c>
      <c r="C678" s="1" t="n">
        <v>107.4</v>
      </c>
      <c r="D678" s="2">
        <f>HYPERLINK("https://torgi.gov.ru/new/public/lots/lot/21000034510000000105_1/(lotInfo:info)", "21000034510000000105_1")</f>
        <v/>
      </c>
      <c r="E678" t="inlineStr">
        <is>
          <t>Проведение продажи на аукционе земельного участка общей площадью 123 кв. м, кадастровый номер 86:10:0101164:930, РНФИ П11840003667, адрес: Ханты-Мансийский автономный округ - Югра, город Сургут, улица Индустриальная, (8 промузел), участок 1, с расположенным на нем объектом недвижимого имущества – нежилое здание, площадь 107,4 кв. м., кадастровый номер 86:10:0101000:4494, РНФИ П12840000540</t>
        </is>
      </c>
      <c r="F678" s="3" t="inlineStr">
        <is>
          <t>09.09.22 13:00</t>
        </is>
      </c>
      <c r="G678" t="inlineStr">
        <is>
          <t>Ханты-Мансийский автономный округ - Югра, город Сургут, улица Индустриальная, 8 , участок 1</t>
        </is>
      </c>
      <c r="H678" s="4" t="n">
        <v>1094000</v>
      </c>
      <c r="I678" s="4" t="n">
        <v>10186.21973929236</v>
      </c>
      <c r="J678" t="inlineStr">
        <is>
          <t xml:space="preserve">здание, </t>
        </is>
      </c>
      <c r="K678" s="5" t="n">
        <v>1.51</v>
      </c>
      <c r="L678" s="4" t="n">
        <v>783.54</v>
      </c>
      <c r="M678" t="n">
        <v>6732</v>
      </c>
      <c r="N678" s="6" t="n">
        <v>373940</v>
      </c>
      <c r="O678" t="n">
        <v>13</v>
      </c>
      <c r="P678" s="21" t="n">
        <v>1.637512158334392</v>
      </c>
      <c r="Q678" t="inlineStr">
        <is>
          <t>EA</t>
        </is>
      </c>
      <c r="R678" t="inlineStr">
        <is>
          <t>М</t>
        </is>
      </c>
      <c r="S678" s="2">
        <f>HYPERLINK("https://yandex.ru/maps/?&amp;text=61.284067, 73.383313", "61.284067, 73.383313")</f>
        <v/>
      </c>
      <c r="T678" s="2">
        <f>HYPERLINK("D:\venv_torgi\env\cache\objs_in_district/61.284067_73.383313.json", "61.284067_73.383313.json")</f>
        <v/>
      </c>
      <c r="U678" t="inlineStr">
        <is>
          <t xml:space="preserve">86:10:0101164:930, </t>
        </is>
      </c>
      <c r="V678" s="7" t="inlineStr">
        <is>
          <t>1</t>
        </is>
      </c>
      <c r="W678" s="20" t="n">
        <v>26866.27840984939</v>
      </c>
      <c r="X678" s="22" t="n">
        <v>16680.05867055703</v>
      </c>
      <c r="Y678" t="n">
        <v>0</v>
      </c>
    </row>
    <row r="679">
      <c r="A679" s="8" t="n">
        <v>677</v>
      </c>
      <c r="B679" t="n">
        <v>89</v>
      </c>
      <c r="C679" s="1" t="n">
        <v>38.5</v>
      </c>
      <c r="D679" s="2">
        <f>HYPERLINK("https://torgi.gov.ru/new/public/lots/lot/22000043470000000006_1/(lotInfo:info)", "22000043470000000006_1")</f>
        <v/>
      </c>
      <c r="E679" t="inlineStr">
        <is>
          <t>Согласно приложению № 1 к информационному сообщению</t>
        </is>
      </c>
      <c r="F679" s="3" t="inlineStr">
        <is>
          <t>06.09.22 04:00</t>
        </is>
      </c>
      <c r="G679" t="inlineStr">
        <is>
          <t>Ямало-Ненецкий автономный округ, городской округ город Лабытнанги,пгт. Харп,  кв-л Северный, д. 3</t>
        </is>
      </c>
      <c r="H679" s="4" t="n">
        <v>2303000</v>
      </c>
      <c r="I679" s="4" t="n">
        <v>59818.18181818182</v>
      </c>
      <c r="J679" t="inlineStr">
        <is>
          <t>Нежилое помещение</t>
        </is>
      </c>
      <c r="K679" s="5" t="n">
        <v>56.33</v>
      </c>
      <c r="L679" s="4" t="n">
        <v>4601.38</v>
      </c>
      <c r="M679" t="n">
        <v>1062</v>
      </c>
      <c r="N679" s="6" t="n">
        <v>26211</v>
      </c>
      <c r="O679" t="n">
        <v>13</v>
      </c>
      <c r="Q679" t="inlineStr">
        <is>
          <t>PP</t>
        </is>
      </c>
      <c r="R679" t="inlineStr">
        <is>
          <t>М</t>
        </is>
      </c>
      <c r="S679" s="2">
        <f>HYPERLINK("https://yandex.ru/maps/?&amp;text=66.820448, 65.806365", "66.820448, 65.806365")</f>
        <v/>
      </c>
      <c r="T679" s="2">
        <f>HYPERLINK("D:\venv_torgi\env\cache\objs_in_district/66.820448_65.806365.json", "66.820448_65.806365.json")</f>
        <v/>
      </c>
      <c r="U679" t="inlineStr">
        <is>
          <t>89:09:110402:302</t>
        </is>
      </c>
      <c r="V679" s="7" t="inlineStr">
        <is>
          <t>1</t>
        </is>
      </c>
      <c r="W679" s="20" t="n">
        <v>25999.90717260928</v>
      </c>
      <c r="X679" s="23" t="n">
        <v>-33818.27464557254</v>
      </c>
      <c r="Y679" t="n">
        <v>0</v>
      </c>
    </row>
  </sheetData>
  <autoFilter ref="A1:T1000"/>
  <conditionalFormatting sqref="F1:F1000">
    <cfRule type="timePeriod" priority="4" dxfId="3" timePeriod="nextWeek">
      <formula>AND(ROUNDDOWN(F1,0)-TODAY()&gt;(7-WEEKDAY(TODAY())),ROUNDDOWN(F1,0)-TODAY()&lt;(15-WEEKDAY(TODAY())))</formula>
    </cfRule>
    <cfRule type="timePeriod" priority="5" dxfId="3" timePeriod="thisWeek">
      <formula>AND(TODAY()-ROUNDDOWN(F1,0)&lt;=WEEKDAY(TODAY())-1,ROUNDDOWN(F1,0)-TODAY()&lt;=7-WEEKDAY(TODAY()))</formula>
    </cfRule>
  </conditionalFormatting>
  <conditionalFormatting sqref="I1:I1000">
    <cfRule type="cellIs" priority="2" operator="between" dxfId="0">
      <formula>1</formula>
      <formula>10000</formula>
    </cfRule>
  </conditionalFormatting>
  <conditionalFormatting sqref="J1:K1000">
    <cfRule type="cellIs" priority="3" operator="between" dxfId="0">
      <formula>0.1</formula>
      <formula>10</formula>
    </cfRule>
  </conditionalFormatting>
  <conditionalFormatting sqref="Q1:Q1000">
    <cfRule type="containsText" priority="1" operator="containsText" dxfId="0" text="PP">
      <formula>NOT(ISERROR(SEARCH("PP",Q1)))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2022-08-28T08:09:31Z</dcterms:created>
  <dcterms:modified xsi:type="dcterms:W3CDTF">2022-08-28T08:09:55Z</dcterms:modified>
  <cp:lastModifiedBy>user</cp:lastModifiedBy>
</cp:coreProperties>
</file>