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Sheet1!$A$1:$T$931</definedName>
  </definedNames>
  <calcPr calcId="125725"/>
</workbook>
</file>

<file path=xl/calcChain.xml><?xml version="1.0" encoding="utf-8"?>
<calcChain xmlns="http://schemas.openxmlformats.org/spreadsheetml/2006/main">
  <c r="T490" i="1"/>
  <c r="S490"/>
  <c r="D490"/>
  <c r="T489"/>
  <c r="S489"/>
  <c r="D489"/>
  <c r="T488"/>
  <c r="S488"/>
  <c r="D488"/>
  <c r="T487"/>
  <c r="S487"/>
  <c r="D487"/>
  <c r="T486"/>
  <c r="S486"/>
  <c r="D486"/>
  <c r="T485"/>
  <c r="S485"/>
  <c r="D485"/>
  <c r="T484"/>
  <c r="S484"/>
  <c r="D484"/>
  <c r="T483"/>
  <c r="S483"/>
  <c r="D483"/>
  <c r="T482"/>
  <c r="S482"/>
  <c r="D482"/>
  <c r="T481"/>
  <c r="S481"/>
  <c r="D481"/>
  <c r="T480"/>
  <c r="S480"/>
  <c r="D480"/>
  <c r="T479"/>
  <c r="S479"/>
  <c r="D479"/>
  <c r="T478"/>
  <c r="S478"/>
  <c r="D478"/>
  <c r="T477"/>
  <c r="S477"/>
  <c r="D477"/>
  <c r="T476"/>
  <c r="S476"/>
  <c r="D476"/>
  <c r="T475"/>
  <c r="S475"/>
  <c r="D475"/>
  <c r="T474"/>
  <c r="S474"/>
  <c r="D474"/>
  <c r="T473"/>
  <c r="S473"/>
  <c r="D473"/>
  <c r="T472"/>
  <c r="S472"/>
  <c r="D472"/>
  <c r="T471"/>
  <c r="S471"/>
  <c r="D471"/>
  <c r="T470"/>
  <c r="S470"/>
  <c r="D470"/>
  <c r="T469"/>
  <c r="S469"/>
  <c r="D469"/>
  <c r="T468"/>
  <c r="S468"/>
  <c r="D468"/>
  <c r="T467"/>
  <c r="S467"/>
  <c r="D467"/>
  <c r="T466"/>
  <c r="S466"/>
  <c r="D466"/>
  <c r="T465"/>
  <c r="S465"/>
  <c r="D465"/>
  <c r="T464"/>
  <c r="S464"/>
  <c r="D464"/>
  <c r="T463"/>
  <c r="S463"/>
  <c r="D463"/>
  <c r="T462"/>
  <c r="S462"/>
  <c r="D462"/>
  <c r="T461"/>
  <c r="S461"/>
  <c r="D461"/>
  <c r="T460"/>
  <c r="S460"/>
  <c r="D460"/>
  <c r="T459"/>
  <c r="S459"/>
  <c r="D459"/>
  <c r="T458"/>
  <c r="S458"/>
  <c r="D458"/>
  <c r="T457"/>
  <c r="S457"/>
  <c r="D457"/>
  <c r="T456"/>
  <c r="S456"/>
  <c r="D456"/>
  <c r="T455"/>
  <c r="S455"/>
  <c r="D455"/>
  <c r="T454"/>
  <c r="S454"/>
  <c r="D454"/>
  <c r="T453"/>
  <c r="S453"/>
  <c r="D453"/>
  <c r="T452"/>
  <c r="S452"/>
  <c r="D452"/>
  <c r="T451"/>
  <c r="S451"/>
  <c r="D451"/>
  <c r="T450"/>
  <c r="S450"/>
  <c r="D450"/>
  <c r="T449"/>
  <c r="S449"/>
  <c r="D449"/>
  <c r="T448"/>
  <c r="S448"/>
  <c r="D448"/>
  <c r="T447"/>
  <c r="S447"/>
  <c r="D447"/>
  <c r="T446"/>
  <c r="S446"/>
  <c r="D446"/>
  <c r="T445"/>
  <c r="S445"/>
  <c r="D445"/>
  <c r="T444"/>
  <c r="S444"/>
  <c r="D444"/>
  <c r="T443"/>
  <c r="S443"/>
  <c r="D443"/>
  <c r="T442"/>
  <c r="S442"/>
  <c r="D442"/>
  <c r="T441"/>
  <c r="S441"/>
  <c r="D441"/>
  <c r="T440"/>
  <c r="S440"/>
  <c r="D440"/>
  <c r="T439"/>
  <c r="S439"/>
  <c r="D439"/>
  <c r="T438"/>
  <c r="S438"/>
  <c r="D438"/>
  <c r="T437"/>
  <c r="S437"/>
  <c r="D437"/>
  <c r="T436"/>
  <c r="S436"/>
  <c r="D436"/>
  <c r="T435"/>
  <c r="S435"/>
  <c r="D435"/>
  <c r="T434"/>
  <c r="S434"/>
  <c r="D434"/>
  <c r="T433"/>
  <c r="S433"/>
  <c r="D433"/>
  <c r="T432"/>
  <c r="S432"/>
  <c r="D432"/>
  <c r="T431"/>
  <c r="S431"/>
  <c r="D431"/>
  <c r="T430"/>
  <c r="S430"/>
  <c r="D430"/>
  <c r="T429"/>
  <c r="S429"/>
  <c r="D429"/>
  <c r="T428"/>
  <c r="S428"/>
  <c r="D428"/>
  <c r="T427"/>
  <c r="S427"/>
  <c r="D427"/>
  <c r="T426"/>
  <c r="S426"/>
  <c r="D426"/>
  <c r="T425"/>
  <c r="S425"/>
  <c r="D425"/>
  <c r="T424"/>
  <c r="S424"/>
  <c r="D424"/>
  <c r="T423"/>
  <c r="S423"/>
  <c r="D423"/>
  <c r="T422"/>
  <c r="S422"/>
  <c r="D422"/>
  <c r="T421"/>
  <c r="S421"/>
  <c r="D421"/>
  <c r="T420"/>
  <c r="S420"/>
  <c r="D420"/>
  <c r="T419"/>
  <c r="S419"/>
  <c r="D419"/>
  <c r="T418"/>
  <c r="S418"/>
  <c r="D418"/>
  <c r="T417"/>
  <c r="S417"/>
  <c r="D417"/>
  <c r="T416"/>
  <c r="S416"/>
  <c r="D416"/>
  <c r="T415"/>
  <c r="S415"/>
  <c r="D415"/>
  <c r="T414"/>
  <c r="S414"/>
  <c r="D414"/>
  <c r="T413"/>
  <c r="S413"/>
  <c r="D413"/>
  <c r="T412"/>
  <c r="S412"/>
  <c r="D412"/>
  <c r="T411"/>
  <c r="S411"/>
  <c r="D411"/>
  <c r="T410"/>
  <c r="S410"/>
  <c r="D410"/>
  <c r="T409"/>
  <c r="S409"/>
  <c r="D409"/>
  <c r="T408"/>
  <c r="S408"/>
  <c r="D408"/>
  <c r="T407"/>
  <c r="S407"/>
  <c r="D407"/>
  <c r="T406"/>
  <c r="S406"/>
  <c r="D406"/>
  <c r="T405"/>
  <c r="S405"/>
  <c r="D405"/>
  <c r="T404"/>
  <c r="S404"/>
  <c r="D404"/>
  <c r="T403"/>
  <c r="S403"/>
  <c r="D403"/>
  <c r="T402"/>
  <c r="S402"/>
  <c r="D402"/>
  <c r="T401"/>
  <c r="S401"/>
  <c r="D401"/>
  <c r="T400"/>
  <c r="S400"/>
  <c r="D400"/>
  <c r="T399"/>
  <c r="S399"/>
  <c r="D399"/>
  <c r="T398"/>
  <c r="S398"/>
  <c r="D398"/>
  <c r="T397"/>
  <c r="S397"/>
  <c r="D397"/>
  <c r="T396"/>
  <c r="S396"/>
  <c r="D396"/>
  <c r="T395"/>
  <c r="S395"/>
  <c r="D395"/>
  <c r="T394"/>
  <c r="S394"/>
  <c r="D394"/>
  <c r="T393"/>
  <c r="S393"/>
  <c r="D393"/>
  <c r="T392"/>
  <c r="S392"/>
  <c r="D392"/>
  <c r="T391"/>
  <c r="S391"/>
  <c r="D391"/>
  <c r="T390"/>
  <c r="S390"/>
  <c r="D390"/>
  <c r="T389"/>
  <c r="S389"/>
  <c r="D389"/>
  <c r="T388"/>
  <c r="S388"/>
  <c r="D388"/>
  <c r="T387"/>
  <c r="S387"/>
  <c r="D387"/>
  <c r="T386"/>
  <c r="S386"/>
  <c r="D386"/>
  <c r="T385"/>
  <c r="S385"/>
  <c r="D385"/>
  <c r="T384"/>
  <c r="S384"/>
  <c r="D384"/>
  <c r="T383"/>
  <c r="S383"/>
  <c r="D383"/>
  <c r="T382"/>
  <c r="S382"/>
  <c r="D382"/>
  <c r="T381"/>
  <c r="S381"/>
  <c r="D381"/>
  <c r="T380"/>
  <c r="S380"/>
  <c r="D380"/>
  <c r="T379"/>
  <c r="S379"/>
  <c r="D379"/>
  <c r="T378"/>
  <c r="S378"/>
  <c r="D378"/>
  <c r="T377"/>
  <c r="S377"/>
  <c r="D377"/>
  <c r="T376"/>
  <c r="S376"/>
  <c r="D376"/>
  <c r="T375"/>
  <c r="S375"/>
  <c r="D375"/>
  <c r="T374"/>
  <c r="S374"/>
  <c r="D374"/>
  <c r="T373"/>
  <c r="S373"/>
  <c r="D373"/>
  <c r="T372"/>
  <c r="S372"/>
  <c r="D372"/>
  <c r="T371"/>
  <c r="S371"/>
  <c r="D371"/>
  <c r="T370"/>
  <c r="S370"/>
  <c r="D370"/>
  <c r="T369"/>
  <c r="S369"/>
  <c r="D369"/>
  <c r="T368"/>
  <c r="S368"/>
  <c r="D368"/>
  <c r="T367"/>
  <c r="S367"/>
  <c r="D367"/>
  <c r="T366"/>
  <c r="S366"/>
  <c r="D366"/>
  <c r="T365"/>
  <c r="S365"/>
  <c r="D365"/>
  <c r="T364"/>
  <c r="S364"/>
  <c r="D364"/>
  <c r="T363"/>
  <c r="S363"/>
  <c r="D363"/>
  <c r="T362"/>
  <c r="S362"/>
  <c r="D362"/>
  <c r="T361"/>
  <c r="S361"/>
  <c r="D361"/>
  <c r="T360"/>
  <c r="S360"/>
  <c r="D360"/>
  <c r="T359"/>
  <c r="S359"/>
  <c r="D359"/>
  <c r="T358"/>
  <c r="S358"/>
  <c r="D358"/>
  <c r="T357"/>
  <c r="S357"/>
  <c r="D357"/>
  <c r="T356"/>
  <c r="S356"/>
  <c r="D356"/>
  <c r="T355"/>
  <c r="S355"/>
  <c r="D355"/>
  <c r="T354"/>
  <c r="S354"/>
  <c r="D354"/>
  <c r="T353"/>
  <c r="S353"/>
  <c r="D353"/>
  <c r="T352"/>
  <c r="S352"/>
  <c r="D352"/>
  <c r="T351"/>
  <c r="S351"/>
  <c r="D351"/>
  <c r="T350"/>
  <c r="S350"/>
  <c r="D350"/>
  <c r="T349"/>
  <c r="S349"/>
  <c r="D349"/>
  <c r="T348"/>
  <c r="S348"/>
  <c r="D348"/>
  <c r="T347"/>
  <c r="S347"/>
  <c r="D347"/>
  <c r="T346"/>
  <c r="S346"/>
  <c r="D346"/>
  <c r="T345"/>
  <c r="S345"/>
  <c r="D345"/>
  <c r="T344"/>
  <c r="S344"/>
  <c r="D344"/>
  <c r="T343"/>
  <c r="S343"/>
  <c r="D343"/>
  <c r="T342"/>
  <c r="S342"/>
  <c r="D342"/>
  <c r="T341"/>
  <c r="S341"/>
  <c r="D341"/>
  <c r="T340"/>
  <c r="S340"/>
  <c r="D340"/>
  <c r="T339"/>
  <c r="S339"/>
  <c r="D339"/>
  <c r="T338"/>
  <c r="S338"/>
  <c r="D338"/>
  <c r="T337"/>
  <c r="S337"/>
  <c r="D337"/>
  <c r="T336"/>
  <c r="S336"/>
  <c r="D336"/>
  <c r="T335"/>
  <c r="S335"/>
  <c r="D335"/>
  <c r="T334"/>
  <c r="S334"/>
  <c r="D334"/>
  <c r="T333"/>
  <c r="S333"/>
  <c r="D333"/>
  <c r="T332"/>
  <c r="S332"/>
  <c r="D332"/>
  <c r="T331"/>
  <c r="S331"/>
  <c r="D331"/>
  <c r="T330"/>
  <c r="S330"/>
  <c r="D330"/>
  <c r="T329"/>
  <c r="S329"/>
  <c r="D329"/>
  <c r="T328"/>
  <c r="S328"/>
  <c r="D328"/>
  <c r="T327"/>
  <c r="S327"/>
  <c r="D327"/>
  <c r="T326"/>
  <c r="S326"/>
  <c r="D326"/>
  <c r="T325"/>
  <c r="S325"/>
  <c r="D325"/>
  <c r="T324"/>
  <c r="S324"/>
  <c r="D324"/>
  <c r="T323"/>
  <c r="S323"/>
  <c r="D323"/>
  <c r="T322"/>
  <c r="S322"/>
  <c r="D322"/>
  <c r="T321"/>
  <c r="S321"/>
  <c r="D321"/>
  <c r="T320"/>
  <c r="D320"/>
  <c r="T319"/>
  <c r="S319"/>
  <c r="D319"/>
  <c r="T318"/>
  <c r="S318"/>
  <c r="D318"/>
  <c r="T317"/>
  <c r="S317"/>
  <c r="D317"/>
  <c r="T316"/>
  <c r="S316"/>
  <c r="D316"/>
  <c r="T315"/>
  <c r="S315"/>
  <c r="D315"/>
  <c r="T314"/>
  <c r="S314"/>
  <c r="D314"/>
  <c r="T313"/>
  <c r="S313"/>
  <c r="D313"/>
  <c r="T312"/>
  <c r="S312"/>
  <c r="D312"/>
  <c r="T311"/>
  <c r="S311"/>
  <c r="D311"/>
  <c r="T310"/>
  <c r="S310"/>
  <c r="D310"/>
  <c r="T309"/>
  <c r="S309"/>
  <c r="D309"/>
  <c r="T308"/>
  <c r="S308"/>
  <c r="D308"/>
  <c r="T307"/>
  <c r="S307"/>
  <c r="D307"/>
  <c r="T306"/>
  <c r="S306"/>
  <c r="D306"/>
  <c r="T305"/>
  <c r="S305"/>
  <c r="D305"/>
  <c r="T304"/>
  <c r="S304"/>
  <c r="D304"/>
  <c r="T303"/>
  <c r="S303"/>
  <c r="D303"/>
  <c r="T302"/>
  <c r="S302"/>
  <c r="D302"/>
  <c r="T301"/>
  <c r="S301"/>
  <c r="D301"/>
  <c r="T300"/>
  <c r="S300"/>
  <c r="D300"/>
  <c r="T299"/>
  <c r="S299"/>
  <c r="D299"/>
  <c r="T298"/>
  <c r="S298"/>
  <c r="D298"/>
  <c r="T297"/>
  <c r="S297"/>
  <c r="D297"/>
  <c r="T296"/>
  <c r="S296"/>
  <c r="D296"/>
  <c r="T295"/>
  <c r="S295"/>
  <c r="D295"/>
  <c r="T294"/>
  <c r="S294"/>
  <c r="D294"/>
  <c r="T293"/>
  <c r="S293"/>
  <c r="D293"/>
  <c r="D292"/>
  <c r="T291"/>
  <c r="S291"/>
  <c r="D291"/>
  <c r="T290"/>
  <c r="S290"/>
  <c r="D290"/>
  <c r="T289"/>
  <c r="S289"/>
  <c r="D289"/>
  <c r="T288"/>
  <c r="S288"/>
  <c r="D288"/>
  <c r="T287"/>
  <c r="S287"/>
  <c r="D287"/>
  <c r="T286"/>
  <c r="S286"/>
  <c r="D286"/>
  <c r="T285"/>
  <c r="S285"/>
  <c r="D285"/>
  <c r="T284"/>
  <c r="S284"/>
  <c r="D284"/>
  <c r="T283"/>
  <c r="S283"/>
  <c r="D283"/>
  <c r="T282"/>
  <c r="S282"/>
  <c r="D282"/>
  <c r="T281"/>
  <c r="S281"/>
  <c r="D281"/>
  <c r="T280"/>
  <c r="S280"/>
  <c r="D280"/>
  <c r="T279"/>
  <c r="S279"/>
  <c r="D279"/>
  <c r="T278"/>
  <c r="S278"/>
  <c r="D278"/>
  <c r="T277"/>
  <c r="S277"/>
  <c r="D277"/>
  <c r="T276"/>
  <c r="S276"/>
  <c r="D276"/>
  <c r="T275"/>
  <c r="S275"/>
  <c r="D275"/>
  <c r="T274"/>
  <c r="S274"/>
  <c r="D274"/>
  <c r="T273"/>
  <c r="S273"/>
  <c r="D273"/>
  <c r="T272"/>
  <c r="S272"/>
  <c r="D272"/>
  <c r="T271"/>
  <c r="S271"/>
  <c r="D271"/>
  <c r="T270"/>
  <c r="S270"/>
  <c r="D270"/>
  <c r="T269"/>
  <c r="S269"/>
  <c r="D269"/>
  <c r="T268"/>
  <c r="S268"/>
  <c r="D268"/>
  <c r="T267"/>
  <c r="S267"/>
  <c r="D267"/>
  <c r="T266"/>
  <c r="S266"/>
  <c r="D266"/>
  <c r="T265"/>
  <c r="S265"/>
  <c r="D265"/>
  <c r="T264"/>
  <c r="S264"/>
  <c r="D264"/>
  <c r="T263"/>
  <c r="S263"/>
  <c r="D263"/>
  <c r="T262"/>
  <c r="S262"/>
  <c r="D262"/>
  <c r="T261"/>
  <c r="S261"/>
  <c r="D261"/>
  <c r="T260"/>
  <c r="S260"/>
  <c r="D260"/>
  <c r="T259"/>
  <c r="S259"/>
  <c r="D259"/>
  <c r="T258"/>
  <c r="S258"/>
  <c r="D258"/>
  <c r="T257"/>
  <c r="S257"/>
  <c r="D257"/>
  <c r="T256"/>
  <c r="S256"/>
  <c r="D256"/>
  <c r="T255"/>
  <c r="S255"/>
  <c r="D255"/>
  <c r="T254"/>
  <c r="S254"/>
  <c r="D254"/>
  <c r="T253"/>
  <c r="S253"/>
  <c r="D253"/>
  <c r="T252"/>
  <c r="S252"/>
  <c r="D252"/>
  <c r="T251"/>
  <c r="S251"/>
  <c r="D251"/>
  <c r="T250"/>
  <c r="S250"/>
  <c r="D250"/>
  <c r="T249"/>
  <c r="S249"/>
  <c r="D249"/>
  <c r="T248"/>
  <c r="S248"/>
  <c r="D248"/>
  <c r="T247"/>
  <c r="S247"/>
  <c r="D247"/>
  <c r="T246"/>
  <c r="S246"/>
  <c r="D246"/>
  <c r="T245"/>
  <c r="S245"/>
  <c r="D245"/>
  <c r="T244"/>
  <c r="S244"/>
  <c r="D244"/>
  <c r="T243"/>
  <c r="S243"/>
  <c r="D243"/>
  <c r="T242"/>
  <c r="S242"/>
  <c r="D242"/>
  <c r="T241"/>
  <c r="D241"/>
  <c r="T240"/>
  <c r="S240"/>
  <c r="D240"/>
  <c r="T239"/>
  <c r="S239"/>
  <c r="D239"/>
  <c r="T238"/>
  <c r="S238"/>
  <c r="D238"/>
  <c r="T237"/>
  <c r="S237"/>
  <c r="D237"/>
  <c r="T236"/>
  <c r="S236"/>
  <c r="D236"/>
  <c r="T235"/>
  <c r="S235"/>
  <c r="D235"/>
  <c r="T234"/>
  <c r="S234"/>
  <c r="D234"/>
  <c r="T233"/>
  <c r="S233"/>
  <c r="D233"/>
  <c r="T232"/>
  <c r="D232"/>
  <c r="T231"/>
  <c r="S231"/>
  <c r="D231"/>
  <c r="T230"/>
  <c r="S230"/>
  <c r="D230"/>
  <c r="T229"/>
  <c r="S229"/>
  <c r="D229"/>
  <c r="T228"/>
  <c r="S228"/>
  <c r="D228"/>
  <c r="T227"/>
  <c r="S227"/>
  <c r="D227"/>
  <c r="T226"/>
  <c r="S226"/>
  <c r="D226"/>
  <c r="T225"/>
  <c r="S225"/>
  <c r="D225"/>
  <c r="T224"/>
  <c r="D224"/>
  <c r="T223"/>
  <c r="D223"/>
  <c r="T222"/>
  <c r="S222"/>
  <c r="D222"/>
  <c r="T221"/>
  <c r="S221"/>
  <c r="D221"/>
  <c r="T220"/>
  <c r="S220"/>
  <c r="D220"/>
  <c r="T219"/>
  <c r="S219"/>
  <c r="D219"/>
  <c r="T218"/>
  <c r="S218"/>
  <c r="D218"/>
  <c r="T217"/>
  <c r="S217"/>
  <c r="D217"/>
  <c r="T216"/>
  <c r="S216"/>
  <c r="D216"/>
  <c r="T215"/>
  <c r="S215"/>
  <c r="D215"/>
  <c r="T214"/>
  <c r="S214"/>
  <c r="D214"/>
  <c r="T213"/>
  <c r="S213"/>
  <c r="D213"/>
  <c r="T212"/>
  <c r="S212"/>
  <c r="D212"/>
  <c r="T211"/>
  <c r="S211"/>
  <c r="D211"/>
  <c r="T210"/>
  <c r="S210"/>
  <c r="D210"/>
  <c r="T209"/>
  <c r="S209"/>
  <c r="D209"/>
  <c r="T208"/>
  <c r="S208"/>
  <c r="D208"/>
  <c r="T207"/>
  <c r="S207"/>
  <c r="D207"/>
  <c r="T206"/>
  <c r="S206"/>
  <c r="D206"/>
  <c r="T205"/>
  <c r="S205"/>
  <c r="D205"/>
  <c r="T204"/>
  <c r="S204"/>
  <c r="D204"/>
  <c r="T203"/>
  <c r="S203"/>
  <c r="D203"/>
  <c r="T202"/>
  <c r="S202"/>
  <c r="D202"/>
  <c r="T201"/>
  <c r="S201"/>
  <c r="D201"/>
  <c r="T200"/>
  <c r="S200"/>
  <c r="D200"/>
  <c r="T199"/>
  <c r="S199"/>
  <c r="D199"/>
  <c r="T198"/>
  <c r="S198"/>
  <c r="D198"/>
  <c r="T197"/>
  <c r="S197"/>
  <c r="D197"/>
  <c r="T196"/>
  <c r="S196"/>
  <c r="D196"/>
  <c r="T195"/>
  <c r="S195"/>
  <c r="D195"/>
  <c r="T194"/>
  <c r="S194"/>
  <c r="D194"/>
  <c r="T193"/>
  <c r="S193"/>
  <c r="D193"/>
  <c r="T192"/>
  <c r="S192"/>
  <c r="D192"/>
  <c r="T191"/>
  <c r="S191"/>
  <c r="D191"/>
  <c r="T190"/>
  <c r="S190"/>
  <c r="D190"/>
  <c r="T189"/>
  <c r="S189"/>
  <c r="D189"/>
  <c r="T188"/>
  <c r="S188"/>
  <c r="D188"/>
  <c r="T187"/>
  <c r="S187"/>
  <c r="D187"/>
  <c r="T186"/>
  <c r="S186"/>
  <c r="D186"/>
  <c r="T185"/>
  <c r="S185"/>
  <c r="D185"/>
  <c r="T184"/>
  <c r="S184"/>
  <c r="D184"/>
  <c r="T183"/>
  <c r="S183"/>
  <c r="D183"/>
  <c r="T182"/>
  <c r="S182"/>
  <c r="D182"/>
  <c r="T181"/>
  <c r="S181"/>
  <c r="D181"/>
  <c r="T180"/>
  <c r="S180"/>
  <c r="D180"/>
  <c r="T179"/>
  <c r="S179"/>
  <c r="D179"/>
  <c r="T178"/>
  <c r="S178"/>
  <c r="D178"/>
  <c r="T177"/>
  <c r="S177"/>
  <c r="D177"/>
  <c r="T176"/>
  <c r="S176"/>
  <c r="D176"/>
  <c r="T175"/>
  <c r="S175"/>
  <c r="D175"/>
  <c r="T174"/>
  <c r="S174"/>
  <c r="D174"/>
  <c r="T173"/>
  <c r="S173"/>
  <c r="D173"/>
  <c r="T172"/>
  <c r="S172"/>
  <c r="D172"/>
  <c r="T171"/>
  <c r="S171"/>
  <c r="D171"/>
  <c r="T170"/>
  <c r="S170"/>
  <c r="D170"/>
  <c r="T169"/>
  <c r="S169"/>
  <c r="D169"/>
  <c r="T168"/>
  <c r="S168"/>
  <c r="D168"/>
  <c r="T167"/>
  <c r="S167"/>
  <c r="D167"/>
  <c r="T166"/>
  <c r="S166"/>
  <c r="D166"/>
  <c r="T165"/>
  <c r="S165"/>
  <c r="D165"/>
  <c r="T164"/>
  <c r="S164"/>
  <c r="D164"/>
  <c r="T163"/>
  <c r="S163"/>
  <c r="D163"/>
  <c r="T162"/>
  <c r="S162"/>
  <c r="D162"/>
  <c r="T161"/>
  <c r="S161"/>
  <c r="D161"/>
  <c r="T160"/>
  <c r="S160"/>
  <c r="D160"/>
  <c r="T159"/>
  <c r="S159"/>
  <c r="D159"/>
  <c r="T158"/>
  <c r="S158"/>
  <c r="D158"/>
  <c r="T157"/>
  <c r="S157"/>
  <c r="D157"/>
  <c r="T156"/>
  <c r="S156"/>
  <c r="D156"/>
  <c r="T155"/>
  <c r="S155"/>
  <c r="D155"/>
  <c r="T154"/>
  <c r="S154"/>
  <c r="D154"/>
  <c r="T153"/>
  <c r="S153"/>
  <c r="D153"/>
  <c r="T152"/>
  <c r="S152"/>
  <c r="D152"/>
  <c r="T151"/>
  <c r="S151"/>
  <c r="D151"/>
  <c r="T150"/>
  <c r="S150"/>
  <c r="D150"/>
  <c r="T149"/>
  <c r="S149"/>
  <c r="D149"/>
  <c r="T148"/>
  <c r="S148"/>
  <c r="D148"/>
  <c r="T147"/>
  <c r="S147"/>
  <c r="D147"/>
  <c r="T146"/>
  <c r="S146"/>
  <c r="D146"/>
  <c r="T145"/>
  <c r="S145"/>
  <c r="D145"/>
  <c r="T144"/>
  <c r="S144"/>
  <c r="D144"/>
  <c r="T143"/>
  <c r="S143"/>
  <c r="D143"/>
  <c r="T142"/>
  <c r="S142"/>
  <c r="D142"/>
  <c r="T141"/>
  <c r="S141"/>
  <c r="D141"/>
  <c r="T140"/>
  <c r="S140"/>
  <c r="D140"/>
  <c r="T139"/>
  <c r="S139"/>
  <c r="D139"/>
  <c r="T138"/>
  <c r="S138"/>
  <c r="D138"/>
  <c r="T137"/>
  <c r="S137"/>
  <c r="D137"/>
  <c r="T136"/>
  <c r="S136"/>
  <c r="D136"/>
  <c r="T135"/>
  <c r="S135"/>
  <c r="D135"/>
  <c r="T134"/>
  <c r="S134"/>
  <c r="D134"/>
  <c r="T133"/>
  <c r="S133"/>
  <c r="D133"/>
  <c r="T132"/>
  <c r="S132"/>
  <c r="D132"/>
  <c r="T131"/>
  <c r="S131"/>
  <c r="D131"/>
  <c r="T130"/>
  <c r="S130"/>
  <c r="D130"/>
  <c r="T129"/>
  <c r="S129"/>
  <c r="D129"/>
  <c r="T128"/>
  <c r="S128"/>
  <c r="D128"/>
  <c r="T127"/>
  <c r="S127"/>
  <c r="D127"/>
  <c r="T126"/>
  <c r="S126"/>
  <c r="D126"/>
  <c r="T125"/>
  <c r="S125"/>
  <c r="D125"/>
  <c r="T124"/>
  <c r="S124"/>
  <c r="D124"/>
  <c r="T123"/>
  <c r="S123"/>
  <c r="D123"/>
  <c r="T122"/>
  <c r="S122"/>
  <c r="D122"/>
  <c r="T121"/>
  <c r="S121"/>
  <c r="D121"/>
  <c r="T120"/>
  <c r="S120"/>
  <c r="D120"/>
  <c r="T119"/>
  <c r="S119"/>
  <c r="D119"/>
  <c r="T118"/>
  <c r="S118"/>
  <c r="D118"/>
  <c r="T117"/>
  <c r="S117"/>
  <c r="D117"/>
  <c r="T116"/>
  <c r="S116"/>
  <c r="D116"/>
  <c r="T115"/>
  <c r="S115"/>
  <c r="D115"/>
  <c r="T114"/>
  <c r="S114"/>
  <c r="D114"/>
  <c r="T113"/>
  <c r="S113"/>
  <c r="D113"/>
  <c r="T112"/>
  <c r="S112"/>
  <c r="D112"/>
  <c r="T111"/>
  <c r="S111"/>
  <c r="D111"/>
  <c r="T110"/>
  <c r="S110"/>
  <c r="D110"/>
  <c r="T109"/>
  <c r="S109"/>
  <c r="D109"/>
  <c r="T108"/>
  <c r="S108"/>
  <c r="D108"/>
  <c r="T107"/>
  <c r="S107"/>
  <c r="D107"/>
  <c r="T106"/>
  <c r="S106"/>
  <c r="D106"/>
  <c r="T105"/>
  <c r="S105"/>
  <c r="D105"/>
  <c r="T104"/>
  <c r="S104"/>
  <c r="D104"/>
  <c r="T103"/>
  <c r="S103"/>
  <c r="D103"/>
  <c r="T102"/>
  <c r="S102"/>
  <c r="D102"/>
  <c r="T101"/>
  <c r="S101"/>
  <c r="D101"/>
  <c r="T100"/>
  <c r="S100"/>
  <c r="D100"/>
  <c r="T99"/>
  <c r="S99"/>
  <c r="D99"/>
  <c r="T98"/>
  <c r="S98"/>
  <c r="D98"/>
  <c r="T97"/>
  <c r="S97"/>
  <c r="D97"/>
  <c r="T96"/>
  <c r="S96"/>
  <c r="D96"/>
  <c r="T95"/>
  <c r="S95"/>
  <c r="D95"/>
  <c r="T94"/>
  <c r="S94"/>
  <c r="D94"/>
  <c r="T93"/>
  <c r="S93"/>
  <c r="D93"/>
  <c r="T92"/>
  <c r="S92"/>
  <c r="D92"/>
  <c r="T91"/>
  <c r="S91"/>
  <c r="D91"/>
  <c r="T90"/>
  <c r="S90"/>
  <c r="D90"/>
  <c r="T89"/>
  <c r="S89"/>
  <c r="D89"/>
  <c r="T88"/>
  <c r="S88"/>
  <c r="D88"/>
  <c r="T87"/>
  <c r="S87"/>
  <c r="D87"/>
  <c r="T86"/>
  <c r="S86"/>
  <c r="D86"/>
  <c r="T85"/>
  <c r="S85"/>
  <c r="D85"/>
  <c r="T84"/>
  <c r="S84"/>
  <c r="D84"/>
  <c r="T83"/>
  <c r="S83"/>
  <c r="D83"/>
  <c r="T82"/>
  <c r="S82"/>
  <c r="D82"/>
  <c r="T81"/>
  <c r="S81"/>
  <c r="D81"/>
  <c r="T80"/>
  <c r="S80"/>
  <c r="D80"/>
  <c r="T79"/>
  <c r="S79"/>
  <c r="D79"/>
  <c r="T78"/>
  <c r="S78"/>
  <c r="D78"/>
  <c r="T77"/>
  <c r="S77"/>
  <c r="D77"/>
  <c r="T76"/>
  <c r="S76"/>
  <c r="D76"/>
  <c r="T75"/>
  <c r="S75"/>
  <c r="D75"/>
  <c r="T74"/>
  <c r="S74"/>
  <c r="D74"/>
  <c r="T73"/>
  <c r="S73"/>
  <c r="D73"/>
  <c r="T72"/>
  <c r="S72"/>
  <c r="D72"/>
  <c r="T71"/>
  <c r="S71"/>
  <c r="D71"/>
  <c r="T70"/>
  <c r="S70"/>
  <c r="D70"/>
  <c r="T69"/>
  <c r="S69"/>
  <c r="D69"/>
  <c r="T68"/>
  <c r="S68"/>
  <c r="D68"/>
  <c r="T67"/>
  <c r="S67"/>
  <c r="D67"/>
  <c r="T66"/>
  <c r="S66"/>
  <c r="D66"/>
  <c r="T65"/>
  <c r="S65"/>
  <c r="D65"/>
  <c r="T64"/>
  <c r="S64"/>
  <c r="D64"/>
  <c r="T63"/>
  <c r="S63"/>
  <c r="D63"/>
  <c r="T62"/>
  <c r="S62"/>
  <c r="D62"/>
  <c r="T61"/>
  <c r="S61"/>
  <c r="D61"/>
  <c r="T60"/>
  <c r="S60"/>
  <c r="D60"/>
  <c r="T59"/>
  <c r="S59"/>
  <c r="D59"/>
  <c r="T58"/>
  <c r="S58"/>
  <c r="D58"/>
  <c r="T57"/>
  <c r="S57"/>
  <c r="D57"/>
  <c r="T56"/>
  <c r="S56"/>
  <c r="D56"/>
  <c r="T55"/>
  <c r="S55"/>
  <c r="D55"/>
  <c r="T54"/>
  <c r="S54"/>
  <c r="D54"/>
  <c r="T53"/>
  <c r="S53"/>
  <c r="D53"/>
  <c r="T52"/>
  <c r="S52"/>
  <c r="D52"/>
  <c r="T51"/>
  <c r="S51"/>
  <c r="D51"/>
  <c r="T50"/>
  <c r="S50"/>
  <c r="D50"/>
  <c r="T49"/>
  <c r="S49"/>
  <c r="D49"/>
  <c r="T48"/>
  <c r="S48"/>
  <c r="D48"/>
  <c r="T47"/>
  <c r="S47"/>
  <c r="D47"/>
  <c r="T46"/>
  <c r="S46"/>
  <c r="D46"/>
  <c r="T45"/>
  <c r="S45"/>
  <c r="D45"/>
  <c r="T44"/>
  <c r="S44"/>
  <c r="D44"/>
  <c r="T43"/>
  <c r="S43"/>
  <c r="D43"/>
  <c r="T42"/>
  <c r="S42"/>
  <c r="D42"/>
  <c r="T41"/>
  <c r="S41"/>
  <c r="D41"/>
  <c r="T40"/>
  <c r="S40"/>
  <c r="D40"/>
  <c r="T39"/>
  <c r="S39"/>
  <c r="D39"/>
  <c r="T38"/>
  <c r="S38"/>
  <c r="D38"/>
  <c r="T37"/>
  <c r="S37"/>
  <c r="D37"/>
  <c r="T36"/>
  <c r="S36"/>
  <c r="D36"/>
  <c r="T35"/>
  <c r="S35"/>
  <c r="D35"/>
  <c r="T34"/>
  <c r="S34"/>
  <c r="D34"/>
  <c r="T33"/>
  <c r="S33"/>
  <c r="D33"/>
  <c r="T32"/>
  <c r="S32"/>
  <c r="D32"/>
  <c r="T31"/>
  <c r="S31"/>
  <c r="D31"/>
  <c r="T30"/>
  <c r="S30"/>
  <c r="D30"/>
  <c r="T29"/>
  <c r="S29"/>
  <c r="D29"/>
  <c r="T28"/>
  <c r="S28"/>
  <c r="D28"/>
  <c r="T27"/>
  <c r="S27"/>
  <c r="D27"/>
  <c r="T26"/>
  <c r="S26"/>
  <c r="D26"/>
  <c r="T25"/>
  <c r="S25"/>
  <c r="D25"/>
  <c r="T24"/>
  <c r="S24"/>
  <c r="D24"/>
  <c r="T23"/>
  <c r="S23"/>
  <c r="D23"/>
  <c r="T22"/>
  <c r="S22"/>
  <c r="D22"/>
  <c r="T21"/>
  <c r="D21"/>
  <c r="T20"/>
  <c r="S20"/>
  <c r="D20"/>
  <c r="T19"/>
  <c r="S19"/>
  <c r="D19"/>
  <c r="T18"/>
  <c r="S18"/>
  <c r="D18"/>
  <c r="T17"/>
  <c r="S17"/>
  <c r="D17"/>
  <c r="T16"/>
  <c r="S16"/>
  <c r="D16"/>
  <c r="T15"/>
  <c r="S15"/>
  <c r="D15"/>
  <c r="T14"/>
  <c r="S14"/>
  <c r="D14"/>
  <c r="T13"/>
  <c r="S13"/>
  <c r="D13"/>
  <c r="T12"/>
  <c r="S12"/>
  <c r="D12"/>
  <c r="T11"/>
  <c r="S11"/>
  <c r="D11"/>
  <c r="T10"/>
  <c r="S10"/>
  <c r="D10"/>
  <c r="T9"/>
  <c r="S9"/>
  <c r="D9"/>
  <c r="T8"/>
  <c r="S8"/>
  <c r="D8"/>
  <c r="T7"/>
  <c r="D7"/>
  <c r="T6"/>
  <c r="S6"/>
  <c r="D6"/>
  <c r="T5"/>
  <c r="S5"/>
  <c r="D5"/>
  <c r="T4"/>
  <c r="S4"/>
  <c r="D4"/>
  <c r="T3"/>
  <c r="S3"/>
  <c r="D3"/>
  <c r="T2"/>
  <c r="S2"/>
  <c r="D2"/>
</calcChain>
</file>

<file path=xl/sharedStrings.xml><?xml version="1.0" encoding="utf-8"?>
<sst xmlns="http://schemas.openxmlformats.org/spreadsheetml/2006/main" count="4323" uniqueCount="2086">
  <si>
    <t>Регион</t>
  </si>
  <si>
    <t>Общая площадь</t>
  </si>
  <si>
    <t>id</t>
  </si>
  <si>
    <t>Название</t>
  </si>
  <si>
    <t>Окончания подачи заявок</t>
  </si>
  <si>
    <t>Адрес</t>
  </si>
  <si>
    <t>Цена</t>
  </si>
  <si>
    <t>Цена за кв.м</t>
  </si>
  <si>
    <t>Тип объекта</t>
  </si>
  <si>
    <t>Чел/кв.м</t>
  </si>
  <si>
    <t>Ком/кв.м</t>
  </si>
  <si>
    <t>Жителей</t>
  </si>
  <si>
    <t>Жителей в нп</t>
  </si>
  <si>
    <t>Коммерческих объектов</t>
  </si>
  <si>
    <t>Расстояние до почты</t>
  </si>
  <si>
    <t>Форма проведения</t>
  </si>
  <si>
    <t>Имущество</t>
  </si>
  <si>
    <t>Координаты</t>
  </si>
  <si>
    <t>Описание коммерческих объектов</t>
  </si>
  <si>
    <t>Кадастровый номер</t>
  </si>
  <si>
    <t>Этаж</t>
  </si>
  <si>
    <t>Предсказываемая</t>
  </si>
  <si>
    <t>Разница с реальной</t>
  </si>
  <si>
    <t>Отдельный вход</t>
  </si>
  <si>
    <t>Культурное наследие</t>
  </si>
  <si>
    <t>Ремонт</t>
  </si>
  <si>
    <t>Нежилое помещение, Этаж № 1, общей площадью 52,9 кв.м, с кадастровым номером 01:08:0507074:272, по адресу: Республика Адыгея г. Майкоп, ул. Гоголя, д. 19</t>
  </si>
  <si>
    <t>22.04.22 21:00</t>
  </si>
  <si>
    <t>г Майкоп, ул Гоголя, д 19</t>
  </si>
  <si>
    <t>Нежилое помещение</t>
  </si>
  <si>
    <t>141970</t>
  </si>
  <si>
    <t>EA</t>
  </si>
  <si>
    <t>М</t>
  </si>
  <si>
    <t xml:space="preserve">01:08:0507074:272, </t>
  </si>
  <si>
    <t>1</t>
  </si>
  <si>
    <t>Нежилое здание, кадастровый номер 02:36:070121:162, общая площадь- 613 кв. м., адрес объекта- Республика Башкортостан, с. Кушнаренково, ул. Красная, д. 1; земельный участок, кадастровый номер 02:36:070121:378, общая площадь- 4975 кв. м., вид разрешенного использования- для размещения производственных объектов, адрес - Республика Башкортостан, с. Кушнаренково, ул. Красная, д. 1</t>
  </si>
  <si>
    <t>04.03.22 13:00</t>
  </si>
  <si>
    <t>Респ Башкортостан, село Кушнаренково, ул Красная, д 1Б</t>
  </si>
  <si>
    <t>345</t>
  </si>
  <si>
    <t>0</t>
  </si>
  <si>
    <t>PP</t>
  </si>
  <si>
    <t xml:space="preserve">02:36:070121:162, </t>
  </si>
  <si>
    <t>- общая площадь: 491,1 кв.м.,- этажность: двухэтажное,- год постройки: 1917,- материал стен: кирпичные- наличие коммуникаций: отсутствуют.</t>
  </si>
  <si>
    <t>21.06.22 12:00</t>
  </si>
  <si>
    <t>Респ Башкортостан, г Благовещенск, ул Российская, уч 1</t>
  </si>
  <si>
    <t>260765</t>
  </si>
  <si>
    <t>02:69:010101:134</t>
  </si>
  <si>
    <t>Лот№9: Нежилое здание, площадью 1461,4 кв.м., кадастровый № 02:67:010302:247, нежилое здание, площадью 848,3 кв.м., кадастровый № 02:67:010302:246, нежилое помещение, площадью 641,8 кв.м., кадастровый № 02:67:010304:660, право аренды земельного участка, площадью 15518 кв.м., кадастровый номер 02:67:010302:25, адрес – Республика Башкортостан, р-н. Учалинский, г. Учалы, ул. Горнозаводская, д. 26, собственник (правообладатель) – ООО «Светлый Дом Плюс». Обременение: арест, залог, запрещ. регистрации. Начальная цена: 9597010,00 руб. Сумма задатка: 479850.50 руб. Шаг аукциона (1% от начальной цены) – 95970,10руб.</t>
  </si>
  <si>
    <t>07.08.22 20:59</t>
  </si>
  <si>
    <t>Респ Башкортостан, г Учалы, ул Горнозаводская, д 26</t>
  </si>
  <si>
    <t>35222</t>
  </si>
  <si>
    <t>Д</t>
  </si>
  <si>
    <t xml:space="preserve">02:67:010302:247, </t>
  </si>
  <si>
    <t>-нежилое помещение, площадью 38,8 кв.м. кадастровый №02:71:020117:106, расположенное: РБ, г. Давлеканово, ул. Карла Маркса, д.39,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помещение, площадью 185,6 кв.м. кадастровый №02:71:020117:86, расположенные: РБ, г. Давлеканово, ул. Карла Маркса, д.39,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участком, общей площадью 649 кв.м., кадастровый №02:71:020115:162, 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адрес:РБ, г.Давлеканово, ул. Карла Маркса,39А</t>
  </si>
  <si>
    <t>18.03.22 12:00</t>
  </si>
  <si>
    <t>Респ Башкортостан, г Давлеканово, ул Карла Маркса, уч 39А</t>
  </si>
  <si>
    <t>торговое</t>
  </si>
  <si>
    <t>23662</t>
  </si>
  <si>
    <t xml:space="preserve">02:71:020117:106, </t>
  </si>
  <si>
    <t>- Нежилое здание (склад), - кадастровый номер: 02:47:000000:7304, площадью 50,2 кв.м.;- Нежилое здание (бильярдная) - кадастровый номер: 02:47:000000:2953, площадью 110,4 кв.м.;- Нежилое здание (домик №1) - кадастровый номер: 02:47:000000:2955, площадью 62,5 кв.м.;- Нежилое здание (домик №2) - кадастровый номер: 02:47:000000:2956, площадью 80,0 кв.м.;- Нежилое здание (домик №3) - кадастровый номер: 02:47:000000:3010, площадью 78,8 кв.м.;- Нежилое здание (домик №5) - кадастровый номер: 02:47:000000:2957, площадью 75,0 кв.м.;- Нежилое здание (домик №6) - кадастровый номер: 02:47:0000008165, площадью 85,0 кв.м.;- Нежилое здание (домик №7) - кадастровый номер: 02:47:000000:2959, площадью 85,0 кв.м.;- Нежилое здание (домик №9) - кадастровый номер: 02:47:000000:2960, площадью 78,1 кв.м.</t>
  </si>
  <si>
    <t>28.07.22 06:00</t>
  </si>
  <si>
    <t>Уфимский район, административные границы сельского поселения Ольховский сельсовет МР Уфимский район  РБ</t>
  </si>
  <si>
    <t xml:space="preserve">02:47:000000:7304, </t>
  </si>
  <si>
    <t>Лот№26(повторно): Нежилое помещение, площадью 283,70 кв.м., Республика Башкортостан, г. Стерлитамак, ул. Николаева, д. 118, кадастровый №02:56:040204:642. Собственник (правообладатель) – Саргсян Рубен Рафаелович. Обременение: арест. Начальная цена: 3 323 500,00 руб. Сумма задатка: 830 875,00 руб. Шаг аукциона (1% от начальной цены): 33 235,00 руб.</t>
  </si>
  <si>
    <t>17.07.22 20:59</t>
  </si>
  <si>
    <t>Респ Башкортостан, г Стерлитамак, ул Николаева, д 118А</t>
  </si>
  <si>
    <t>280233</t>
  </si>
  <si>
    <t>02:56:040204:642</t>
  </si>
  <si>
    <t>Нежилые помещения с кадастровым номером 02:57:010206:213, общей площадью 574,2 кв.м. на первом этаже четырехэтажного жилого здания, расположенных по адресу: Республика Башкортостан, г. Октябрьский, ул. Лермонтова, д. 6</t>
  </si>
  <si>
    <t>13.03.22 12:30</t>
  </si>
  <si>
    <t>Респ Башкортостан, г Октябрьский, ул Лермонтова, д 6</t>
  </si>
  <si>
    <t>113827</t>
  </si>
  <si>
    <t xml:space="preserve">02:57:010206:213, </t>
  </si>
  <si>
    <t>нежилые помещения с кадастровым номером 02:70:010901:954, площадью 347,1 кв.м., цокольный этаж № б/н</t>
  </si>
  <si>
    <t>30.05.22 15:00</t>
  </si>
  <si>
    <t>Респ Башкортостан, г Дюртюли, ул Первомайская, д 1</t>
  </si>
  <si>
    <t>30969</t>
  </si>
  <si>
    <t xml:space="preserve">02:70:010901:954, </t>
  </si>
  <si>
    <t>Аукцион в электронной форме по продаже муниципального имущества: нежилое помещение, первого этажа пятиэтажного жилого дома, площадью 31,3 кв.м, расположенное по адресу: Республика Башкортостан, Белебеевский район, г. Белебей, ул. Красная, д.95, кадастровый номер 02:63:011514:1014.</t>
  </si>
  <si>
    <t>20.02.22 15:30</t>
  </si>
  <si>
    <t>Респ Башкортостан, г Белебей, ул Красная, д 95</t>
  </si>
  <si>
    <t>59123</t>
  </si>
  <si>
    <t>02:63:011514:1014</t>
  </si>
  <si>
    <t>(повторно): Нежилое помещение, площадью 98,7 кв.м., адрес - Республика Башкортостан, р-н. Янаульский, г. Янаул, ул. Ленина, д. 6, кадастровый №02:72:020119:440. Собственник (правообладатель) – Зайдуллин Роберт Сулейманович. Обременение: арест. Начальная стоимость: 3 271 055,00 руб. Сумма задатка: 817 763,75 руб. Шаг аукциона (1% от начальной цены): 32 710,55 руб.</t>
  </si>
  <si>
    <t>12.06.22 20:59</t>
  </si>
  <si>
    <t>Респ Башкортостан, г Янаул, ул Ленина, д 6</t>
  </si>
  <si>
    <t>25747</t>
  </si>
  <si>
    <t>02:72:020119:440</t>
  </si>
  <si>
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общей площадью 20,8 кв.м (кадастровый номер 02:65:011227:561) на I этаже 5-этажного жилого дома, расположенное по адресу: Республика Башкортостан, г.Туймазы, ул.Островского, д.51.</t>
  </si>
  <si>
    <t>26.05.22 15:00</t>
  </si>
  <si>
    <t>Респ Башкортостан, г Туймазы, ул Островского, д 51, офис 5</t>
  </si>
  <si>
    <t>68410</t>
  </si>
  <si>
    <t>02:65:011227:561</t>
  </si>
  <si>
    <t>часть встроенного нежилого помещения на первом этаже в пятиэтажном жилом доме, номер на поэтажном плане №31, общей площадью 13,7 кв.м, кадастровый номер 02:63:011516:490, расположенное по адресу: Республика Башкортостан, Белебеевский район, г. Белебей, ул. им. М.Г. Амирова, д.2.</t>
  </si>
  <si>
    <t>15.06.22 15:30</t>
  </si>
  <si>
    <t>Респ Башкортостан, г Белебей, ул им М.Г. Амирова, д 2</t>
  </si>
  <si>
    <t xml:space="preserve">02:63:011516:490, </t>
  </si>
  <si>
    <t>Нежилое помещение, этаж 1, назначение: торгово-офисное, материал стен – каменные кирпичные, коммуникации – есть, отдельный вход - есть, отделка/состояние - стандартная</t>
  </si>
  <si>
    <t>11.05.22 12:00</t>
  </si>
  <si>
    <t>Респ Башкортостан, г Давлеканово, ул Молодежная, д 8 к 2</t>
  </si>
  <si>
    <t>торгово</t>
  </si>
  <si>
    <t>351</t>
  </si>
  <si>
    <t xml:space="preserve">02:71:040209:502, </t>
  </si>
  <si>
    <t>Нежилое помещение, общей площадью 114 кв.м, с кадастровым номером 02:65:011206:451, расположенного по адресу: Республика Башкортостан, Туймазинский район, г.Туймазы, ул.Гагарина, д.39, номер на этаже 4</t>
  </si>
  <si>
    <t>22.03.22 07:00</t>
  </si>
  <si>
    <t>Респ Башкортостан, г Туймазы, ул Гагарина, зд 39</t>
  </si>
  <si>
    <t xml:space="preserve">02:65:011206:451, </t>
  </si>
  <si>
    <t>4</t>
  </si>
  <si>
    <t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Адрес (местонахождение) объекта: Республика Башкортостан, г. Уфа, Ленинский район, ул. Ленина, д. 9/11Кадастровый номер: 02:55:010205:423. Площадь: 29,1 кв. м.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</si>
  <si>
    <t>29.06.22 19:00</t>
  </si>
  <si>
    <t>г Уфа, ул Ленина, д 9/11</t>
  </si>
  <si>
    <t>02:55:010205:423</t>
  </si>
  <si>
    <t>Здание, назначение: нежилое здание, наименование: овощехранилище, количество этажей - 1, в том числе подземных этажей - 1, площадь 667 кв. м, кадастровый номер 03:24:034301:497 и земельный участок с кадастровым номером 03:24:034301:689 площадью 6359 кв. м. (местоположение: Республика Бурятия, г. Улан-Удэ, ст. Медведчиково, д. 17а).</t>
  </si>
  <si>
    <t>24.02.22 02:00</t>
  </si>
  <si>
    <t>г Улан-Удэ, мкр Медведчиково</t>
  </si>
  <si>
    <t>81</t>
  </si>
  <si>
    <t xml:space="preserve">03:24:034301:497 </t>
  </si>
  <si>
    <t>Нежилое помещение № 34, общей площадью 20,6 кв.м, расположенное на 3 этаже многоквартирного дома, по адресу: Республика Бурятия, г. Северобайкальск, ул. Ленинградская д.12.кадастровый номер 03:23:010560:294.</t>
  </si>
  <si>
    <t>12.04.22 06:00</t>
  </si>
  <si>
    <t>Респ Бурятия, г Северобайкальск, ул Ленинградская, д 12</t>
  </si>
  <si>
    <t>23365</t>
  </si>
  <si>
    <t>03:23:010560:294</t>
  </si>
  <si>
    <t>3</t>
  </si>
  <si>
    <t>Нежилое помещение, площадь 104,2 кв. м., этаж 2-й, кадастровый номер: 05:40:000047:1440, местоположение: Республика Дагестан, г. Махачкала, ул. Дзержинского, д. 6, помещение 20, стоимость 3 145 680 руб., задаток 157 284 руб.;</t>
  </si>
  <si>
    <t>16.06.22 15:00</t>
  </si>
  <si>
    <t>г Махачкала, ул Дзержинского, д 6</t>
  </si>
  <si>
    <t>597316</t>
  </si>
  <si>
    <t xml:space="preserve">05:40:000047:1440, </t>
  </si>
  <si>
    <t>2</t>
  </si>
  <si>
    <t>Нежилое помещение, находящееся в муниципальной собственности городского поселения Майский общей площадью 66,8 кв.м, с кадастровым номером 07:03:0700000:2491, расположенное по адресу: КБР, Майский р-н, г. Майский, ул. Советская, д. 45.Фундамент: ленточно – бетонный; стены и их наружная отделка: шлакоблочные; перекрытия чердачные: железобетонные; полы: деревянные, линолеум; проемы: основные-двойные створные, дверные-металлические; внутренняя отделка: штукатурка, побелка. Отопление центральное, проводка скрытая, вентиляция естественная.</t>
  </si>
  <si>
    <t>11.05.22 13:00</t>
  </si>
  <si>
    <t>г. Майский</t>
  </si>
  <si>
    <t xml:space="preserve">07:03:0700000:2491, </t>
  </si>
  <si>
    <t>встроенное нежилое помещение (кадастровый номер 10:20:0000000:9132), общей площадью 30,6 кв.м., расположенное на первом этаже здания по адресу: Республика Карелия, Прионежский район, д. Педасельга, д. 1</t>
  </si>
  <si>
    <t>11.05.22 07:00</t>
  </si>
  <si>
    <t>Респ Карелия, Прионежский р-н, деревня Педасельга, д 1</t>
  </si>
  <si>
    <t>143</t>
  </si>
  <si>
    <t>10:20:0000000:9132</t>
  </si>
  <si>
    <t>нежилое помещение (кадастровый номер 10:12:0051002:158), общей площадью 228,9 кв.м., расположенное на первом этаже здания по адресу: Республика Карелия, р-н Лахденпохский, п Ласанен, ул Ленинградская, д 2</t>
  </si>
  <si>
    <t>01.08.22 07:00</t>
  </si>
  <si>
    <t>Респ Карелия, Лахденпохский р-н, поселок Ласанен, ул Ленинградская, д 2</t>
  </si>
  <si>
    <t>45</t>
  </si>
  <si>
    <t>10:12:0051002:158</t>
  </si>
  <si>
    <t>Нежилое помещение с кадастровым номером 10:01:0120109:2933, общей площадью 17,0 кв.м, расположенное на первом этаже многоквартирного дома</t>
  </si>
  <si>
    <t>15.03.22 12:00</t>
  </si>
  <si>
    <t>г Петрозаводск, р-н Древлянка, ул Хейкконена, д 12</t>
  </si>
  <si>
    <t>277111</t>
  </si>
  <si>
    <t xml:space="preserve">10:01:0120109:2933, </t>
  </si>
  <si>
    <t>нежилые помещения (кадастровый номер 10:07:0010121:139, № 1, 2, 16, 18, 19, 20, 21, 25 на поэтажном плане), общей площадью 94,1 кв.м., расположенные на втором этаже здания по адресу: Республика Карелия, г. Сортавала, ул. Вяйнемяйнена, д. 6, пом.1,2,3,16-21,24</t>
  </si>
  <si>
    <t>11.04.22 07:00</t>
  </si>
  <si>
    <t>Респ Карелия, г Сортавала, ул Вяйнемяйнена, д 6, помещ 1</t>
  </si>
  <si>
    <t>18762</t>
  </si>
  <si>
    <t xml:space="preserve">10:07:0010121:139, </t>
  </si>
  <si>
    <t>нежилое помещение (кадастровый номер 10:07:0010121:158, №9 на поэтажном плане), общей площадью 15,6 кв.м, расположенное по адресу: Республика Карелия, г. Сортавала, ул. Вяйнемяйнена, д. 6, пом. 9, и нежилое помещение (кадастровый номер 10:07:0010121:159, №10 на поэтажном плане), общей площадью 16,5 кв.м, расположенное по адресу: Республика Карелия, г. Сортавала, ул. Вяйнемяйнена, д. 6, пом. 10</t>
  </si>
  <si>
    <t>18.07.22 07:00</t>
  </si>
  <si>
    <t>Респ Карелия, г Сортавала, ул Вяйнемяйнена, д 6</t>
  </si>
  <si>
    <t xml:space="preserve">10:07:0010121:158, </t>
  </si>
  <si>
    <t>Нежилое помещение, площадью 34,7 кв. м., с кадастровым номером 11:20:0602009:3738</t>
  </si>
  <si>
    <t>26.05.22 07:00</t>
  </si>
  <si>
    <t>Респ Коми, г Ухта, проезд Строителей, д 13, кв 17</t>
  </si>
  <si>
    <t>96141</t>
  </si>
  <si>
    <t>11:20:0602009:3738</t>
  </si>
  <si>
    <t>Нежилое помещение, назначение - нежилое, 1-этажный, площадь –166,7кв. м, кадастровый номер 12:05:3501001:1537, местоположение: Республика Марий Эл, Медведевский район, Кундышское сельское поселение, п. Силикатный, ул. Комсомольская, д.5, пом. 1-12.</t>
  </si>
  <si>
    <t>27.06.22 14:00</t>
  </si>
  <si>
    <t>Респ Марий Эл, Медведевский р-н, поселок Силикатный, ул Комсомольская, д 5</t>
  </si>
  <si>
    <t>1741</t>
  </si>
  <si>
    <t xml:space="preserve">12:05:3501001:1537, </t>
  </si>
  <si>
    <t>Помещение, назначение: нежилое, общая площадь - 676,4 кв. м, этаж 1, номера на поэтажном плане поз. 1 - 13, 15 - 22, кадастровый номер: 12:05:0000000:12935, местоположение: Республика Марий Эл, г. Йошкар-Ола, ул. Красноармейская, д. 103а</t>
  </si>
  <si>
    <t>11.07.22 14:30</t>
  </si>
  <si>
    <t>г Йошкар-Ола, ул Красноармейская, д 103А</t>
  </si>
  <si>
    <t>268277</t>
  </si>
  <si>
    <t xml:space="preserve">12:05:0000000:12935, </t>
  </si>
  <si>
    <t>Помещение №2 нежилого здания, кадастровый номер помещения 12:04:0000000:8964, назначение помещения- нежилое, площадь – 211,66 кв. м, местоположение: Республика Марий Эл, Медведевский район, Пекшиксолинское сельское поселение, п. Новый, ул. Сельская, д.1</t>
  </si>
  <si>
    <t>15.04.22 14:00</t>
  </si>
  <si>
    <t>Респ Марий Эл, Медведевский р-н, поселок Новый, ул Сельская, д 1</t>
  </si>
  <si>
    <t>282</t>
  </si>
  <si>
    <t xml:space="preserve">12:04:0000000:8964, </t>
  </si>
  <si>
    <t>Нежилое помещение площадью 141 кв.м., кад. № 12:05:0702001:718, расположено по адресу: РМЭ, г. Йошкар-Ола, ул. Мира д.70, принадлежащее Гаврилову М.В.</t>
  </si>
  <si>
    <t>24.05.22 14:00</t>
  </si>
  <si>
    <t>г Йошкар-Ола, ул Мира, д 70</t>
  </si>
  <si>
    <t xml:space="preserve">12:05:0702001:718, </t>
  </si>
  <si>
    <t>Краткая характеристика помещения: год постройки – 1972. Площадь – 82,8 кв.м,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</si>
  <si>
    <t>20.06.22 12:00</t>
  </si>
  <si>
    <t>г Саранск, ул М.Расковой, д 31</t>
  </si>
  <si>
    <t>318578</t>
  </si>
  <si>
    <t>Нежилое помещение, общая площадь 116,9 кв.м., кад.№14:36:104003:5003, адрес: г.Якутск, ул.Жорницкого, д.7/10А. Собственник Егорова М.А.</t>
  </si>
  <si>
    <t>21.06.22 09:00</t>
  </si>
  <si>
    <t>г Якутск, ул Жорницкого, д 7/10А</t>
  </si>
  <si>
    <t>318768</t>
  </si>
  <si>
    <t xml:space="preserve">14:36:104003:5003, </t>
  </si>
  <si>
    <t>помещения 1 этажа по ул.Маяковского, д.8, пом.1000, Площадь – 124,9кв.м, кадастровый номер 16:50:011104:379</t>
  </si>
  <si>
    <t>г Казань, ул Маяковского, зд 9/8, помещ 1000</t>
  </si>
  <si>
    <t>1205651</t>
  </si>
  <si>
    <t>16:50:011104:379</t>
  </si>
  <si>
    <t>Нежилое помещение (ЖЭУ 10) с кадастровым номером 16:45:010116:3796, расположенное на 1 этаже. Балансодержатель (продавец): Муниципальное унитарное предприятие «Управление ресурсами»</t>
  </si>
  <si>
    <t>25.05.22 06:00</t>
  </si>
  <si>
    <t>Респ Татарстан, г Альметьевск, ул Гафиатуллина, д 49, помещ 100001</t>
  </si>
  <si>
    <t>151157</t>
  </si>
  <si>
    <t xml:space="preserve">16:45:010116:3796, </t>
  </si>
  <si>
    <t>помещения 1 этажа по ул.Профсоюзная, д.12, пом.1017, Площадь – 114,2 кв.м, кадастровый номер 16:50:010209:109</t>
  </si>
  <si>
    <t>г Казань, ул Профсоюзная, д 12, помещ 1017</t>
  </si>
  <si>
    <t>16:50:010209:109</t>
  </si>
  <si>
    <t>помещения 1 этажа по ул.Энергетиков, д.3, пом.1101, Площадь – 22,4 кв.м, кадастровый номер 16:50:100419:1277</t>
  </si>
  <si>
    <t>г Казань, ул Энергетиков, д 3, помещ 1101</t>
  </si>
  <si>
    <t>16:50:100419:1277</t>
  </si>
  <si>
    <t>помещения 1 этажа по ул.Волгоградская, д.1, пом.1141, Площадь - 58,8 кв.м, кадастровый номер 16:50:100425:3406</t>
  </si>
  <si>
    <t>07.03.22 09:00</t>
  </si>
  <si>
    <t>г Казань, ул Волгоградская, д 1, помещ 1141</t>
  </si>
  <si>
    <t>16:50:100425:3406</t>
  </si>
  <si>
    <t>нежилое помещение, общей площадью 46,3 кв.м., этаж № цокольный, расположенное по адресу: Удмуртская Республика, г. Сарапул, ул. Азина, д. 62, кадастровый номер 18:30:000010:276</t>
  </si>
  <si>
    <t>01.07.22 12:30</t>
  </si>
  <si>
    <t>Удмуртская Респ, г Сарапул, ул Азина, д 62</t>
  </si>
  <si>
    <t>96361</t>
  </si>
  <si>
    <t>18:30:000010:276</t>
  </si>
  <si>
    <t>Нежилое помещение (назначение: нежилое помещение, площадь 51,4 кв.м, этаж 2)</t>
  </si>
  <si>
    <t>14.06.22 13:00</t>
  </si>
  <si>
    <t>Удмуртская Респ, г Воткинск, ул Ленина, д 18</t>
  </si>
  <si>
    <t>97345</t>
  </si>
  <si>
    <t>18:27:030609:194</t>
  </si>
  <si>
    <t>общая площадь 29,1 кв.м., кадастровый номеро 19:09:010103:969</t>
  </si>
  <si>
    <t>12.07.22 10:00</t>
  </si>
  <si>
    <t>Респ Хакасия, г Абаза, ул Кулакова, д 3, помещ 101н</t>
  </si>
  <si>
    <t>15210</t>
  </si>
  <si>
    <t>19:09:010103:969</t>
  </si>
  <si>
    <t>продажа имущества, находящегося в собственности Чеченской Республики</t>
  </si>
  <si>
    <t>05.05.22 15:00</t>
  </si>
  <si>
    <t>Чеченская Республика, городской территориальный округ Аргун, с. Чечен-Аул, ул. Шерипова, дом № 60</t>
  </si>
  <si>
    <t xml:space="preserve">20:03:0000000:857 </t>
  </si>
  <si>
    <t>Чеченская Республика, г. Грозный, Ахматовский (Ленинский) район, ул. Моздокская, дом № 34</t>
  </si>
  <si>
    <t>1434</t>
  </si>
  <si>
    <t>5</t>
  </si>
  <si>
    <t xml:space="preserve">20:17:0219008:120, </t>
  </si>
  <si>
    <t>Муниципальное имущество Яльчикского района, расположенное по адресу: Чувашская Республика-Чувашия, Яльчикский р-н, с.Яльчики, ул. Советская, д.19, пом. 1 и являющееся казной Яльчикского района:помещение  общей площадью 401,1 кв.м. кадастровым номером 21:25:180308:517, запись о регистрации права собственности № 21:25:180308:517-21/042/2021-1 от  23.12.2021.</t>
  </si>
  <si>
    <t>05.07.22 20:30</t>
  </si>
  <si>
    <t>Чувашская республика - Чувашия, село Яльчики, ул Советская, влд 19</t>
  </si>
  <si>
    <t>2342</t>
  </si>
  <si>
    <t xml:space="preserve">21:25:180308:517, </t>
  </si>
  <si>
    <t>Земельный участок, местонахождение установлено относительно ориентира, расположенного в границах участка. Почтовый адрес ориентира: Чувашская Республика-Чувашия, г. Чебоксары, ул. Хузангая, дом 22в, общей площадью 171 кв. м с кадастровым номером 21:01:020906:166, с расположенным на нем следующим объектом недвижимого имущества: нежилое помещение с кадастровым номером 21:01:020906:7931, общей площадью 146,3 кв. м, находящееся по адресу: Чувашская Республика, г. Чебоксары, ул. Хузангая, дом 22в.</t>
  </si>
  <si>
    <t>27.06.22 13:00</t>
  </si>
  <si>
    <t>г Чебоксары, ул Хузангая, д 22</t>
  </si>
  <si>
    <t>492331</t>
  </si>
  <si>
    <t xml:space="preserve">21:01:020906:166, </t>
  </si>
  <si>
    <t>Муниципальное имущество города Канаш Чувашской Республики - нежилое здание, площадью 44,3 кв.м., расположенное по адресу: Чувашская Республика, город Канаш, ул. Железнодорожная, д. 34, с кадастровым номером 21:04:030201:103.</t>
  </si>
  <si>
    <t>27.05.22 14:00</t>
  </si>
  <si>
    <t>Чувашская республика - Чувашия, г Канаш, ул Железнодорожная, д 34</t>
  </si>
  <si>
    <t>45482</t>
  </si>
  <si>
    <t>21:04:030201:103</t>
  </si>
  <si>
    <t>нежилое помещение, площадью 150,60 кв. м, расположенное по адресу: Чувашская Республиа, г. Чебоксары, ул. Сельская, д. 39, пом. 3, кадастровый номер 21:01:010103:1379</t>
  </si>
  <si>
    <t>04.07.22 14:00</t>
  </si>
  <si>
    <t>г Чебоксары, ул Сельская, д 39</t>
  </si>
  <si>
    <t>21:01:010103:1379</t>
  </si>
  <si>
    <t>Муниципальное имущество города Шумерля Чувашской Республики: нежилое помещение в многоквартирном доме общей площадью 31,2 кв.м, кадастровый номер: 21:05:010119:220, расположенное по адресу: Чувашская Республика, город Шумерля, улица Карла Маркса, дом 21.</t>
  </si>
  <si>
    <t>25.07.22 13:00</t>
  </si>
  <si>
    <t>Чувашская республика - Чувашия, г Шумерля, ул Карла Маркса, д 21</t>
  </si>
  <si>
    <t>29071</t>
  </si>
  <si>
    <t xml:space="preserve">21:05:010119:220, </t>
  </si>
  <si>
    <t>Нежилое здание, площадью 117,6 кв.м., расположенное по адресу: Чувашская Республика, город Канаш, ул. Железнодорожная, д. 34, с кадастровым номером 21:04:010414:302</t>
  </si>
  <si>
    <t>21:04:010414:302</t>
  </si>
  <si>
    <t>Муниципальное имущество города Алатыря Чувашской Республики, нежилое помещение с кадастровым номером 21:03:010406:659, общей площадью 46,5 кв. метра, расположенное по адресу: Чувашская Республика - Чувашия, г. Алатырь, ул. Первомайская, д. 78, пом.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</si>
  <si>
    <t>22.02.22 14:00</t>
  </si>
  <si>
    <t>Чувашская республика - Чувашия, г Алатырь, ул Первомайская, д 78</t>
  </si>
  <si>
    <t>34785</t>
  </si>
  <si>
    <t xml:space="preserve">21:03:010406:659, </t>
  </si>
  <si>
    <t>Нежилое здание, площадью 194,7 кв.м., расположенное по адресу: Чувашская Республика, город Канаш, ул. Чкалова, д. 2.</t>
  </si>
  <si>
    <t>21.03.22 14:00</t>
  </si>
  <si>
    <t>Чувашская республика - Чувашия, г Канаш, ул Чкалова, д 2</t>
  </si>
  <si>
    <t>21:04:060109:33</t>
  </si>
  <si>
    <t>Помещение, назначение: нежилое, этажей: 1, расположенное по адресу: Чувашская Республика, г. Новочебоксарск, ул. Южная, д. 6, пом. 165</t>
  </si>
  <si>
    <t>11.08.22 20:59</t>
  </si>
  <si>
    <t>Чувашская республика - Чувашия, г Новочебоксарск, ул Южная, д 6</t>
  </si>
  <si>
    <t>126931</t>
  </si>
  <si>
    <t>Нежилое здание, площадью 194,7 кв.м., расположенное по адресу: Чувашская Республика, город Канаш, ул. Чкалова, д. 2, с кадастровым номером 21:04:060109:33.</t>
  </si>
  <si>
    <t>19.05.22 14:00</t>
  </si>
  <si>
    <t>Нежилое помещение, площадью 126,20 кв. м, расположенное по адресу: Чувашская Республика, г. Чебоксары, ул. Ленинского Комсомола, д. 25, корп. 1, пом. 10.11, кадастровый номер 21:01:030310:2538</t>
  </si>
  <si>
    <t>01.08.22 14:00</t>
  </si>
  <si>
    <t>г Чебоксары, ул Ленинского Комсомола, д 25 к 1</t>
  </si>
  <si>
    <t>21:01:030310:2538</t>
  </si>
  <si>
    <t>Нежилое помещение № 1 с кадастровым номером 21:01:030405:6161, общей площадью 108,6 кв. м, расположенное на первом этаже жилого пятиэтажного панельного дома (литера А), находящегося по адресу: Чувашская Республика, г. Чебоксары, ул. Кадыкова, д. 12.</t>
  </si>
  <si>
    <t>г Чебоксары, ул Кадыкова, д 12</t>
  </si>
  <si>
    <t xml:space="preserve">21:01:030405:6161, </t>
  </si>
  <si>
    <t>Нежилое помещение, площадью 59,9 кв.м., расположенное по адресу: Чувашская Республика, город Канаш, пр. Ленина, д. 22, пом. 4, с кадастровым номером 21:04:060202:3462</t>
  </si>
  <si>
    <t>Чувашская республика - Чувашия, г Канаш, пр-кт Ленина, д 22</t>
  </si>
  <si>
    <t>21:04:060202:3462</t>
  </si>
  <si>
    <t>Нежилое помещение, площадью 154,60 кв. м, расположенное по адресу: Чувашская Республика, г. Чебоксары, ул. Ленинского Комсомола, д. 25, корп. 2, пом. 9, кадастровый номер: 21:01:030310:2749</t>
  </si>
  <si>
    <t>г Чебоксары, ул Ленинского Комсомола, д 25 к 2</t>
  </si>
  <si>
    <t>21:01:030310:2749</t>
  </si>
  <si>
    <t>Нежилое помещение, площадью 143,60 кв. м, расположенное по адресу: Чувашская Республика, г. Чебоксары, ул. Ленинского Комсомола, д. 25, корп. 1, пом. 10.12, кадастровый номер 21:01:030310:2539</t>
  </si>
  <si>
    <t>21:01:030310:2539</t>
  </si>
  <si>
    <t>Нежилое здание с кадастровым номером: 22:43:060127:220, общей площадью 491,1 кв.м., расположенное по адресу: Алтайский край, Солонешенский район, с. Солонешное, ул. 1-я Целинная, д. 9 и земельный участок, общей площадью 10549 кв.м., с кадастровым номером 22:43:060127:432, расположенный по адресу: Алтайский край, Солонешенский район, с. Солонешное, ул. 1-я Целинная, д. 9/2.</t>
  </si>
  <si>
    <t>17.07.22 21:00</t>
  </si>
  <si>
    <t>Алтайский край, село Солонешное, ул 1-я Целинная, зд 9</t>
  </si>
  <si>
    <t>3591</t>
  </si>
  <si>
    <t xml:space="preserve">22:43:060127:220, </t>
  </si>
  <si>
    <t>Нежилое здание с кадастровым номером: 22:43:060127:219, общей площадью 533,2 кв.м., расположенное по адресу: Алтайский край, Солонешенский район, с. Солонешное, ул. 1-я Целинная, д. 9 и земельный участок, общей площадью 6307 кв.м., с кадастровым номером 22:43:060127:433, расположенный по адресу: Алтайский край, Солонешенский район, с. Солонешное, ул. 1-я Целинная, д. 9/1.</t>
  </si>
  <si>
    <t xml:space="preserve">22:43:060127:219, </t>
  </si>
  <si>
    <t>Нежилое помещениес.Ая ул.Советская, д.90 пом.1 кадастровый номер 22:02:080005:520 общей площадью 123,6 кв.м с земельным участком общей площадью 111,0 кв.м , кадастровый номер22:02:080005:217</t>
  </si>
  <si>
    <t>24.07.22 17:00</t>
  </si>
  <si>
    <t>Алтайский край, Алтайский р-н, село Ая, ул Советская, д 90, помещ 1</t>
  </si>
  <si>
    <t>2230</t>
  </si>
  <si>
    <t xml:space="preserve">22:02:080005:520 </t>
  </si>
  <si>
    <t>Нежилое помещение № 70 общей площадью 118,1 кв.м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</si>
  <si>
    <t>16.03.22 03:00</t>
  </si>
  <si>
    <t>Алтайский край, г Рубцовск, ул Дзержинского, д 31</t>
  </si>
  <si>
    <t>134183</t>
  </si>
  <si>
    <t>22:70:021002:778</t>
  </si>
  <si>
    <t>Нежилое помещение Н2 на 1-м, 2-м этажах общей площадью 198,2 кв.м по ул.Пушкина, 50 (г.Барнаул, Алтайский край)</t>
  </si>
  <si>
    <t>г Барнаул, ул Пушкина, д 50</t>
  </si>
  <si>
    <t>633432</t>
  </si>
  <si>
    <t>22:63:050240:68</t>
  </si>
  <si>
    <t>Нежилое помещение на 1-м этаже общей площадью 121,7 кв.м по ул.Бабуркина, 8 (Алтайский край, г.Барнаул)</t>
  </si>
  <si>
    <t>30.05.22 14:00</t>
  </si>
  <si>
    <t>г Барнаул, ул Бабуркина, д 8</t>
  </si>
  <si>
    <t>22:63:030134:4050</t>
  </si>
  <si>
    <t>Общая площадь 449,4 кв. м, находящееся по адресу: Краснодарский край, Тихорецкий район, ст-ца Фастовецкая, ул. Азина, д. 59</t>
  </si>
  <si>
    <t>06.07.22 15:00</t>
  </si>
  <si>
    <t>Краснодарский край, Тихорецкий р-н, ст-ца Фастовецкая, ул Азина, д 59</t>
  </si>
  <si>
    <t>7640</t>
  </si>
  <si>
    <t xml:space="preserve">23:32:0302006:1142, </t>
  </si>
  <si>
    <t>Нежилые помещения с кадастровым номером 23:38:0109038:788 (№7-13), общей площадью 93,5 квадратных метра, нежилые помещения с кадастровым номером 23:38:0109038:790 (№14,15) общей площадью 2,8 квадратных метра, расположенные по адресу: Краснодарский край, город Армавир, улица Кропоткина, 103</t>
  </si>
  <si>
    <t>20.03.22 20:59</t>
  </si>
  <si>
    <t>Краснодарский край, г Армавир, ул Кропоткина, д 103</t>
  </si>
  <si>
    <t>183082</t>
  </si>
  <si>
    <t xml:space="preserve">23:38:0109038:788 </t>
  </si>
  <si>
    <t>Нежилое помещение № 4, с кадастровым номером 23:21:0401010:5006, общей площадью 43,3 кв.м., расположенное по адресу: Российская Федерация, Краснодарский край, Новокубанский район, город Новокубанск, улица Первомайская, дом 162, помещение № 4.</t>
  </si>
  <si>
    <t>10.08.22 13:00</t>
  </si>
  <si>
    <t>Краснодарский край, г Новокубанск, ул Первомайская, д 162, кв 4</t>
  </si>
  <si>
    <t>35173</t>
  </si>
  <si>
    <t xml:space="preserve">23:21:0401010:5006, </t>
  </si>
  <si>
    <t>«Нежилое помещение, общей площадью 228,3 кв.м., включающее в себя помещения № 77-81, 83-96 с кадастровым номером 23:33:0606011:0:136/6, расположенное по адресу: Россия, Краснодарский край, Туапсинский район, пгт. Джубга, ул. Новороссийское шоссе, 1 «В»</t>
  </si>
  <si>
    <t>07.06.22 14:00</t>
  </si>
  <si>
    <t>Краснодарский край, Туапсинский р-н, пгт Джубга, ул Новороссийское шоссе</t>
  </si>
  <si>
    <t>5621</t>
  </si>
  <si>
    <t>23:33:0606011:0</t>
  </si>
  <si>
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</si>
  <si>
    <t>25.04.22 06:00</t>
  </si>
  <si>
    <t>Краснодарский край, г Сочи, ул Чехова, д 58</t>
  </si>
  <si>
    <t>348234</t>
  </si>
  <si>
    <t xml:space="preserve">23:49:0202021:1294, </t>
  </si>
  <si>
    <t>нежилое помещение общей площадью 360,0 кв.м. (кадастровый номер: 24:07:2501002:1055), расположенное по адресу: Красноярский край, Богучанский район, с. Чунояр, ул. Октябрьская, д. 49а, здание 2, пом.3Характеристики: Номер, тип этажа, на котором расположено помещение, машиноместо: этаж № 1.Назначение: нежилое помещение.</t>
  </si>
  <si>
    <t>20.07.22 13:00</t>
  </si>
  <si>
    <t>Красноярский край, Богучанский р-н, село Чунояр, ул Октябрьская, д 49А</t>
  </si>
  <si>
    <t>252</t>
  </si>
  <si>
    <t>24:07:2501002:1055</t>
  </si>
  <si>
    <t>Здание – Штаб/казарма, назначение: нежилое. Количество этажей -2, в том числе подземных 0. Материал наружных стен: из прочих материалов. Площадь- 1392 кв.м. Адрес (местонахождение): РФ, Красноярский край, г. Ачинск, микрорайон Авиатор, здание 54.Земельный участок – земли населенных пунктов. Площадь - 3596 кв.м. Адрес (местонахождение): Красноярский край, г. Ачинск, микрорайон Авиатор, участок 54. Виды разрешенного использования: Виды разрешенного использования: Магазины: размещение объектов капитального строительства, предназначенных для продажи товаров, торговая площадь которых составляет до 5000 кв.м.</t>
  </si>
  <si>
    <t>16.05.22 10:00</t>
  </si>
  <si>
    <t>Красноярский край, г Ачинск, мкр Авиатор, зд 54</t>
  </si>
  <si>
    <t>109155</t>
  </si>
  <si>
    <t>24:43:0000000:25960</t>
  </si>
  <si>
    <t>В соответствии с Извещением.</t>
  </si>
  <si>
    <t>г Красноярск, ул Калинина, д 77 стр 9</t>
  </si>
  <si>
    <t>1066934</t>
  </si>
  <si>
    <t>24:50:0100109:1423, 24:50:0100109:1424, 24:50:0100109:1426, 24:50:0100109:1427</t>
  </si>
  <si>
    <t>нежилое помещение общей площадью 178,9 кв. м, с кадастровым номером 24:50:0500297:640 расположено по адресу: г. Красноярск, ул. Энергетиков, д. 65, пом. 21. Нежилое помещение находится на первом этаже трехэтажного кирпичного жилого дома 1960 года постройки. Отдельный вход имеется.</t>
  </si>
  <si>
    <t>15.02.22 10:00</t>
  </si>
  <si>
    <t>г Красноярск, ул Энергетиков, д 65</t>
  </si>
  <si>
    <t xml:space="preserve">24:50:0500297:640 </t>
  </si>
  <si>
    <t>Отдельно стоящее одноэтажное нежилое здание, общей площадью 164,4 кв.м. с кадастровым номером 24:50:0300195:229, расположенное по адресу: г. Красноярск, ул. Брянская, д. 65, строение 2</t>
  </si>
  <si>
    <t>11.05.22 02:00</t>
  </si>
  <si>
    <t>г Красноярск, ул 2-я Брянская, д 65 стр 2</t>
  </si>
  <si>
    <t xml:space="preserve">24:50:0300195:229, </t>
  </si>
  <si>
    <t>Отдельно стоящее двухэтажное нежилое здание, общей площадью 21,1 кв.м. с кадастровым номером 24:50:0000000:175783, расположенное по адресу: г. Красноярск, ул. Брянская, д. 65, строение 1</t>
  </si>
  <si>
    <t>г Красноярск, ул Брянская, зд 65А стр 1</t>
  </si>
  <si>
    <t>24:50:0000000:17578</t>
  </si>
  <si>
    <t>нежилое помещение общей площадью 35,2 кв. м, с кадастровым номером 24:50:0700261:1479 расположено по адресу: г. Красноярск, ул. Александра Матросова, д. 30/3, пом. 54.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</si>
  <si>
    <t>21.03.22 10:00</t>
  </si>
  <si>
    <t>г Красноярск, ул Александра Матросова, д 30/3</t>
  </si>
  <si>
    <t xml:space="preserve">24:50:0700261:1479 </t>
  </si>
  <si>
    <t>нежилое помещение общей площадью 14,4 кв. м, с кадастровым номером 24:50:0400057:2588 расположено по адресу: г. Красноярск, ул. 9 Мая, д. 31а, пом. 85. Нежилое помещение находится на первом этаже четырнадцатиэтажного жилого дома 1997 года постройки. Отдельный вход отсутствует.</t>
  </si>
  <si>
    <t>09.03.22 10:00</t>
  </si>
  <si>
    <t>г Красноярск, ул 9 Мая, д 31А</t>
  </si>
  <si>
    <t xml:space="preserve">24:50:0400057:2588 </t>
  </si>
  <si>
    <t>нежилое помещение общей площадью 10,4 кв. м, с кадастровым номером 24:50:0400127:805 расположено по адресу: г. Красноярск, ул. Октябрьская, д. 1, пом. 215. Нежилое помещение находится на первом этаже десятиэтажного панельного жилого дома 1989 года постройки. Отдельный вход имеется.</t>
  </si>
  <si>
    <t>г Красноярск, ул Октябрьская, д 1</t>
  </si>
  <si>
    <t xml:space="preserve">24:50:0400127:805 </t>
  </si>
  <si>
    <t>1965 год постройки; запись № 25:19:000000:2499-25/066/2022-11от 06.04.2022в Едином государственном реестре прав на недвижимое имущество и сделок с ним  от 11.02.2013</t>
  </si>
  <si>
    <t>01.08.22 04:00</t>
  </si>
  <si>
    <t>Приморский край, село Камень-Рыболов, ул Кирова, д 2А</t>
  </si>
  <si>
    <t>13084</t>
  </si>
  <si>
    <t>25:19:000000:2499</t>
  </si>
  <si>
    <t>Нежилое помещение в здании (бокс№26 в ГСК№173, лит.а), эт.1, кад.№ 25:28:000000:29530, пл.18,5кв.м, адрес: г. Владивосток, ул. Тухачевского, д.50а, соб-к Железков Е.А.</t>
  </si>
  <si>
    <t>01.08.22 02:00</t>
  </si>
  <si>
    <t>г Владивосток, ул Тухачевского, д 50А</t>
  </si>
  <si>
    <t>633102</t>
  </si>
  <si>
    <t xml:space="preserve">25:28:000000:29530, </t>
  </si>
  <si>
    <t>Нежилое помещение, 1 этаж, кадастровый № 26:33:020202:319</t>
  </si>
  <si>
    <t>28.02.22 20:59</t>
  </si>
  <si>
    <t>Ставропольский край, г Пятигорск, ул Ермолова, д 253</t>
  </si>
  <si>
    <t>145971</t>
  </si>
  <si>
    <t>26:33:020202:319</t>
  </si>
  <si>
    <t>нежилое помещение, этаж 2, кадастровый номер: 26:16:040603:913, площадью 311,9 кв. метра, с адресом - Ставропольский край, город Невинномысск, улица Гагарина, 7Б, помещение 28-51;</t>
  </si>
  <si>
    <t>21.02.22 15:00</t>
  </si>
  <si>
    <t>Ставропольский край, г Невинномысск, ул Гагарина, д 7б</t>
  </si>
  <si>
    <t>117868</t>
  </si>
  <si>
    <t xml:space="preserve">26:16:040603:913, </t>
  </si>
  <si>
    <t>нежилые помещения общей площадью 104,8 кв.м, с кадастровым номером  26:32:030202:179, расположенного в цокольном этаже по адресу: Ставропольский край, город Лермонтов,  проезд Химиков,  д.13, (помещения 1-14)</t>
  </si>
  <si>
    <t>15.07.22 07:00</t>
  </si>
  <si>
    <t>Ставропольский край, г Лермонтов, проезд Химиков, двлд 13</t>
  </si>
  <si>
    <t>22741</t>
  </si>
  <si>
    <t xml:space="preserve">26:32:030202:179, </t>
  </si>
  <si>
    <t>Нежилые помещения, цокольный этаж, кадастровый № 26:33:130304:852г. Пятигорск, проспект Калинина, 2, корпус 3, площадь 81,5 кв.м.</t>
  </si>
  <si>
    <t>17.04.22 21:00</t>
  </si>
  <si>
    <t>Ставропольский край, г Пятигорск, пр-кт Калинина, д 2 к 3</t>
  </si>
  <si>
    <t>26:33:130304:852</t>
  </si>
  <si>
    <t>Нежилое помещение, назначение нежилое помещение, этаж 1, площадь 45,8 кв. м, кадастровый номер 26:31:010315:760</t>
  </si>
  <si>
    <t>22.03.22 10:00</t>
  </si>
  <si>
    <t>Ставропольский край, г Железноводск, ул Семашко, д 9-11, кв 46</t>
  </si>
  <si>
    <t>24950</t>
  </si>
  <si>
    <t>26:31:010315:760</t>
  </si>
  <si>
    <t>нежилое помещение, этаж 1, кадастровый номер: 26:16:040804:5924, площадью 67,0 кв. метра, с адресом - Ставропольский край, город Невинномысск, улица Северная, дом 12»</t>
  </si>
  <si>
    <t>27.05.22 15:00</t>
  </si>
  <si>
    <t>Ставропольский край, г Невинномысск, ул Северная, д 12</t>
  </si>
  <si>
    <t xml:space="preserve">26:16:040804:5924, </t>
  </si>
  <si>
    <t>нежилое помещение площадью 108,1 кв. м, с кадастровым номером 26:34:020117:141</t>
  </si>
  <si>
    <t>24.06.22 14:00</t>
  </si>
  <si>
    <t>г. Кисловодск, ул. Красноармейская, 10</t>
  </si>
  <si>
    <t>2526</t>
  </si>
  <si>
    <t>69</t>
  </si>
  <si>
    <t>26:34:020117:141</t>
  </si>
  <si>
    <t>Функциональное нежилое помещение детской молочной кухни I (51-77) , кадастровый номер 27:08:0010335:1321, площадью 313,3 кв. м, год постройки – 1979 , расположенное на 1 этаже 5-ти этажного жилого дома по  адресу: Хабаровский край, район имени Лазо, пос.Хор, ул.Менделеева, д. 2, состояние отделки неудовлетворительное, уровень износа 50,5%.</t>
  </si>
  <si>
    <t>11.07.22 07:00</t>
  </si>
  <si>
    <t>Хабаровский край, р-н Имени Лазо, рп Хор, ул Менделеева, д 2</t>
  </si>
  <si>
    <t>молочной кухни</t>
  </si>
  <si>
    <t xml:space="preserve">27:08:0010335:1321, </t>
  </si>
  <si>
    <t>нежилое функциональное помещение общей площадью 73,2 кв.м (кадастровый номер 27:23:0011137:94) расположенное по адресу: Хабаровский край, г. Хабаровск, ул. Тихоокеанская,д.147 пом. I (1-7)</t>
  </si>
  <si>
    <t>08.04.22 07:00</t>
  </si>
  <si>
    <t>г Хабаровск, ул Тихоокеанская, д 147</t>
  </si>
  <si>
    <t>617473</t>
  </si>
  <si>
    <t>27:23:0011137:94</t>
  </si>
  <si>
    <t>помещение III(1), площадь 8,3 кв.м, №27:05:0601087:190;помещение III(2), площадь 10,4 кв.м, №27:05:0601087:191;помещение III(3), площадь 21,2 кв.м, №27:05:0601087:192;помещение III(5), площадь 19,5 кв.м, №27:05:0601087:193;помещение III(6), площадь 26,8 кв.м, №27:05:0601087:194;помещение III(7), площадь 12,5 кв.м, №27:05:0601087:195;помещение III(8,9), площадь 12,4 кв.м, №27:05:0601087:196;помещение III(10), площадь 12,8 кв.м, №27:05:0601087:198;помещение III(11), площадь 14,1 кв.м, №27:05:0601087:199;помещение III(12), площадь 24,9 кв.м, №27:05:0601087:200;помещение III(13), площадь 26,2 кв.м, №27:05:0601087:201;помещение III(14), площадь 26,1 кв.м, №27:05:0601087:202;помещение III(15), площадь 29,9 кв.м, №27:05:0601087:203;помещение III(16), площадь 24,5 кв.м, №27:05:0601087:204;помещение III(17), площадь 10,8 кв.м, № 27:05:0601087:205;помещение III(18-20), площадь 44,5кв.м, № 27:05:0601087:206.</t>
  </si>
  <si>
    <t>26.02.22 07:00</t>
  </si>
  <si>
    <t>Хабаровский край, рп Чегдомын, ул Парковая, д 6</t>
  </si>
  <si>
    <t>11750</t>
  </si>
  <si>
    <t>27:05:0601087:52</t>
  </si>
  <si>
    <t>Функциональное помещение I (1-26), назначение: нежилое, общая площадь 261,8 кв.м., этаж 1, расположенное по адресу: г. Амурск, пр. Мира, 14</t>
  </si>
  <si>
    <t>17.06.22 14:00</t>
  </si>
  <si>
    <t>Хабаровский край, г Амурск, пр-кт Мира, д 14</t>
  </si>
  <si>
    <t>39046</t>
  </si>
  <si>
    <t>246607</t>
  </si>
  <si>
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</si>
  <si>
    <t>12.05.22 08:00</t>
  </si>
  <si>
    <t>Хабаровский край, г Комсомольск-на-Амуре, Московский пр-кт, д 23</t>
  </si>
  <si>
    <t xml:space="preserve">27:22:0040605:459, </t>
  </si>
  <si>
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</si>
  <si>
    <t>24.03.22 08:00</t>
  </si>
  <si>
    <t>Хабаровский край, г Комсомольск-на-Амуре, пр-кт Победы, д 41 к 3</t>
  </si>
  <si>
    <t>офиса</t>
  </si>
  <si>
    <t xml:space="preserve">27:22:0040606:1876, </t>
  </si>
  <si>
    <t>Помещение, нежилое, расположенное по адресу: Амурская область, р-н Константиновский, с. Константиновка, ул. Советская, д 116А, площадь 420.3 кв.м., кадастровый номер: 28:15:011358:95</t>
  </si>
  <si>
    <t>11.07.22 08:00</t>
  </si>
  <si>
    <t>Амурская обл, село Константиновка, ул Советская, зд 116А</t>
  </si>
  <si>
    <t>5201</t>
  </si>
  <si>
    <t>28:15:011358:95</t>
  </si>
  <si>
    <t>Нежилое помещение, общей площадью 104 кв.м, этажность – 1, кадастровый номер 28:01:030002:724, расположенное по адресу: Амурская область, г. Благовещенск, квартал 666В, строение 524, пом. 20001.</t>
  </si>
  <si>
    <t>17.03.22 09:00</t>
  </si>
  <si>
    <t>г. Благовещенск, квартал 666В, строение 524, пом. 20001</t>
  </si>
  <si>
    <t>156</t>
  </si>
  <si>
    <t xml:space="preserve">28:01:030002:724, </t>
  </si>
  <si>
    <t>Встроенное нежилое помещение в пятиэтажном многоквартирном доме, фундамент – сборные бетонные блоки, трещины, состояние хорошее; стены – кирпичные, состояние хорошее; перекрытия – железобетонное, состояние хорошее; окна – металлопластиковые, состояние хорошее; двери – металлические, состояние хорошее; полы – керамическая плитка, линолеум, бетонные, состояние удовлетворительное; внутренняя отделка – окраска, кафельная плитка, загрязнения окрасочного слоя, требуется косметический ремонт; системы инженерного обеспечения – электроснабжение, отопление, водоснабжение, канализация от центральных сетей города.</t>
  </si>
  <si>
    <t>08.08.22 08:00</t>
  </si>
  <si>
    <t>Амурская обл, г Белогорск, Летний пер, д 6</t>
  </si>
  <si>
    <t>126288</t>
  </si>
  <si>
    <t>28:02:000460:481</t>
  </si>
  <si>
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</si>
  <si>
    <t>01.03.22 08:00</t>
  </si>
  <si>
    <t>Амурская обл, г Белогорск, ул Ленина, д 113</t>
  </si>
  <si>
    <t xml:space="preserve">28:02:000124:630 </t>
  </si>
  <si>
    <t>Нежилое помещение, расположенное по адресу: Российская Федерация, Архангельская область, Вельский муниципальный район, МО «Вельское», г.Вельск, ул.50 лет Октября, д.8, помещение 1-Н, общая площадь 330,4 кв.м., кадастровый номер: 29:01:190139:646.Нежилое помещение, общей площадью 330,4 кв.м, расположено на 1, 2 этажах нежилого здания 1970 года постройки. Объект не используется, находится в удовлетворительном состоянии.</t>
  </si>
  <si>
    <t>27.02.22 14:00</t>
  </si>
  <si>
    <t>Архангельская обл, г Вельск, ул 50 лет Октября, д 8</t>
  </si>
  <si>
    <t>22311</t>
  </si>
  <si>
    <t>29:01:190139:646</t>
  </si>
  <si>
    <t>назначение: нежилое, количество этажей 2, в том числе подземных 1, год постройки 1973</t>
  </si>
  <si>
    <t>31.03.22 14:00</t>
  </si>
  <si>
    <t>Архангельская обл, г Коряжма, ул Советская, д 8</t>
  </si>
  <si>
    <t>36224</t>
  </si>
  <si>
    <t>29:23:010209:106</t>
  </si>
  <si>
    <t>Характеристика объекта: нежилое помещение расположено в девятиэтажном панельном жилом доме, год постройки – 1982.</t>
  </si>
  <si>
    <t>22.06.22 09:00</t>
  </si>
  <si>
    <t>г Архангельск, ул Ильича, д 2 к 1</t>
  </si>
  <si>
    <t>348343</t>
  </si>
  <si>
    <t xml:space="preserve">29:22:031614:795, </t>
  </si>
  <si>
    <t>Нежилое помещение общей площадью 190,6 кв. м, расположенное по адресу: Архангельская область, город Северодвинск, улица Лебедева, дом 10, кадастровый номер 29:28:104153:2818</t>
  </si>
  <si>
    <t>26.07.22 20:00</t>
  </si>
  <si>
    <t>Архангельская обл, г Северодвинск, ул Лебедева, д 10</t>
  </si>
  <si>
    <t>182291</t>
  </si>
  <si>
    <t>29:28:104153:2818</t>
  </si>
  <si>
    <t>Нежилое встроенное помещение общей площадью 66,8 кв. м, расположенное по адресу: Архангельская область, город Северодвинск, улица Ломоносова, дом 78, кадастровый номер 29:28:103088:2472</t>
  </si>
  <si>
    <t>31.05.22 20:00</t>
  </si>
  <si>
    <t>Архангельская обл, г Северодвинск, ул Ломоносова, д 78, помещ 20030</t>
  </si>
  <si>
    <t>29:28:103088:2472</t>
  </si>
  <si>
    <t>Характеристика объекта: нежилое помещение расположено в девятиэтажном панельном жилом доме, год постройки – 1981.</t>
  </si>
  <si>
    <t>г Архангельск, ул Тимме Я., д 4</t>
  </si>
  <si>
    <t xml:space="preserve">29:22:050102:3741, </t>
  </si>
  <si>
    <t>нежилые помещения, расположенные по адресу: г. Астрахань, Кировский район, ул. Маяковского, 40 пом.1, общей площадью 45,6 кв.м, кадастровый номер 30:12:010156:291; пом.3а, общей площадью 36,2 кв.м, кадастровый номер 30:12:010156:594; пом.11, общей площадью 9,2 кв.м, кадастровый номер 30:12:010156:424; пом.12, общей площадью 10,6 кв.м, кадастровый номер 30:12:010156:423.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ремонта. Стены кирпичные, перекрытия деревянные. Год постройки 1917г</t>
  </si>
  <si>
    <t>27.02.22 13:00</t>
  </si>
  <si>
    <t>г.Астрахань,  Кировский район,  ул. Маяковского, 40</t>
  </si>
  <si>
    <t>1668</t>
  </si>
  <si>
    <t>24</t>
  </si>
  <si>
    <t xml:space="preserve">30:12:010156:291; </t>
  </si>
  <si>
    <t>Нежилое помещение, расположенное по адресу: Белгородская обл., г. Старый Оскол, мкр. Олимпийский, д. 60 кв. 102</t>
  </si>
  <si>
    <t>28.03.22 15:00</t>
  </si>
  <si>
    <t>Белгородская обл, г Старый Оскол, Олимпийский мкр, д 60</t>
  </si>
  <si>
    <t>231864</t>
  </si>
  <si>
    <t>-</t>
  </si>
  <si>
    <t>Нежилое помещение общей площадью 14,6 кв.м, кадастровый номер 31:06:0217002:4790</t>
  </si>
  <si>
    <t>Белгородская обл, г Старый Оскол, Олимпийский мкр, д 55</t>
  </si>
  <si>
    <t>31:06:0217002:4790</t>
  </si>
  <si>
    <t>нежилое 2-этажное здание, общей площадью 1092,5 кв.м., инв.№32/201/13-171882, расположенная по адресу: Брянская обл., Гордеевский район, с.Глинное, ул.Зеленая, д.10, с земельным участком общей площадью 7902,0 кв.м, к/н 32:04:0110101:160</t>
  </si>
  <si>
    <t>06.06.22 08:00</t>
  </si>
  <si>
    <t>Брянская обл, Гордеевский р-н, село Глинное, ул Зеленая, д 10</t>
  </si>
  <si>
    <t>административное нежилое 2-этажное здание, литер А, общей площадью 1033,7 кв.м., инв.№4960:0000/А, расположенная по адресу: Брянская обл., Гордеевский район, с.Гордеевка, ул.Кирова, д.18А, с земельным участком общей площадью 1303,0 кв.м, к/н 32:04:0220301:44</t>
  </si>
  <si>
    <t>Брянская обл, село Гордеевка, ул Кирова, д 18А</t>
  </si>
  <si>
    <t>нежилое 2-этажное здание, общей площадью 813,2 кв.м., инв.№32/201/13-171907, расположенная по адресу: Брянская обл., Гордеевский район, д.Рудня, ул.Центральная, д.20, с земельным участком общей площадью 4713,0 кв.м, к/н 32:04:0150101:300</t>
  </si>
  <si>
    <t>Брянская обл, Гордеевский р-н, деревня Рудня-Воробьевка, ул Центральная, д 20</t>
  </si>
  <si>
    <t>нежилое помещение общей площадью 224 кв.м, расположенное по адресу: Брянская область, Красногорский район, пгт.Красная Гора, ул. Тамбовская, д.2, кадастровый номер: 32:15:0260303:12, с земельным участком общей площадью 2973 кв.м, расположенным по адресу: Брянская область, Красногорский район, пгт Красная Гора, ул. Тамбовская, д.2, кадастровый номер: 32:15:0260401:2, категория земель: земли населенных пунктов, разрешенное использование: под жилую застройку - индивидуальную</t>
  </si>
  <si>
    <t>28.02.22 13:00</t>
  </si>
  <si>
    <t>Брянская обл, пгт Красная Гора, ул Тамбовская, д 2</t>
  </si>
  <si>
    <t xml:space="preserve">32:15:0260303:12, </t>
  </si>
  <si>
    <t>Нежилое здание общей площадью 125,6 кв.м., расположенное по адресу: Брянская область, Красногорский район, пгт Красная Гора, ул. 8 Марта, д.15, кадастровый (условный) номер 32:15:0262009:44, с земельным участком общей площадью 783 кв.м, категория земель: земли населенных пунктов, разрешенное использование: для ведения личного подсобного хозяйства, кадастровый номер – 32:15:0262009:4</t>
  </si>
  <si>
    <t>22.07.22 13:00</t>
  </si>
  <si>
    <t>Брянская обл, пгт Красная Гора, ул 8 Марта, д 15</t>
  </si>
  <si>
    <t xml:space="preserve">32:15:0262009:44, </t>
  </si>
  <si>
    <t>. нежилое здание общей площадью 126,7 кв.м, расположенное по адресу: Брянская область, Красногорский район, пгт.Красная Гора, ул. им.Лысенко, д.35, кадастровый номер: 32:15:0260403:53, с земельным участком общей площадью 1883 кв.м, расположенным по адресу: Брянская область, Красногорский район, пгт Красная Гора, им.Лысенко, д.35, кадастровый номер: 32:15:0260203:18, категория земель: земли населенных пунктов, разрешенное использование: для ведения личного подсобного хозяйства</t>
  </si>
  <si>
    <t>19.05.22 13:00</t>
  </si>
  <si>
    <t>Брянская обл, пгт Красная Гора, ул им. Лысенко, д 35</t>
  </si>
  <si>
    <t xml:space="preserve">32:15:0260403:53, </t>
  </si>
  <si>
    <t>Находящееся в муниципальной собственности нежилое помещение площадью 100,9 кв.м. (этаж № 1), расположенное по адресу: Брянская область, г.Брянск, ул.Есенина, д.14, кадастровый номер 32:28:0020932:1515</t>
  </si>
  <si>
    <t>05.05.22 10:00</t>
  </si>
  <si>
    <t>г Брянск, ул Есенина, д 14</t>
  </si>
  <si>
    <t>404793</t>
  </si>
  <si>
    <t>32:28:0020932:1515</t>
  </si>
  <si>
    <t>Находящееся в муниципальной собственности нежилое помещение площадью 105,3 кв.м. (этаж № 1), расположенное по адресу: Брянская область, г.Брянск, ул.Орловская, д.16, кадастровый номер 32:28:0015002:2753</t>
  </si>
  <si>
    <t>21.06.22 10:00</t>
  </si>
  <si>
    <t>г Брянск, ул Орловская, д 16</t>
  </si>
  <si>
    <t>32:28:0015002:2753</t>
  </si>
  <si>
    <t>Находящееся в муниципальной собственности нежилое помещение площадью 54,0 кв.м. (этаж № 1), расположенное по адресу: Брянская область, г.Брянск, ул. Фосфоритная, д.11, корп.2, кадастровый номер 32:28:0021603:1104</t>
  </si>
  <si>
    <t>14.06.22 10:00</t>
  </si>
  <si>
    <t>г Брянск, ул Фосфоритная, д 11 к 2</t>
  </si>
  <si>
    <t>32:28:0021603:1104</t>
  </si>
  <si>
    <t>Находящаяся в муниципальной собственности лифтерная площадью 37,6 кв.м. (этаж № 1), расположенная по адресу: Брянская область, г.Брянск, ул.Камозина, д.38, кадастровый номер 32:28:0015006:609</t>
  </si>
  <si>
    <t>30.06.22 10:00</t>
  </si>
  <si>
    <t>г Брянск, ул Камозина, д 38</t>
  </si>
  <si>
    <t>32:28:0015006:609</t>
  </si>
  <si>
    <t>Находящееся в муниципальной собственности нежилое помещение площадью 69,0 кв.м. (этаж № 1), расположенное по адресу: Брянская область, г.Брянск, ул.Тельмана, д.66, корп.4, кадастровый номер 32:28:0021603:3084</t>
  </si>
  <si>
    <t>г Брянск, ул Тельмана, д 66 к 4</t>
  </si>
  <si>
    <t>32:28:0021603:3084</t>
  </si>
  <si>
    <t>Представляет собой нежилое помещение с отдельным входом в нежилом трехэтажном здании, расположенное на 1,2 и 3 этажах здания и в надстроенном этаже, общей площадью 758,4 кв.м., кадастровый номер: 33:18:000538:2266, оснащено системами отопления, водоснабжения, электроснабжения (в настоящее время отключены</t>
  </si>
  <si>
    <t>18.04.22 14:15</t>
  </si>
  <si>
    <t>Владимирская обл, г Кольчугино, ул Ленина, д 15</t>
  </si>
  <si>
    <t>43543</t>
  </si>
  <si>
    <t xml:space="preserve">33:18:000538:2266, </t>
  </si>
  <si>
    <t>нежилое помещение, расположенное по адресу: Владимирская область, г. Ковров, ул. Запольная 2-я, д. 4, площадью 467,8 кв.м.</t>
  </si>
  <si>
    <t>Владимирская обл, г Ковров, ул Запольная 2-я, д 4</t>
  </si>
  <si>
    <t>138552</t>
  </si>
  <si>
    <t>33:20:014728:41</t>
  </si>
  <si>
    <t>Помещение, назначение нежилое, адрес (местоположение): Российская Федерация, Владимирская область, м.р-н Петушинский, г.п. город Покров, г Покров, проезд Больничный, д. 2, пом. 21-22;28-43, общей площадью 271,6 м2, с кадастровым номером 33:13:030223:1376</t>
  </si>
  <si>
    <t>13.05.22 14:00</t>
  </si>
  <si>
    <t>Владимирская обл, Петушинский р-н, г Покров, Больничный проезд, д 2</t>
  </si>
  <si>
    <t>17308</t>
  </si>
  <si>
    <t>33:13:030223:1376</t>
  </si>
  <si>
    <t>Нежилое помещение, общая площадь 168,0 кв.м., расположенное на первом этаже 3-этажного кирпичного дома, адрес объекта: Владимирская обл., Собинский район, МО город Собинка, г. Собинка, ул. Димитрова, д. 9, кадастровый номер 33:24:010109:4850. Нежилое помещение является частью объекта культурного наследия регионального назначения, включенного в единый государственный реестр объектов культурного наследия (памятников истории и культуры) народов Российской Федерации – «Здание рабочих казарм» XIX в., регистрационный номер 331510317900045. Данный объект признан аварийным и подлежащим реконструкции постановлением Главы муниципального образования город Собинка Собинского района Владимирской области от 20.06.2019 № 408.</t>
  </si>
  <si>
    <t>28.07.22 13:00</t>
  </si>
  <si>
    <t>Владимирская обл, г Собинка, ул Димитрова, д 9</t>
  </si>
  <si>
    <t>18059</t>
  </si>
  <si>
    <t>33:24:010109:4850</t>
  </si>
  <si>
    <t>Нежилое помещение (место на подземной парковке), пл. 16,8 кв.м, к.н. 33:22:000000:4854, адрес: Владимирская обл., г. Владимир, ул. Стрелецкая, д.2. Собственник: Курышев С.В.</t>
  </si>
  <si>
    <t>15.06.22 20:59</t>
  </si>
  <si>
    <t>г Владимир, ул Стрелецкая, д 2</t>
  </si>
  <si>
    <t>356168</t>
  </si>
  <si>
    <t>33:22:000000:4854</t>
  </si>
  <si>
    <t>Комплекс объектов недвижимого имущества: склад общей площадью 863,7 кв. метра, кадастровый номер 34:05:000000:704, отдельно стоящее здание (склад № 2) общей площадью 762,3 кв. метра, кадастровый номер 34:05:010107:35, асфальтобетонное покрытие общей площадью 4765,6 кв. метра, кадастровый номер 34:05:000000:714, забор ж/бетонный протяженностью 812 метров, реестровый номер 3412000000018805, расположенный по адресу: Волгоградская область, Дубовский р-н, г. Дубовка, ул. Рабочая, д. 7</t>
  </si>
  <si>
    <t>23.05.22 05:30</t>
  </si>
  <si>
    <t>Волгоградская обл, г Дубовка, ул Рабочая, д 7</t>
  </si>
  <si>
    <t>13805</t>
  </si>
  <si>
    <t>BOC</t>
  </si>
  <si>
    <t xml:space="preserve">34:05:000000:704, </t>
  </si>
  <si>
    <t>объекты недвижимости, в составе: нежилое помещение общей площадью 379,8 кв.метра, кадастровый номер 34:34:010052:2883, расположенное по адресу: г. Волгоград, ул. им. Дегтярева, д. 45, помещение II; нежилое помещение общей площадью 226,7 кв.метра, кадастровый номер 34:34:010052:2929, расположенное по адресу: г. Волгоград, ул. им. Дегтярева, д. 45, помещение I.</t>
  </si>
  <si>
    <t>16.03.22 05:30</t>
  </si>
  <si>
    <t>г Волгоград, ул им. Дегтярева, влд 45</t>
  </si>
  <si>
    <t>1030400</t>
  </si>
  <si>
    <t xml:space="preserve">34:34:010052:2883, </t>
  </si>
  <si>
    <t>Нежилое помещение площадью 296,7 кв. м. (цокольный этаж), кадастровый номер 34:34:030026:1314. Цокольный этаж -296,7 кв. м. Волгоград, Дзержинский район, ул. 51-й Гвардейской, 19А. Полная информация приведена в файле с Информационным сообщением.</t>
  </si>
  <si>
    <t>09.08.22 14:30</t>
  </si>
  <si>
    <t>г Волгоград, ул 51-й Гвардейской, д 19а</t>
  </si>
  <si>
    <t>34:34:030026:1314</t>
  </si>
  <si>
    <t>нежилое здание, кадастровый номер 34:37:010268:263, общей площадью 65,4 кв.м., расположенное на земельном участке площадью 133,0 кв.м., кадастровый номер 34:37:010268:7, по адресу: Волгоградская область, г. Михайловка, ул. Ленина, 92</t>
  </si>
  <si>
    <t>10.06.22 14:00</t>
  </si>
  <si>
    <t>Волгоградская обл, г Михайловка, ул Ленина, д 92</t>
  </si>
  <si>
    <t>58221</t>
  </si>
  <si>
    <t xml:space="preserve">34:37:010268:263, </t>
  </si>
  <si>
    <t>Нежилое помещение общей площадью 259,1 кв. м (кадастровый номер 34:35:030216:3490), расположенное на цокольном этаже жилого дома по адресу: ул. Дружбы, 88, пом. I, г. Волжский, Волгоградская область.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</si>
  <si>
    <t>05.03.22 14:30</t>
  </si>
  <si>
    <t>г Омск, ул Дружбы, д 88</t>
  </si>
  <si>
    <t>34:35:030216:3490</t>
  </si>
  <si>
    <t>Нежилое помещение площадью 61,6 кв. м. (1-й этаж), кадастровый номер 34:34:080074:1334. Волгоград, Красноармейский район, ул. Пролетарская, д. 27. Полная информация приведена в файле с Информационным сообщением.</t>
  </si>
  <si>
    <t>11.05.22 14:30</t>
  </si>
  <si>
    <t>г Волгоград, ул Пролетарская, д 27</t>
  </si>
  <si>
    <t>34:34:080074:1334</t>
  </si>
  <si>
    <t>нежилое помещение, площадью 45,3 кв.м., с кадастровым номером 34:39:000023:2596, расположенное по адресу: Волгоградская область, г. Фролово, ул.Фроловская,16/2а</t>
  </si>
  <si>
    <t>12.06.22 21:00</t>
  </si>
  <si>
    <t>Волгоградская обл, г Фролово, ул Фроловская, д 16/2а</t>
  </si>
  <si>
    <t>43326</t>
  </si>
  <si>
    <t xml:space="preserve">34:39:000023:2596, </t>
  </si>
  <si>
    <t>Нежилое помещение площадью 10,9 кв. м. (1-й этаж), кадастровый номер 34:34:080062:2439. Волгоград, Красноармейский район, ул. Пролетарская, д. 41. Полная информация приведена в файле с Информационным сообщением.</t>
  </si>
  <si>
    <t>г Волгоград, ул Пролетарская, д 41</t>
  </si>
  <si>
    <t>34:34:080062:2439</t>
  </si>
  <si>
    <t>Нежилое помещение с кадастровым номером 35:19:0102004:300, площадью 213,7 кв. м., назначение: нежилое помещение, этаж - 1, расположенное по адресу: Российская Федерация, Вологодская область, Устюженский муниципальный район, городское поселение Город Устюжна, город Устюжна, площадь Торговая, дом 13, помещение 1, обременение – 1) договор о предоставлении недвижимого имущества, находящегося в муниципальной собственности, в аренду, №28/15 от 30.10.2015 года,  2) договор о предоставлении недвижимого имущества, находящегося в муниципальной собственности, в аренду, № 9 от 04.05.2015 года; ограничение – отсутствует.</t>
  </si>
  <si>
    <t>25.07.22 20:30</t>
  </si>
  <si>
    <t>Вологодская обл, г Устюжна, Торговая пл, д 13</t>
  </si>
  <si>
    <t>Торговая</t>
  </si>
  <si>
    <t>8712</t>
  </si>
  <si>
    <t xml:space="preserve">35:19:0102004:300, </t>
  </si>
  <si>
    <t>Нежилое помещение общей площадью 989 кв.м., состоящее из 3-х помещений (частей):- помещение площадью 809,1 кв.м., помещение площадью 67,4 кв.м., и помещение площадью 112,5 кв.</t>
  </si>
  <si>
    <t>01.07.22 21:00</t>
  </si>
  <si>
    <t>Вологодская обл, г Бабаево, ул Ухтомского, д 21А, помещ 2</t>
  </si>
  <si>
    <t>11493</t>
  </si>
  <si>
    <t xml:space="preserve">35:02:0103024:84, </t>
  </si>
  <si>
    <t>Нежилое помещение с кад.№ 35:26:0202015:656, общей площадью 622,1 м2 , расположенного по адресу: Вологодская область, Сокольский район, г. Сокол, ул. Суворова, д.22.Помещение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</si>
  <si>
    <t>27.04.22 14:00</t>
  </si>
  <si>
    <t>г Москва, ул Маршала Соколовского</t>
  </si>
  <si>
    <t xml:space="preserve">35:26:0202015:656, </t>
  </si>
  <si>
    <t>Встроенная часть здания с подвалом, помещение №87, кадастровый номер 35:26:0201025:806, площадью 295,2 кв. м, расположенное по адресу: Вологодская область, Сокольский район, г. Сокол, ул. Советская, д. 98, фундамент – бутовый ленточный, стены (наружные и внутренние капитальные стены, перегородки) – кирпичные, перекрытия – железобетонные, полы – бетонные, линолеум, проемы оконные – остекленные, отделочные работы – штукатурка, окраска, отопление – центральное, водопровод –центральный, канализация – центральная, электроосвещение – проводка скрытая.</t>
  </si>
  <si>
    <t>14.03.22 13:00</t>
  </si>
  <si>
    <t>Вологодская обл, г Сокол, ул Советская, д 98</t>
  </si>
  <si>
    <t>36589</t>
  </si>
  <si>
    <t xml:space="preserve">35:26:0201025:806, </t>
  </si>
  <si>
    <t>-1</t>
  </si>
  <si>
    <t>нежилое помещение с кадастровым номером 35:24:0305021:4167 площадью 23,9 кв. м по адресу: Вологодская область, г. Вологда, ул. Фрязиновская, д. 37. Нежилое помещение с кадастровым номером 35:24:0305021:4167 используется третьими лицами без договорных отношений.</t>
  </si>
  <si>
    <t>26.04.22 12:00</t>
  </si>
  <si>
    <t>г Вологда, ул Фрязиновская, д 37</t>
  </si>
  <si>
    <t>311166</t>
  </si>
  <si>
    <t xml:space="preserve">35:24:0305021:4167 </t>
  </si>
  <si>
    <t>нежилое помещение с кадастровым номером 35:24:0402007:4089 площадью 32,9 кв. м по адресу: Вологодская обл., г. Вологда, ул. Новгородская, д. 3.</t>
  </si>
  <si>
    <t>27.04.22 11:30</t>
  </si>
  <si>
    <t>г Вологда, ул Новгородская, д 3</t>
  </si>
  <si>
    <t xml:space="preserve">35:24:0402007:4089 </t>
  </si>
  <si>
    <t>Нежилое помещение 6, назначение: нежилое, площадь 485,0 кв.м, цокольный этаж, кадастровый номер: 36:34:0203008:9034, расположенное по адресу: г. Воронеж, ул. 60 Армии, д. 4, пом. 6. Свободное</t>
  </si>
  <si>
    <t>18.03.22 13:00</t>
  </si>
  <si>
    <t>г Воронеж, ул 60 Армии, д 4</t>
  </si>
  <si>
    <t>1054111</t>
  </si>
  <si>
    <t xml:space="preserve">36:34:0203008:9034, </t>
  </si>
  <si>
    <t>нежилое помещение IV , кадастровый номер 36:11:0100017:78 общ. пл. 66,5 кв. м., расположенного по адресу: Воронежская область, Каменский район, пгт Каменка, ул. Ленина, д.4 пом. 4,</t>
  </si>
  <si>
    <t>20.04.22 13:00</t>
  </si>
  <si>
    <t>Воронежская обл, пгт Каменка, ул Ленина, д 4</t>
  </si>
  <si>
    <t>8010</t>
  </si>
  <si>
    <t xml:space="preserve">36:11:0100017:78 </t>
  </si>
  <si>
    <t>Нежилое помещение, назначение: нежилое, этаж №2, площадь 262,1 кв.м, кадастровый номер 36:27:0011802:221, расположенное по адресу: Воронежская область, г. Россошь, ул. Белинского, д. 20к, пом. 1б</t>
  </si>
  <si>
    <t>11.03.22 07:00</t>
  </si>
  <si>
    <t>Воронежская обл, г Россошь, ул Белинского, д 20К</t>
  </si>
  <si>
    <t>62716</t>
  </si>
  <si>
    <t xml:space="preserve">36:27:0011802:221, </t>
  </si>
  <si>
    <t>Помещение, назначение: нежилое, площадью 30,2 кв.м., с кадастровым номером 36:02:0100118:109, расположенное по адресу: Воронежская область, Бобровский район, г. Бобров, ул. 3 Интернационала, д. 43, кв. 3</t>
  </si>
  <si>
    <t>29.06.22 09:00</t>
  </si>
  <si>
    <t>Воронежская обл, г Бобров, ул 3 Интернационала, д 43</t>
  </si>
  <si>
    <t>20238</t>
  </si>
  <si>
    <t xml:space="preserve">36:02:0100118:109, </t>
  </si>
  <si>
    <t>Помещение, назначение: нежилое, площадью 34,2 кв.м., с кадастровым номером 36:02:0100118:43, расположенное по адресу: Воронежская область, Бобровский район, г. Бобров, ул. 3 Интернационала, д. 43, кв. 4</t>
  </si>
  <si>
    <t xml:space="preserve">36:02:0100118:43, </t>
  </si>
  <si>
    <t>Нежилое помещение, назначение: нежилое, этаж №1, площадь 79,6 кв.м, кадастровый номер 36:27:0011802:220, расположенное по адресу: Воронежская область, г. Россошь, ул. Белинского, д. 20к, пом. 1а</t>
  </si>
  <si>
    <t xml:space="preserve">36:27:0011802:220, </t>
  </si>
  <si>
    <t>Нежилое помещение с кадастровым номером 36:04:0103069:2651</t>
  </si>
  <si>
    <t>Воронежская обл, г Борисоглебск, мкр Юго-Восточный, зд 6а</t>
  </si>
  <si>
    <t>60878</t>
  </si>
  <si>
    <t>36:04:0103069:2651</t>
  </si>
  <si>
    <t>Нежилое помещение, назначение: нежилое, площадь 28,7 кв.м, этаж № 1, кадастровый номер: 36:34:0606001:481, расположенное по адресу: г. Воронеж, ул. Революции 1905 года, д. 16, пом. 4. Свободное</t>
  </si>
  <si>
    <t>08.07.22 13:00</t>
  </si>
  <si>
    <t>г Воронеж, ул Революции 1905 года, д 16</t>
  </si>
  <si>
    <t xml:space="preserve">36:34:0606001:481, </t>
  </si>
  <si>
    <t>Площадь - 161,3 кв.м, адрес (местонахождение): г. Воронеж, ул. Ворошилова, 7</t>
  </si>
  <si>
    <t>25.05.22 13:00</t>
  </si>
  <si>
    <t>г Воронеж, ул Ворошилова, д 7</t>
  </si>
  <si>
    <t>Площадь - 43,2 кв.м адрес (местоположение): Воронежская область, г. Воронеж, ул. Красных Зорь, д. 36, по. 109</t>
  </si>
  <si>
    <t>01.06.22 13:00</t>
  </si>
  <si>
    <t>г Воронеж, ул Красных Зорь, д 36</t>
  </si>
  <si>
    <t>36:34:0208065:21</t>
  </si>
  <si>
    <t>Помещение, назначение: нежилое, общая площадь 226,9 кв.м, этаж 1, адрес: Ивановская область, г. Комсомольск, ул. Люлина, д.34, 34а, пом.1001, кадастровый номер 37:08:050202:482</t>
  </si>
  <si>
    <t>11.05.22 20:30</t>
  </si>
  <si>
    <t>Ивановская обл, г Комсомольск, ул Люлина, д 34</t>
  </si>
  <si>
    <t>8366</t>
  </si>
  <si>
    <t>37:08:050202:482</t>
  </si>
  <si>
    <t>- помещение, назначение: нежилое, общая площадь 53,3 кв. м, этаж 1, 2, номера на поэтажном плане: 1 этаж – пом. 1, 2, 2 этаж – 1, 2, 3, 4, 5, кадастровый номер 37:07:010103:112, адрес объекта: Ивановская область, Кинешемский район, г. Наволоки, ул. Советская, д. 15;- помещение, назначение: нежилое, общая площадь 216,7 кв. м, этаж – 1, 2, номера на поэтажном плане – 19 на 1 этаже, с 6 по 20 включительно на 2 этаже, кадастровый номер 37:10:010103:110, адрес объекта: Ивановская область, Кинешемский район, г. Наволоки, ул. Советская, д. 15.</t>
  </si>
  <si>
    <t>Ивановская обл, Кинешемский р-н, г Наволоки, ул Советская, д 15</t>
  </si>
  <si>
    <t>9546</t>
  </si>
  <si>
    <t xml:space="preserve">37:07:010103:112, </t>
  </si>
  <si>
    <t>Нежилое помещение, кадастровый номер 37:28:030407:29, площадь 239,1 кв.м., этаж № 01, по адресу: Ивановская область, г. Шуя, ул. Советская, д.2, пом.1004,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</si>
  <si>
    <t>14.04.22 06:00</t>
  </si>
  <si>
    <t>Ивановская обл, г Шуя, ул Советская, д 2</t>
  </si>
  <si>
    <t>58723</t>
  </si>
  <si>
    <t xml:space="preserve">37:28:030407:29, </t>
  </si>
  <si>
    <t>Нежилое помещение с кадастровым номером 37:26:020205:163 площадью 86,0 кв.м, расположенное по адресу: Ивановская обл., г. Тейково, ул. Октябрьская, д.50, пом. №53-55</t>
  </si>
  <si>
    <t>09.03.22 13:00</t>
  </si>
  <si>
    <t>Ивановская обл, г Тейково, ул Октябрьская, д 50</t>
  </si>
  <si>
    <t>32791</t>
  </si>
  <si>
    <t xml:space="preserve">37:26:020205:163 </t>
  </si>
  <si>
    <t>нежилого помещения, номер на поэтажном плане 1001, общей площадью 63,1 кв. м., расположенного по адресу: г. Шуя, ул. 1-я Московская, д. 28.</t>
  </si>
  <si>
    <t>06.05.22 14:00</t>
  </si>
  <si>
    <t>Ивановская обл, г Шуя, ул Московская 1-я, д 28</t>
  </si>
  <si>
    <t>37:28:020312:114</t>
  </si>
  <si>
    <t>Нежилое помещение с кадастровым номером 37:24:040626:470 площадью 120,8 кв.м, расположенное по адресу: г. Иваново, проезд Шахтинский, д. 79, пом. 1001.</t>
  </si>
  <si>
    <t>20.04.22 20:59</t>
  </si>
  <si>
    <t>г Иваново, Шахтинский проезд, д 79</t>
  </si>
  <si>
    <t>405053</t>
  </si>
  <si>
    <t xml:space="preserve">37:24:040626:470 </t>
  </si>
  <si>
    <t>Год постройки помещения – 1965 , этаж 1.Конструктивные элементы основного строения: фундамент – железобетонный (мелкие трещины в цоколе здания), материал наружных стен и их наружная отделка – кирпичные, чердачные перекрытия – сборные железобетонные плиты, крыша – мягкая кровля совмещенная, полы – бетонные, проемы дверные – металлические ворота, электроснабжение отсутствует.Обременения, арест на объект отсутствуют.</t>
  </si>
  <si>
    <t>10.06.22 19:00</t>
  </si>
  <si>
    <t>Иркутская обл, г Усолье-Сибирское, ул Бурлова</t>
  </si>
  <si>
    <t>76846</t>
  </si>
  <si>
    <t xml:space="preserve">38:31:000049:966, </t>
  </si>
  <si>
    <t>Нежилое помещение, назначение: нежилое помещение, кадастровый номер: 38:26:040402:8377, расположенное по адресу: Иркутская область, г. Ангарск, мкр-н 8, д. 8, помещение 32, общей площадью 404,5 кв.м.</t>
  </si>
  <si>
    <t>12.05.22 06:00</t>
  </si>
  <si>
    <t>Иркутская область, г. Ангарск, мкр-н 8, д. 8</t>
  </si>
  <si>
    <t>7573</t>
  </si>
  <si>
    <t>47</t>
  </si>
  <si>
    <t xml:space="preserve">38:26:040402:8377, </t>
  </si>
  <si>
    <t>Лот № 1 - нежилое помещение на 1-ом этаже 4-х этажного жилого дома общей площадью 233,5 кв. м., кадастровый номер 38:33:020147:254, расположенное по адресу: Иркутская область, г Свирск, ул. Дзержинского, д. 3-33.</t>
  </si>
  <si>
    <t>07.04.22 10:00</t>
  </si>
  <si>
    <t>Иркутская обл, г Свирск, ул Дзержинского, д 3, кв 33</t>
  </si>
  <si>
    <t>12779</t>
  </si>
  <si>
    <t xml:space="preserve">38:33:020147:254, </t>
  </si>
  <si>
    <t>Нежилое помещение, назначение: нежилое помещение, кадастровый номер: 38:26:040502:1223, расположенное по адресу: Иркутская область, г. Ангарск,                           кв-л. 178-й,  д. 2, пом. 3, общей площадью 52 кв.м.</t>
  </si>
  <si>
    <t>25.07.22 06:00</t>
  </si>
  <si>
    <t>Иркутская обл, г Ангарск, кв-л 178, д 2</t>
  </si>
  <si>
    <t>225489</t>
  </si>
  <si>
    <t xml:space="preserve">38:26:040502:1223, </t>
  </si>
  <si>
    <t>Ветеринарный пункт, назначение: нежилое помещение, площадь 40,4 кв.м, этаж № 1, кадастровый номер 38:36:000008:6565, расположенный по адресу: Иркутская область, г. Иркутск, ул. Делегатская, 18</t>
  </si>
  <si>
    <t>10.03.22 06:00</t>
  </si>
  <si>
    <t>г Иркутск, ул Делегатская, д 18</t>
  </si>
  <si>
    <t>Ветеринарный пункт</t>
  </si>
  <si>
    <t>623479</t>
  </si>
  <si>
    <t xml:space="preserve">38:36:000008:6565, </t>
  </si>
  <si>
    <t>Нежилое помещение, назначение: нежилое помещение, кадастровый номер: 38:26:040203:2679, расположенное по адресу: Иркутская область, г. Ангарск, кв-л. 91-й, д. 13, пом. 7, общей площадью 128,9 кв.м.</t>
  </si>
  <si>
    <t>Иркутская обл, г Ангарск, кв-л 91, д 13</t>
  </si>
  <si>
    <t xml:space="preserve">38:26:040203:2679, </t>
  </si>
  <si>
    <t>Нежилое помещение, назначение: нежилое, кадастровый номер: 38:26:040201:3697, расположенное по адресу: Иркутская область, г. Ангарск, мкр. 6-й, д. 13/13а, пом. 152, общей площадью 396,5 кв.м.</t>
  </si>
  <si>
    <t>Иркутская обл, г Ангарск, мкр 6, д 13</t>
  </si>
  <si>
    <t xml:space="preserve">38:26:040201:3697, </t>
  </si>
  <si>
    <t>Нежилое помещение с кадастровым номером 38:22:000054:1204, площадью 99,2кв.м., находится в цокольном этаже многоквартирного панельного жилого дома. Требуется ремонт помещения.</t>
  </si>
  <si>
    <t>04.07.22 09:00</t>
  </si>
  <si>
    <t>Иркутская обл, г Бодайбо, ул Карла Либкнехта, д 54, помещ 7</t>
  </si>
  <si>
    <t>11931</t>
  </si>
  <si>
    <t xml:space="preserve">38:22:000054:1204, </t>
  </si>
  <si>
    <t>Нежилое помещение, назначение: нежилое помещение, общая площадь 49,7 кв.м., этаж №1, кадастровый номер 38:06:130101:2679, расположенное по адресу: Иркутская область, Иркутский район, с. Мамоны, ул. Центральная,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производства, площадь 6976 кв.м., кадастровый номер 38:06:130101:1026, расположенный по адресу: Иркутская область, Иркутский район, с. Мамоны, ул. Центральная,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</si>
  <si>
    <t>Иркутская обл, Иркутский р-н, село Мамоны, ул Центральная</t>
  </si>
  <si>
    <t>5751</t>
  </si>
  <si>
    <t xml:space="preserve">38:06:130101:2679, </t>
  </si>
  <si>
    <t>Жилой дом с нежилыми помещениями (аварийный, подлежащий сносу) с кадастровым номером 39:11:010009:40, общей площадью 194,2 кв.м.; земельный участок из земель населенных пунктов с кадастровым номером 39:11:010009:116, общей площадью 205,0 кв.м, с разрешенным использованием – среднеэтажная жилая застройка (под существующим многоквартирным жилым домом), расположенные по адресу: Калининградская область, город Правдинск, улица Столярная, дом 9</t>
  </si>
  <si>
    <t>21.07.22 15:00</t>
  </si>
  <si>
    <t>Калининградская обл, г Правдинск, ул Столярная, д 9</t>
  </si>
  <si>
    <t>6748</t>
  </si>
  <si>
    <t xml:space="preserve">39:11:010009:40, </t>
  </si>
  <si>
    <t>Нежилое здание (водонапорная башня № 3) с кадастровым номером 39:11:020009:220, общей площадью 83,8 кв.м., расположенного по адресу: Калининградская область, Правдинский район, п. Железнодорожный, ул. Вокзальная.</t>
  </si>
  <si>
    <t>Калининградская обл, Правдинский р-н, поселок Железнодорожный, ул Вокзальная</t>
  </si>
  <si>
    <t>300</t>
  </si>
  <si>
    <t xml:space="preserve">39:11:020009:220, </t>
  </si>
  <si>
    <t>В соответствии с информационным сообщением.</t>
  </si>
  <si>
    <t>05.08.22 08:00</t>
  </si>
  <si>
    <t>г Калининград, ул Лермонтова, д 16</t>
  </si>
  <si>
    <t>467289</t>
  </si>
  <si>
    <t>39:15:131822:244</t>
  </si>
  <si>
    <t>Нежилое помещение, площадью 121.8 кв.м, кадастровый номер: 39:15:133003:78, этаж № 1</t>
  </si>
  <si>
    <t>г Калининград, ул Аксакова, д 131</t>
  </si>
  <si>
    <t xml:space="preserve">39:15:133003:78, </t>
  </si>
  <si>
    <t>Нежилое помещение, назначение: нежилое помещение, общая площадь 41,5 кв.м, этаж № 1, кадастровый номер 40:26:000142:439, адрес (местоположение): Калужская область, г. Калуга, ул. Зеленая, д. 52, кв. 1</t>
  </si>
  <si>
    <t>17.02.22 20:59</t>
  </si>
  <si>
    <t>г Калуга, ул Зеленая, д 52</t>
  </si>
  <si>
    <t>335017</t>
  </si>
  <si>
    <t xml:space="preserve">40:26:000142:439, </t>
  </si>
  <si>
    <t>Нежилые помещения, назначение: нежилые помещения, расположенные по адресу: Калужская область, г. Калуга, ул. Воронина, д. 6/112 - общей площадью - 10,2 кв. м, этаж № 1, кадастровый номер 40:26:000262:1243, кв. 5, 6, 7, 8, 9, номер на поэтажном плане 11;- общей площадью - 55,5 кв. м, цокольный этаж, кадастровый номер 40:26:000262:1240, кв. 3, 4;- общей площадью - 27,8 кв. м, этаж № 1, кадастровый номер 40:26:000262:836, кв. 6;- общей площадью - 28,3 кв. м, этаж № 1, кадастровый номер 40:26:000262:1066, кв. 5, 6, 7, 8, 9, номера на поэтажном плане 8, 9, 10;- общей площадью - 10,8 кв. м, этаж № 1, кадастровый номер 40:26:000262:233, кв. 5, 6, 7, 8, 9, номер на поэтажном плане 1;- общей площадью - 29 кв. м, этаж № 1, кадастровый номер 40:26:000262:234, кв. 5, 6, 7, 8, 9, номер на поэтажном плане 5, 6, 7, 12,находятся в выявленном объекте культурного наследия «Жилой дом, кон. XIX в.»</t>
  </si>
  <si>
    <t>15.07.22 20:59</t>
  </si>
  <si>
    <t>г Калуга, ул Воронина</t>
  </si>
  <si>
    <t xml:space="preserve">40:26:000262:1243, </t>
  </si>
  <si>
    <t>Здание, кадастровый (или условный) номер объекта: 41:01:0010112:285, назначение объекта: нежилое, вид права: собственность, площадь объекта: 375.50 кв. м., адрес (местоположение) объекта: Камчатский край, г. Петропавловск-Камчатский, ул. Приморская, д. 94. Здание в плохом состоянии, местами обвал крыши, повреждение стен, следы возгорания, выбиты стекла, провален пол, нет света.</t>
  </si>
  <si>
    <t>16.05.22 22:00</t>
  </si>
  <si>
    <t>г Петропавловск-Камчатский, ул Приморская, д 94</t>
  </si>
  <si>
    <t>114</t>
  </si>
  <si>
    <t xml:space="preserve">41:01:0010112:285, </t>
  </si>
  <si>
    <t>Помещение с кадастровым номером 41:05:0101017:568, назначение: нежилое помещение, площадью 334,1 кв., количество этажей: 1, адрес (местонахождение) объекта: Камчатский край, Елизовский район, пос. Начики, д. 15, помещение 46</t>
  </si>
  <si>
    <t>19.04.22 11:30</t>
  </si>
  <si>
    <t>Камчатский край, Елизовский р-н, поселок Начики, д 15</t>
  </si>
  <si>
    <t>313</t>
  </si>
  <si>
    <t xml:space="preserve">41:05:0101017:568, </t>
  </si>
  <si>
    <t>Нежилое помещение, общей площадью 125,7 кв.м., кадастровый номер 42:35:0107004:1359, расположенное по адресу: Кемеровская область, р-н. Топкинский, г. Топки, ул. Революции, д. 3 (реестровый номер федерального имущества П13430000796).</t>
  </si>
  <si>
    <t>20.03.22 13:00</t>
  </si>
  <si>
    <t>Кемеровская область - Кузбасс, г Топки, ул Революции, д 3</t>
  </si>
  <si>
    <t>27880</t>
  </si>
  <si>
    <t xml:space="preserve">42:35:0107004:1359, </t>
  </si>
  <si>
    <t>Нежилое помещение общей площадью 537,5 кв. м, кадастровый номер 42:24:0301011:7118, Кемеровская область - Кузбасс, г. Кемерово, ул. Инициативная, д. 23а, помещение 8</t>
  </si>
  <si>
    <t>18.07.22 08:00</t>
  </si>
  <si>
    <t>г Кемерово, ул Инициативная, д 23А, помещ 8</t>
  </si>
  <si>
    <t>558973</t>
  </si>
  <si>
    <t xml:space="preserve">42:24:0301011:7118, </t>
  </si>
  <si>
    <t>Нежилое помещение площадью 483,3 кв.м по адресу: Кемеровская область, Прокопьевский городской округ, город Прокопьевск, улица Российская, 40, помещение №1</t>
  </si>
  <si>
    <t>14.02.22 08:00</t>
  </si>
  <si>
    <t>Кемеровская область - Кузбасс, г Прокопьевск, ул Российская, д 40, помещ 1</t>
  </si>
  <si>
    <t>191839</t>
  </si>
  <si>
    <t>42:32:0102004:2651</t>
  </si>
  <si>
    <t>Нежилое помещение, кад. №42:25:0108004:2348, общей пл.321,9 кв.м по адресу: Кемеровская область-Кузбасс, г.Киселевск, ул.Советская, д. 4а, помещение 1</t>
  </si>
  <si>
    <t>21.03.22 08:00</t>
  </si>
  <si>
    <t>Кемеровская область - Кузбасс, г Киселевск, ул Советская, д 4А, кв 1</t>
  </si>
  <si>
    <t>88192</t>
  </si>
  <si>
    <t xml:space="preserve">42:25:0108004:2348, </t>
  </si>
  <si>
    <t>нежилое помещение, расположенное по адресу: Кемеровская область, г. Березовский, ул. Мира, д. 46, пом. 518, площадью 310,4 кв.м., кадастровый номер: 42:22:0102009:2033;назначение объекта: нежилое</t>
  </si>
  <si>
    <t>24.05.22 10:30</t>
  </si>
  <si>
    <t>Кемеровская область - Кузбасс, г Березовский, ул Мира, д 46</t>
  </si>
  <si>
    <t>102387</t>
  </si>
  <si>
    <t>42:22:0102009:2033;</t>
  </si>
  <si>
    <t>Нежилое помещение, кад. №42:24:0301019:5302, общей пл.493,1 кв.м по адресу: Кемеровская область-Кузбасс, г.Кемерово, ул.Халтурина, д. 39, помещение 34</t>
  </si>
  <si>
    <t>г Кемерово, ул Халтурина, д 39</t>
  </si>
  <si>
    <t xml:space="preserve">42:24:0301019:5302, </t>
  </si>
  <si>
    <t>Нежилое помещение, кад. №42:20:0102046:1694, общей пл.67 кв.м по адресу:Кемеровская область-Кузбасс, г.Анжеро-Судженск, ул.Желябова, д. 11</t>
  </si>
  <si>
    <t>Кемеровская область - Кузбасс, г Анжеро-Судженск, ул Желябова, д 11</t>
  </si>
  <si>
    <t>74950</t>
  </si>
  <si>
    <t xml:space="preserve">42:20:0102046:1694, </t>
  </si>
  <si>
    <t>Нежилое помещение, общей площадью 104,2 кв.м., кадастровый номер 42:32:0103013:32317, расположенное по адресу: Кемеровская область, город Прокопьевск, улица 10 микрорайон, 7, помещение 1п.</t>
  </si>
  <si>
    <t>20.06.22 08:00</t>
  </si>
  <si>
    <t>Кемеровская область - Кузбасс, г Прокопьевск, ул 10-й микрорайон, д 7</t>
  </si>
  <si>
    <t xml:space="preserve">42:32:0103013:32317, </t>
  </si>
  <si>
    <t>нежилое помещение площадью 26 кв.м по адресу: Кемеровская область, Прокопьевский городской округ, город Прокопьевск, улица Коксовая, 38, помещение №3</t>
  </si>
  <si>
    <t>Кемеровская область - Кузбасс, г Прокопьевск, ул Коксовая, д 38, помещ 3</t>
  </si>
  <si>
    <t>42:32:0101017:4137</t>
  </si>
  <si>
    <t>нежилое помещение площадью 39,1 кв.м, по адресу: Кемеровская область, г. Прокопьевск, ул.Институтская, д.3, пом. 1п</t>
  </si>
  <si>
    <t>Кемеровская область - Кузбасс, г Прокопьевск, ул Институтская, д 3</t>
  </si>
  <si>
    <t>42:32:0103013:33243</t>
  </si>
  <si>
    <t>Нежилое помещение, общей  площадью 26,3 кв.м., кадастровый номер 42:32:0103013:35469,  расположенное по адресу: Кемеровская область, город Прокопьевск, проспект Строителей, 7, помещение 3</t>
  </si>
  <si>
    <t>03.08.22 08:00</t>
  </si>
  <si>
    <t>Кемеровская область - Кузбасс, г Прокопьевск, пр-кт Строителей, зд 7</t>
  </si>
  <si>
    <t xml:space="preserve">42:32:0103013:35469,  </t>
  </si>
  <si>
    <t>См. в документах по лоту</t>
  </si>
  <si>
    <t>Кемеровская область - Кузбасс, г Новокузнецк, р-н Центральный, пр-кт Строителей, д 45</t>
  </si>
  <si>
    <t>551919</t>
  </si>
  <si>
    <t>42:30:0301035: 1488</t>
  </si>
  <si>
    <t>встроенное нежилое помещение с кадастровым номером 42:29:0101001:2376, площадью 57,0 кв.м., расположенное по адресу: Кемеровская обл., г. Мыски, ул. Пушкина д. 2 пом. 1</t>
  </si>
  <si>
    <t>18.05.22 03:00</t>
  </si>
  <si>
    <t>Кемеровская область - Кузбасс, г Мыски, ул Пушкина, д 2</t>
  </si>
  <si>
    <t>41379</t>
  </si>
  <si>
    <t xml:space="preserve">42:29:0101001:2376, </t>
  </si>
  <si>
    <t>Нежилое помещение, количество этажей: 1, площадь 273,5 кв.м., год завершения строительства: 1954г., кадастровый номер: 43:24:330402:596</t>
  </si>
  <si>
    <t>28.06.22 05:00</t>
  </si>
  <si>
    <t>Кировская обл, Оричевский р-н, поселок Зенгино, ул Производственная, д 3, помещ 1002</t>
  </si>
  <si>
    <t>273</t>
  </si>
  <si>
    <t>43:24:330402:596</t>
  </si>
  <si>
    <t>Нежилое помещение площадью 223 кв.м с кадастровым номером 43:41:000017:1128 (реестровый номер федерального имущества П13440001744), расположенное по адресу: Кировская область, р-н Вятскополянский, г. Вятские Поляны, ул. Профсоюзная, д. 2, пом. 1001.</t>
  </si>
  <si>
    <t>Кировская обл, г Вятские Поляны, ул Профсоюзная, д 2</t>
  </si>
  <si>
    <t>33719</t>
  </si>
  <si>
    <t xml:space="preserve">43:41:000017:1128 </t>
  </si>
  <si>
    <t>помещение, назначение: нежилое, общая площадь 291,0 кв.метров, этаж цокольный, расположенное по адресу: г. Кирово-Чепецк, ул. Сосновая, д. 3/2, пом. 5, кадастровый номер: 43:42:000057:0012:33:407:001:017067430:0100:20005</t>
  </si>
  <si>
    <t>13.07.22 20:00</t>
  </si>
  <si>
    <t>Кировская обл, г Кирово-Чепецк, ул Сосновая, д 3 к 2</t>
  </si>
  <si>
    <t>45058</t>
  </si>
  <si>
    <t>43:42:000057:0012</t>
  </si>
  <si>
    <t>Имущественный комплекс:- помещение магазина, кадастровый номер 43:35:310129:182, общей площадью 146,70 кв.м., 1917 года ввода, расположенное по адресу: Кировская обл., г. Уржум, ул. Советская, д.9, пом. 1001, - помещение магазина, кадастровый номер 43:35:310129:221, общей площадью 211,1 кв.м., 1917 года ввода, расположенное по адресу: Кировская обл., г. Уржум, ул. Советская, д. 9, пом. 1002.</t>
  </si>
  <si>
    <t>29.03.22 12:00</t>
  </si>
  <si>
    <t>Кировская обл, г Уржум, ул Советская, д 9, помещ 1001</t>
  </si>
  <si>
    <t>магазина</t>
  </si>
  <si>
    <t>10040</t>
  </si>
  <si>
    <t>EK</t>
  </si>
  <si>
    <t xml:space="preserve">43:35:310129:182, </t>
  </si>
  <si>
    <t>нежилое помещение, назначение: торговое. Площадь 64,6 кв.м. Этаж 1. Адрес объекта: Кировская область, город Кирово-Чепецк, улица Ленина, дом 6/5. Кадастровый номер: 43:42:000061:0023:33:407:001:005387080:0100:20004</t>
  </si>
  <si>
    <t>26.02.22 20:00</t>
  </si>
  <si>
    <t>Кировская обл, г Кирово-Чепецк, ул Ленина, д 6 к 5</t>
  </si>
  <si>
    <t>43:42:000061:0023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</si>
  <si>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2</t>
  </si>
  <si>
    <t>24.02.22 15:00</t>
  </si>
  <si>
    <t>г Киров, ул Спасская, зд 12г1</t>
  </si>
  <si>
    <t>531558</t>
  </si>
  <si>
    <t>43:40:000306:239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</si>
  <si>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3</t>
  </si>
  <si>
    <t>43:40:000306:238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</si>
  <si>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1</t>
  </si>
  <si>
    <t>43:40:000306:237</t>
  </si>
  <si>
    <t>Нежилое помещение площадью 224,2 кв.м. с кадастровым номером 43:40:000300:246 (реестровый номер федерального имущества П13440000733), расположенное по адресу: Кировская область, г. Киров, ул. Московская, д. 8, пом. 1004.</t>
  </si>
  <si>
    <t>14.03.22 11:00</t>
  </si>
  <si>
    <t>г Киров, ул Московская, д 8</t>
  </si>
  <si>
    <t xml:space="preserve">43:40:000300:246 </t>
  </si>
  <si>
    <t>часть здания-склада, расположенного по адресу: Костромская обл., г. Буй, ул. Островского, д. 6, общей площадью 630,3 кв.м. Состояние удовлетворительное.</t>
  </si>
  <si>
    <t>14.05.22 14:00</t>
  </si>
  <si>
    <t>Костромская обл, г Буй, ул Островского, д 6</t>
  </si>
  <si>
    <t>29434</t>
  </si>
  <si>
    <t>44:25:030307:163</t>
  </si>
  <si>
    <t>помещение с кадастровым номером 44:27:040511:657, назначение: нежилое помещение, площадью 30 кв.м на первом этаже</t>
  </si>
  <si>
    <t>21.02.22 14:00</t>
  </si>
  <si>
    <t>г Кострома, ул Шагова, д 101, помещ 2</t>
  </si>
  <si>
    <t>280466</t>
  </si>
  <si>
    <t xml:space="preserve">44:27:040511:657, </t>
  </si>
  <si>
    <t>нежилое помещение, расположенное на 1 этаже МКД, общей площадью 84,2 кв.м., кадастровый номер 44:31:020408:578</t>
  </si>
  <si>
    <t>19.04.22 14:00</t>
  </si>
  <si>
    <t>Костромская обл, г Шарья, ул Ивана Шатрова, д 14</t>
  </si>
  <si>
    <t>38844</t>
  </si>
  <si>
    <t>44:31:020408:578</t>
  </si>
  <si>
    <t>Помещение с кадастровым номером 44:27:060402:58, назначение: нежилое помещение, площадью 32,3 квадратного метра, расположенное по адресу: Российская Федерация, Костромская область, городской округ город Кострома, город Кострома, улица Центральная, дом 4, помещение 1а.</t>
  </si>
  <si>
    <t>16.05.22 14:00</t>
  </si>
  <si>
    <t>г Кострома, ул Центральная, д 4</t>
  </si>
  <si>
    <t xml:space="preserve">44:27:060402:58, </t>
  </si>
  <si>
    <t>Квартира</t>
  </si>
  <si>
    <t>10.08.22 20:59</t>
  </si>
  <si>
    <t>г Кострома, ул Новый Быт, д 6, кв 133</t>
  </si>
  <si>
    <t xml:space="preserve">44:27:040311:1489 </t>
  </si>
  <si>
    <t>помещение с кадастровым номером 44:27:040205:116, назначение: нежилое помещение, площадью 131,9 квадратного метра, имеющее местоположение: Костромская область, городской округ город Кострома, город Кострома, улица Симановского, дом 11, помещение 1, комнаты № № 1, 2, 25-27</t>
  </si>
  <si>
    <t>08.08.22 14:00</t>
  </si>
  <si>
    <t>г Кострома, ул Симановского, д 11</t>
  </si>
  <si>
    <t xml:space="preserve">44:27:040205:116, </t>
  </si>
  <si>
    <t>Нежилые помещения в здании гостиницы, кадастровый номер 45:04:020201:735, общей площадью 1084,8 кв.м., расположенные по адресу: Курганская обл., г. Далматово, ул. Энгельса, 17.</t>
  </si>
  <si>
    <t>16.03.22 12:00</t>
  </si>
  <si>
    <t>Курганская обл, г Далматово, ул Энгельса, д 17</t>
  </si>
  <si>
    <t>12413</t>
  </si>
  <si>
    <t xml:space="preserve">45:04:020201:735, </t>
  </si>
  <si>
    <t>Объект недвижимого имущества - нежилое помещение, назначение: нежилое, кадастровый номер: 45:03:020109:1035, площадь 120,8 кв. м, номер, тип этажа, на котором расположено помещение, машино-место: этаж № 1, по адресу: Курганская область, Варгашинский район, р.п. Варгаши, ул. Социалистическая, д. 88.</t>
  </si>
  <si>
    <t>20.04.22 11:00</t>
  </si>
  <si>
    <t>Курганская обл, рп Варгаши, ул Социалистическая, д 88</t>
  </si>
  <si>
    <t>9218</t>
  </si>
  <si>
    <t xml:space="preserve">45:03:020109:1035, </t>
  </si>
  <si>
    <t>помещение, назначение: нежилое; площадь: общая 67,4 кв.м., номера на поэтажном плане: №18-20, кадастровый номер: 45:10:030105:230, адрес (местоположение): Россия, Курганская область, Лебяжьевский район, р.п. Лебяжье, ул. Спортивная, д. 36/II</t>
  </si>
  <si>
    <t>03.07.22 18:00</t>
  </si>
  <si>
    <t>Курганская обл, рп Лебяжье, ул Спортивная, д 36, помещ 2</t>
  </si>
  <si>
    <t>13547</t>
  </si>
  <si>
    <t xml:space="preserve">45:10:030105:230, </t>
  </si>
  <si>
    <t>Помещения расположенные в здании, где работал Курганский революционный трибунал (Дом М.М. Дунаева), назначение: нежилое, кадастровый номер: 45:25:070310:4198, площадь: 174,7 кв. м, этаж: № 1, 2, по адресу: Курганская область, г. Курган, ул. Куйбышева, д. 87</t>
  </si>
  <si>
    <t>24.07.22 11:00</t>
  </si>
  <si>
    <t>г Курган, ул Куйбышева, д 87</t>
  </si>
  <si>
    <t>322042</t>
  </si>
  <si>
    <t xml:space="preserve">45:25:070310:4198, </t>
  </si>
  <si>
    <t>г. Курган, ул. Пролетарская, д. 82, нежилое помещение, кадастровый номер: 45:25:070401:2692, общей площадью 31,8 кв.м.</t>
  </si>
  <si>
    <t>25.03.22 13:00</t>
  </si>
  <si>
    <t>г Курган, ул Пролетарская, д 82</t>
  </si>
  <si>
    <t xml:space="preserve">45:25:070401:2692, </t>
  </si>
  <si>
    <t>Объект недвижимого имущества - помещение офиса, назначение: нежилое, кадастровый номер: 45:25:070402:793, площадь: 111,6 кв. м, номер, тип этажа, на котором расположено помещение, машино-место: этаж № 01 по адресу: Курганская область, г. Курган, ул. Савельева, д. 58, пом. I.</t>
  </si>
  <si>
    <t>24.04.22 11:00</t>
  </si>
  <si>
    <t>г Курган, ул Савельева, д 58</t>
  </si>
  <si>
    <t xml:space="preserve">45:25:070402:793, </t>
  </si>
  <si>
    <t>Помещение, назначение: нежилое, наименование: нежилое помещение I в здании литер А, вид разрешенного использования: нежилое, площадь – 208.2 кв.м, номер, тип этажа, на котором расположено помещение, машиноместо: этаж № 1, адрес объекта: Курская область, г. Курск, ул. Хуторская, д. 3, кадастровый  номер: 46:29:102153:1220</t>
  </si>
  <si>
    <t>25.07.22 14:00</t>
  </si>
  <si>
    <t>г Курск, ул Хуторская, д 3</t>
  </si>
  <si>
    <t>449556</t>
  </si>
  <si>
    <t>46:29:102153:1220</t>
  </si>
  <si>
    <t>Нежилое помещение. Этаж № 1. Площадь 59,6 кв.м. Кадастровый номер 46:32:010101:11347, расположенное по адресу: Курская обл., г. Льгов, ул. К. Маркса, д. 21, пом. II;</t>
  </si>
  <si>
    <t>30.06.22 13:00</t>
  </si>
  <si>
    <t>Курская обл, г Льгов, ул К.Маркса, д 21</t>
  </si>
  <si>
    <t>18435</t>
  </si>
  <si>
    <t xml:space="preserve">46:32:010101:11347, </t>
  </si>
  <si>
    <t>Нежилое помещение VI 1-го этажа (к/н 46:29:102330:513), площадью 26,1 кв.м. (объект культурного наследия) расположенное по адресу: г. Курск, ул. Ленина, 95.</t>
  </si>
  <si>
    <t>10.06.22 06:00</t>
  </si>
  <si>
    <t>г Курск, ул Ленина, д 95</t>
  </si>
  <si>
    <t>46:29:102330:513</t>
  </si>
  <si>
    <t>Нежилое помещение, назначение: нежилое помещение, общей площадью 586 кв.метров, кадастровый номер 47:28:0000000:3509, расположенное по адресу: Ленинградская область, г. Сланцы, ул. Свердлова, д.1/8, пом.1.</t>
  </si>
  <si>
    <t>22.03.22 14:00</t>
  </si>
  <si>
    <t>Ленинградская область, г. Сланцы, ул. Свердлова, д.1/8</t>
  </si>
  <si>
    <t>2277</t>
  </si>
  <si>
    <t>6</t>
  </si>
  <si>
    <t xml:space="preserve">47:28:0000000:3509, </t>
  </si>
  <si>
    <t>общая площадь 251,7 кв.м., количество этажей - 1, кадастровый номер 47:07:0000000:82397, условный номер 47-78-12/001/2010-182,инвентарный номер 41:212:002:000001530:01080:00000,адрес объекта: Российская Федерация, Ленинградская область, Всеволожский район, пос. Углово;- земельный участок кадастровый № 47:07:0915007:530, общая площадь 1303 кв.м., категория земель: 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назначения, вид разрешенного использования: для спецнадобностей территориальная зона ж2-зона застройки малоэтажными жилыми домами, адрес объекта: Ленинградская область, Всеволожский муниципальный район, Романовское сельское поселение, п.Углово.</t>
  </si>
  <si>
    <t>08.08.22 09:00</t>
  </si>
  <si>
    <t>Ленинградская обл, Всеволожский р-н, поселок Углово</t>
  </si>
  <si>
    <t>магазин</t>
  </si>
  <si>
    <t>1356</t>
  </si>
  <si>
    <t xml:space="preserve">47:07:0000000:82397, </t>
  </si>
  <si>
    <t>Описание имущества в приложенном файле: «Описание имущества»</t>
  </si>
  <si>
    <t>06.06.22 20:59</t>
  </si>
  <si>
    <t>Ленинградская обл, Ломоносовский р-н, деревня Горбунки, д 9</t>
  </si>
  <si>
    <t>6640</t>
  </si>
  <si>
    <t>47:14:0413001:2543</t>
  </si>
  <si>
    <t>нежилое помещение с кадастровым номером 47:11:0101034:67, площадью 122,23 кв.м. по адресу: Ленинградская область, Волховский район, г. Новая Ладога, пр.Карла Маркса, д.22</t>
  </si>
  <si>
    <t>29.06.22 07:59</t>
  </si>
  <si>
    <t>Ленинградская обл, Волховский р-н, г Новая Ладога, пр-кт Карла Маркса, д 22</t>
  </si>
  <si>
    <t>8027</t>
  </si>
  <si>
    <t xml:space="preserve">47:11:0101034:67, </t>
  </si>
  <si>
    <t>Ленинградская обл, Ломоносовский р-н, деревня Горбунки, д 16 к 1</t>
  </si>
  <si>
    <t>47:14:0000000:32179</t>
  </si>
  <si>
    <t>Помещение площадью 208,10 кв.м.</t>
  </si>
  <si>
    <t>Магаданская обл, пгт Ягодное, ул Металлистов, д 8</t>
  </si>
  <si>
    <t>49:08:070103:758</t>
  </si>
  <si>
    <t>Наименование имущества: Котельная, назначение объекта: нежилое, площадь 114,9 кв. м, адрес (местоположение) объекта: Магаданская область, г. Магадан, ул. Продольная, д.22, кадастровый номер 49:09:031002:251.</t>
  </si>
  <si>
    <t>19.07.22 06:00</t>
  </si>
  <si>
    <t>г Магадан, ул Продольная, д 22</t>
  </si>
  <si>
    <t>Котельная</t>
  </si>
  <si>
    <t>42</t>
  </si>
  <si>
    <t>49:09:031002:251</t>
  </si>
  <si>
    <t>Наименование имущества: Нежилое помещение; назначение: нежилое помещение; площадь: 242,6 кв. м, адрес: Магаданская обл., р-н Ягоднинский, п. Синегорье, ул. Первая, д.2; кадастровый номер: 49:08:050002:1444.</t>
  </si>
  <si>
    <t>Магаданская обл, Ягоднинский р-н, пгт Синегорье, ул Первая, д 2</t>
  </si>
  <si>
    <t>49:08:050002:1444</t>
  </si>
  <si>
    <t>Наименование имущества: Водозабор; назначение: нежилое здание; площадь: 208,6 кв. м, адрес: Магаданская обл., р-н Ягоднинский, п. Синегорье; кадастровый номер: 49:08:000000:576 и право аренды на земельный участок, площадь 930,00 кв. м; категория земель: земли населенных пунктов; вид разрешенного использования: под водозабор на реке Колыма; адрес: установлено относительно ориентира, расположенного за пределами участка. Почтовый адрес ориентира: Магаданская обл., р-н Ягоднинский, п. Синегорье, окраина поселка; кадастровый номер: 49:08:050004:15.</t>
  </si>
  <si>
    <t>Магаданская обл, Ягоднинский р-н, пгт Синегорье</t>
  </si>
  <si>
    <t xml:space="preserve">49:08:000000:576 </t>
  </si>
  <si>
    <t>Продажа нежилого помещения 85,5 кв.м в Богородском г.о.</t>
  </si>
  <si>
    <t>04.05.22 15:00</t>
  </si>
  <si>
    <t>Московская обл, г Ногинск, ул Текстилей, д 29</t>
  </si>
  <si>
    <t>100072</t>
  </si>
  <si>
    <t>50:16:0301001:3345</t>
  </si>
  <si>
    <t>Продажа нежилого помещения 169,9 в Сергиево-Посадском г.о.</t>
  </si>
  <si>
    <t>04.07.22 15:00</t>
  </si>
  <si>
    <t>Московская обл, г Сергиев Посад, ул Куликова, д 21, помещ 1</t>
  </si>
  <si>
    <t>111179</t>
  </si>
  <si>
    <t>50:05:0000000:26263</t>
  </si>
  <si>
    <t>Продажа нежилого помещения 79,4 кв.м в г.о. Кашира</t>
  </si>
  <si>
    <t>16.08.22 15:00</t>
  </si>
  <si>
    <t>Московская обл, г Кашира, ул Сергея Ионова, д 3</t>
  </si>
  <si>
    <t>41870</t>
  </si>
  <si>
    <t>50:37:0060613:128</t>
  </si>
  <si>
    <t>Продажа нежилого помещения 82 кв.м в г.о. Кашира</t>
  </si>
  <si>
    <t>Московская обл, г Кашира, ул Клубная, д 1</t>
  </si>
  <si>
    <t>50:37:0070116:828</t>
  </si>
  <si>
    <t>Продажа нежилого помещения 108 кв.м в Дмитровском г.о.</t>
  </si>
  <si>
    <t>Московская обл, г Дмитров, село Рогачево, пл Осипова, д 22, помещ 3</t>
  </si>
  <si>
    <t>61305</t>
  </si>
  <si>
    <t>50:04:0080501:4733</t>
  </si>
  <si>
    <t>Продажа нежилого помещения 16,6 кв.м в Раменском г.о.</t>
  </si>
  <si>
    <t>27.06.22 15:00</t>
  </si>
  <si>
    <t>Московская обл, г Раменское, Донинское шоссе, д 6</t>
  </si>
  <si>
    <t>96317</t>
  </si>
  <si>
    <t>50:23:0000000:101055</t>
  </si>
  <si>
    <t>Продажа нежилого помещения (машино-место) 18,3 кв.м в г.о. Реутов</t>
  </si>
  <si>
    <t>Московская обл, г Реутов, ул Октября, д 32</t>
  </si>
  <si>
    <t>87314</t>
  </si>
  <si>
    <t>50:48:0030203:5536</t>
  </si>
  <si>
    <t>Продажа нежилого помещения (машино-место) 13,5 кв.м в г.о. Подольск</t>
  </si>
  <si>
    <t>23.05.22 15:00</t>
  </si>
  <si>
    <t>Российская Федерация, Московская область, городской округ Подольск, город Подольск, улица Рабочая, дом 4, машино-место 142</t>
  </si>
  <si>
    <t>50:55:0030321:670</t>
  </si>
  <si>
    <t>Продажа нежилого помещения (машино-место) 13,6 кв.м в г.о. Подольск</t>
  </si>
  <si>
    <t>17.06.22 15:00</t>
  </si>
  <si>
    <t>Российская Федерация, Московская область, городской округ Подольск, город Подольск, улица Рабочая, дом 4, машино-место 150</t>
  </si>
  <si>
    <t>50:55:0030321:678</t>
  </si>
  <si>
    <t>Продажа нежилого помещения 46,3 кв.м. в Рузском г.о.</t>
  </si>
  <si>
    <t>04.04.22 15:00</t>
  </si>
  <si>
    <t>Московская обл, г Руза, поселок Дорохово, ул Красная, д 1</t>
  </si>
  <si>
    <t>13495</t>
  </si>
  <si>
    <t xml:space="preserve">50:19:0010203:1730 </t>
  </si>
  <si>
    <t>Продажа нежилого помещения 78,5 кв.м в г.о. Подольск</t>
  </si>
  <si>
    <t>19.05.22 15:00</t>
  </si>
  <si>
    <t>Московская обл, г Подольск, мкр Климовск, ул Железнодорожная, д 3</t>
  </si>
  <si>
    <t>187961</t>
  </si>
  <si>
    <t>50:56:0000000:7959</t>
  </si>
  <si>
    <t>Продажа нежилого помещения 18,2 кв.м в г.о. Королёв</t>
  </si>
  <si>
    <t>06.06.22 15:00</t>
  </si>
  <si>
    <t>Московская область, г. Королев, ул. Первомайская, 7а, блок 1</t>
  </si>
  <si>
    <t>2825</t>
  </si>
  <si>
    <t>9</t>
  </si>
  <si>
    <t>50:45:0040202:88</t>
  </si>
  <si>
    <t>Продажа нежилого помещения 39,5 кв.м в г.о. Королёв</t>
  </si>
  <si>
    <t>12.04.22 15:00</t>
  </si>
  <si>
    <t>Московская обл, г Королёв, мкр Юбилейный, ул М.К.Тихонравова, д 42, помещ 01</t>
  </si>
  <si>
    <t>50:45:0000000:46556</t>
  </si>
  <si>
    <t>Продажа нежилого помещения 13,7 кв.м в г.о. Королев</t>
  </si>
  <si>
    <t>20.05.22 15:00</t>
  </si>
  <si>
    <t>Московская обл, г Королёв, пр-кт Королева, д 28</t>
  </si>
  <si>
    <t>50:45:0040802:363</t>
  </si>
  <si>
    <t>Продажа нежилого помещения 45,7 кв.м в г.о Реутов</t>
  </si>
  <si>
    <t>14.04.22 15:00</t>
  </si>
  <si>
    <t>Московская обл, г Реутов, ул Гагарина, д 11, помещ 34</t>
  </si>
  <si>
    <t>50:48:0000000:23453</t>
  </si>
  <si>
    <t>Продажа нежилого помещения 20,8 кв.м в г.о. Подольск</t>
  </si>
  <si>
    <t>Московская обл, г Подольск, мкр Климовск, Октябрьская пл, д 2а</t>
  </si>
  <si>
    <t>50:56:0000000:8053</t>
  </si>
  <si>
    <t>Нежилое помещение, назначение: нежилое помещение, площадью 14,8 кв.м., кадастровый номер: 50:11:0020410:2295, номер, тип этажа, на котором расположено помещение, машино-место: Этаж № 1, расположенное по адресу: Московская область, Красногорский район, дер. Путилково, ул. Братцевская, д. 12 пом. XVI (ком. 7).</t>
  </si>
  <si>
    <t>18.03.22 14:00</t>
  </si>
  <si>
    <t>Московская область, Красногорский район, дер. Путилково, ул. Братцевская, д. 12 пом. XVI (ком. 7)</t>
  </si>
  <si>
    <t xml:space="preserve">50:11:0020410:2295, </t>
  </si>
  <si>
    <t>нежилое помещение, общая площадь 387,9 кв.м, кадастровый номер 51:01:0203003:808, этаж 01, номер на поэтажном плане I,II,V,VI расположенное по адресу: Мурманская область, Кольский район, п.г.т. Мурмаши, ул.Тягунова, д.4</t>
  </si>
  <si>
    <t>29.07.22 20:59</t>
  </si>
  <si>
    <t>Мурманская обл, п.г.т. Мурмаши, ул. Тягунова, д. 4</t>
  </si>
  <si>
    <t>1359</t>
  </si>
  <si>
    <t xml:space="preserve">51:01:0203003:808, </t>
  </si>
  <si>
    <t>помещение, назначение: нежилое, кадастровый номер 51:16:0010102:595, площадью 642,6 кв.м., этаж: цокольный, номера на поэтажном плане I(1-15), II(1-20), расположенное по адресу: Мурманская обл., г. Кировск, ул. Кирова д. 3</t>
  </si>
  <si>
    <t>19.06.22 14:00</t>
  </si>
  <si>
    <t>Мурманская обл, г Кировск, ул Кирова, д 3</t>
  </si>
  <si>
    <t>55219</t>
  </si>
  <si>
    <t xml:space="preserve">51:16:0010102:595, </t>
  </si>
  <si>
    <t>нежилое помещение, общая площадь 32,5 кв.м, кадастровый номер 51:01:0207004:484, расположенное по адресу: Мурманская область, МО г.п. Мурмаши Кольского р-на, п.г.т. Мурмаши, ул.Цесарского, д. 2, пом. 69,70</t>
  </si>
  <si>
    <t>28.04.22 20:59</t>
  </si>
  <si>
    <t>Мурманская обл, п.г.т. Мурмаши, ул.Цесарского, д. 2</t>
  </si>
  <si>
    <t>1929</t>
  </si>
  <si>
    <t>8</t>
  </si>
  <si>
    <t xml:space="preserve">51:01:0207004:484, </t>
  </si>
  <si>
    <t>нежилое помещение, общая площадь 32,7 кв.м, расположенное по адресу: Мурманская область, МО г.п. Мурмаши Кольского р-на, п.г.т. Мурмаши, ул.Цесарского, д. 2, пом.II (23), кадастровый номер 51:01:0207004:342</t>
  </si>
  <si>
    <t>09.03.22 21:00</t>
  </si>
  <si>
    <t>51:01:0207004:342</t>
  </si>
  <si>
    <t>нежилое помещение, 1 этаж, площадь 36,10 кв.м, город Мурманск, проспект Кольский, дом 46, кадастровый номер 51:20:0001011:2017, номера на поэтажном плане: А/1/2а(1-4)</t>
  </si>
  <si>
    <t>14.03.22 20:00</t>
  </si>
  <si>
    <t>г Мурманск, Кольский пр-кт, д 46</t>
  </si>
  <si>
    <t>298096</t>
  </si>
  <si>
    <t xml:space="preserve">51:20:0001011:2017, </t>
  </si>
  <si>
    <t>Нежилое помещение, 1 этаж, площадь 78,60 кв.м, кадастровый номер 51:20:0001008:5272, номера на поэтажном плане: А/1/I(45,54,56,57)</t>
  </si>
  <si>
    <t>16.02.22 20:00</t>
  </si>
  <si>
    <t>г Мурманск, ул Зои Космодемьянской, д 1</t>
  </si>
  <si>
    <t xml:space="preserve">51:20:0001008:5272, </t>
  </si>
  <si>
    <t>Нежилое помещение П1 общей площадью 213,3 кв.м, с кадастровым номером 52:15:0080503:613 расположено на 1-м и 2-м этажах 2-этажного нежилого здания по адресу: Нижегородская область, Городецкий район, г. Городец, ул.М.Горького, д. 38, пом П1</t>
  </si>
  <si>
    <t>14.06.22 20:00</t>
  </si>
  <si>
    <t>Нижегородская обл, г Городец, ул М.Горького, д 38</t>
  </si>
  <si>
    <t>33089</t>
  </si>
  <si>
    <t xml:space="preserve">52:15:0080503:613 </t>
  </si>
  <si>
    <t>Нежилое помещение общей площадью 150,8 кв.м, с кадастровым номером 52:15:0080503:1737 расположено на 2-м и 3-м этажах 3-этажного нежилого здания по адресу: Нижегородская область, Городецкий район, г.Городец, ул.М.Горького, д. 36</t>
  </si>
  <si>
    <t>Нижегородская обл, г Городец, ул М.Горького, д 36</t>
  </si>
  <si>
    <t xml:space="preserve">52:15:0080503:1737 </t>
  </si>
  <si>
    <t>нежилое здание хлебопекарни площадью 116,8 кв.м.нежилое производственное здание площадью 483,3 кв.мнежилое здание котельной площадью 125,9 кв.м Адрес (местоположения ) 606860 Нижегородская обл. Ветлужский район деревня Отлузиха.</t>
  </si>
  <si>
    <t>19.04.22 09:00</t>
  </si>
  <si>
    <t>Ветлужский район  д.Отлузиха</t>
  </si>
  <si>
    <t>Нежилое помещение расположено на первом этаже двухэтажного нежилого здания. Имеется 1 отдельный и 1 совместный вход с другими пользователями.</t>
  </si>
  <si>
    <t>21.07.22 12:00</t>
  </si>
  <si>
    <t>г Нижний Новгород, ул Героя Васильева, д 55</t>
  </si>
  <si>
    <t>1276560</t>
  </si>
  <si>
    <t xml:space="preserve">52:18:0040116:720, </t>
  </si>
  <si>
    <t>Нежилое здание.Площадь; 84,2 кв.м.Этажность: 1 Кадастровый номер : 52:01:02001046511. Адрес: 606860, Нижегородская область, Ветлужский район г. ветлуга ул.ленина д.9 . помещение № П-1</t>
  </si>
  <si>
    <t>04.04.22 05:00</t>
  </si>
  <si>
    <t>Нижегородская обл, г Ветлуга, ул Ленина, д 9</t>
  </si>
  <si>
    <t>8984</t>
  </si>
  <si>
    <t>52:01:0200101:511</t>
  </si>
  <si>
    <t>Наименование объекта: нежилое помещение, общей площадью – 81,9 кв.м., этажность: 1(один), кадастровый номер: 52:46:0200502:108. Адрес объекта: 607490, Нижегородская область, Пильнинский район, р.п. Пильна, ул. Ленина д. 105.</t>
  </si>
  <si>
    <t>24.03.22 21:00</t>
  </si>
  <si>
    <t>Нижегородская обл, рп Пильна, ул Ленина, д 105, помещ 1</t>
  </si>
  <si>
    <t>7364</t>
  </si>
  <si>
    <t>52:46:0200502:108</t>
  </si>
  <si>
    <t>Нежилое помещение расположено на цокольном этаже одноэтажного жилого дома. Вход совместный с другими пользователями.</t>
  </si>
  <si>
    <t>07.04.22 12:00</t>
  </si>
  <si>
    <t>г Нижний Новгород, ул Канавинская, д 59</t>
  </si>
  <si>
    <t xml:space="preserve">52:18:0030080:129, </t>
  </si>
  <si>
    <t>Нежилое помещение, общая площадь 42,9 кв. м,</t>
  </si>
  <si>
    <t>29.04.22 13:00</t>
  </si>
  <si>
    <t>Нижегородская обл, Володарский р-н, тер массив земельных участков 3-1 Мая (рп Смолино), д 3</t>
  </si>
  <si>
    <t>52:22:0500004:3635</t>
  </si>
  <si>
    <t>Нежилое помещение расположено на первом этаже двухэтажного нежилого здания. Вход отдельный с торца здания.</t>
  </si>
  <si>
    <t>29.07.22 12:00</t>
  </si>
  <si>
    <t>г.Нижний Новгород, Автозаводский район, п. Новое Доскино, линия 13-я, д. 13</t>
  </si>
  <si>
    <t>594</t>
  </si>
  <si>
    <t>10</t>
  </si>
  <si>
    <t xml:space="preserve">52:18:0040051:6, </t>
  </si>
  <si>
    <t>Нежилое помещение расположено на первом этаже двухэтажного жилого дома. Объект находится в разрушенном состоянии.</t>
  </si>
  <si>
    <t>09.02.22 12:00</t>
  </si>
  <si>
    <t>г Нижний Новгород, пер Вахитова, д 7, помещ П2А</t>
  </si>
  <si>
    <t>52:18:0060027:626</t>
  </si>
  <si>
    <t>Помещение нежилое, этаж 1, кадастровый номер 52:26:0030064:2016</t>
  </si>
  <si>
    <t>30.05.22 05:00</t>
  </si>
  <si>
    <t>Кстовский район, п. Ждановский, ул. Школьная, д. 22</t>
  </si>
  <si>
    <t>2751</t>
  </si>
  <si>
    <t>52:26:0030064:2016</t>
  </si>
  <si>
    <t>Нежилое помещение расположено на первом этаже пятиэтажного жилого дома. Имеется 2 отдельных входа: 1 – с фасада, 1 – со двора дома.</t>
  </si>
  <si>
    <t>14.03.22 12:00</t>
  </si>
  <si>
    <t>г Нижний Новгород, Моторный пер, д 4 к 2</t>
  </si>
  <si>
    <t>52:18:0040200:478</t>
  </si>
  <si>
    <t>Нежилое помещение общей площадью 212,6 кв. м, кадастровый номер 53:23:7102007:131, расположенное по адресу Новгородская область, г. Великий Новгород, ул. Федоровский Ручей, д. 9</t>
  </si>
  <si>
    <t>27.07.22 13:00</t>
  </si>
  <si>
    <t>г Великий Новгород, ул Фёдоровский Ручей, д 9, помещ 6н</t>
  </si>
  <si>
    <t>222594</t>
  </si>
  <si>
    <t xml:space="preserve">53:23:7102007:131, </t>
  </si>
  <si>
    <t>нежилое помещение</t>
  </si>
  <si>
    <t>21.03.22 14:30</t>
  </si>
  <si>
    <t>Новгородская обл, г Старая Русса, ул Профсоюзная, д 1 к 3</t>
  </si>
  <si>
    <t>28464</t>
  </si>
  <si>
    <t xml:space="preserve">53:24:0000000:6352, </t>
  </si>
  <si>
    <t>Нежилое помещение: общей площадью 515,5 кв. метров, с кадастровым номером 54:28:010411:296, расположенное по адресу: Новосибирская область, Черепановский район, г. Черепаново, ул. Цыцаркина, 58а</t>
  </si>
  <si>
    <t>29.03.22 14:00</t>
  </si>
  <si>
    <t>Новосибирская обл, г Черепаново, ул Цыцаркина, д 58А</t>
  </si>
  <si>
    <t>19489</t>
  </si>
  <si>
    <t xml:space="preserve">54:28:010411:296, </t>
  </si>
  <si>
    <t>Помещение, площадь 293,4 кв.м., назначение: нежилое помещение, кадастровый номер: 54:35:033545:741, расположенное по адресу: Новосибирская область, город Новосибирск, улица Аэропорт, дом 7</t>
  </si>
  <si>
    <t>15.04.22 05:00</t>
  </si>
  <si>
    <t>г Новосибирск, ул Аэропорт, д 7</t>
  </si>
  <si>
    <t>1618039</t>
  </si>
  <si>
    <t xml:space="preserve">54:35:033545:741, </t>
  </si>
  <si>
    <t>Нежилое помещение на 1 этаже по адресу: Российская Федерация, Новосибирская область, город Новосибирск, Ленинский район, ул. Большая. Площадь помещения – 140,5 кв. м.</t>
  </si>
  <si>
    <t>14.03.22 07:00</t>
  </si>
  <si>
    <t>г Новосибирск, ул Большая</t>
  </si>
  <si>
    <t>54:35:061490:3590</t>
  </si>
  <si>
    <t>4. Нежилое помещение на цокольном этаже по адресу: Российская Федерация, Новосибирская область, город Новосибирск, Кировский район, ул. Сибиряков-Гвардейцев, 44/4. Площадь помещения – 72,1 кв. м.</t>
  </si>
  <si>
    <t>г Новосибирск, ул Сибиряков-Гвардейцев, д 44/4</t>
  </si>
  <si>
    <t>54:35:051835:828</t>
  </si>
  <si>
    <t>Нежилые помещения №№ 39-66 на поэтажном плане 1 этажа общей площадью 449,7 кв.м., расположенные в нежилом здании по адресу: Омская область, Омский район, п. Ростовка, д. 21, кадастровый номер 55:20:210101:3333</t>
  </si>
  <si>
    <t>03.06.22 12:00</t>
  </si>
  <si>
    <t>Омская обл, Омский р-н, поселок Ростовка, д 21</t>
  </si>
  <si>
    <t>6058</t>
  </si>
  <si>
    <t>55:20:210101:3333</t>
  </si>
  <si>
    <t>нежилое помещение, назначение: нежилое. Общая площадь – 64,4 кв.м. Адрес: Омская область, Омский район, с. Розовка, ул. Парковая, д. 12 пом. 2П. Этаж 1. Кадастровый номер: 55:20:200101:5436</t>
  </si>
  <si>
    <t>29.04.22 11:00</t>
  </si>
  <si>
    <t>Омская обл, Омский р-н, село Розовка, ул Парковая, д 12, помещ 2п</t>
  </si>
  <si>
    <t>2367</t>
  </si>
  <si>
    <t>55:20:200101:5436</t>
  </si>
  <si>
    <t>Нежилое помещение 5П с кадастровым номером 55:36:000000:27362, площадью 73,2 кв. м, расположенное на 1 этаже</t>
  </si>
  <si>
    <t>18.03.22 10:00</t>
  </si>
  <si>
    <t>г Омск, Космический пр-кт, д 18</t>
  </si>
  <si>
    <t>1178391</t>
  </si>
  <si>
    <t xml:space="preserve">55:36:000000:27362, </t>
  </si>
  <si>
    <t>помещение, назначение: нежилое, общая площадь 179,7 кв.м., этаж 1,2, кадастровый номер 56:23:0401001:321, расположенное по адресу: Оренбургская область, Переволоцкий район, с. Зубочистка Вторая, ул. Центральная, д.11, пом.2.</t>
  </si>
  <si>
    <t>20.06.22 07:00</t>
  </si>
  <si>
    <t>Оренбургская обл, Переволоцкий р-н, село Зубочистка Вторая, ул Центральная, д 11</t>
  </si>
  <si>
    <t>567</t>
  </si>
  <si>
    <t xml:space="preserve">56:23:0401001:321, </t>
  </si>
  <si>
    <t>помещение, назначение: нежилое, номер, тип этажа, на котором расположено помещение: этаж № 1, площадь 129,9 кв. м, местоположение: Оренбургская область, г. Оренбург, ул. Театральная, дом № 17, помещение № 1, кадастровый номер: 56:44:0114001:1404</t>
  </si>
  <si>
    <t>11.04.22 06:00</t>
  </si>
  <si>
    <t>г Оренбург, ул Театральная, д 17</t>
  </si>
  <si>
    <t>561686</t>
  </si>
  <si>
    <t>56:44:0114001:1404</t>
  </si>
  <si>
    <t>Нежилого помещение общей площадью 69,8 кв.м., с кадастровым номером 56:31:1301019:248, расположенное по адресу: Оренбургская область, Ташлинский район, с. Ташла, ул. Довженко, дом 31а,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</si>
  <si>
    <t>08.04.22 05:00</t>
  </si>
  <si>
    <t>Оренбургская обл, село Ташла, ул Довженко, зд 31А</t>
  </si>
  <si>
    <t>6013</t>
  </si>
  <si>
    <t xml:space="preserve">56:31:1301019:248, </t>
  </si>
  <si>
    <t>нежилое помещение, наименование: квартира, площадь 90,6 кв.м., кадастровый номер 57:23:0010101:774, номер этажа, на котором расположено помещение: этаж № 01, адрес: Орловская область, р-н Колпнянский, пгт. Колпна, ул. Титова, д. 17, пом.</t>
  </si>
  <si>
    <t>18.07.22 14:00</t>
  </si>
  <si>
    <t>Орловская обл, пгт Колпна, ул Титова, д 17</t>
  </si>
  <si>
    <t>126</t>
  </si>
  <si>
    <t xml:space="preserve">57:23:0010101:774, </t>
  </si>
  <si>
    <t>Нежилое помещение общей площадью 101,0 кв.м., этаж цокольный, расположенное по адресу: г. Орёл, ул. Дмитрия Блынского, д. 12, пом. 237.</t>
  </si>
  <si>
    <t>02.06.22 15:00</t>
  </si>
  <si>
    <t>г Орёл, ул Дмитрия Блынского, д 12</t>
  </si>
  <si>
    <t>311625</t>
  </si>
  <si>
    <t>Нежилое помещение, назначение: нежилое помещение, количество этажей 1, общая площадь 89,5 кв.м., кадастровый номер 57:26:0010216:698, адрес объекта: Российская Федерация, Орловская область, г. Ливны, ул. Карла маркса, д.117, пом.5.</t>
  </si>
  <si>
    <t>12.07.22 20:59</t>
  </si>
  <si>
    <t>Орловская обл, г Ливны, ул Карла Маркса, д 117, помещ 5</t>
  </si>
  <si>
    <t>47179</t>
  </si>
  <si>
    <t xml:space="preserve">57:26:0010216:698, </t>
  </si>
  <si>
    <t>нежилое помещение с кадастровым номером 58:20:0320301:1456, общей площадью 308 кв.м. расположенное по адресу: Пензенская область, Неверкинский район, с. Неверкино, ул. Куйбышева, 16</t>
  </si>
  <si>
    <t>15.06.22 13:00</t>
  </si>
  <si>
    <t>Пензенская обл, село Неверкино, ул Куйбышева, влд 16</t>
  </si>
  <si>
    <t>3912</t>
  </si>
  <si>
    <t xml:space="preserve">58:20:0320301:1456, </t>
  </si>
  <si>
    <t>нежилое здание, общей площадью 137,6 кв.м, кадастровый номер 58:02:0240117:61 адрес (местонахождение) объекта: Пензенская область, Спасский район,   город Спасск улица Красная, д.34, 1990 год постройки;земельный участок площадью 1216 кв.м., кадастровый номер 58:02:0240117:38, адрес (местонахождение) объекта: Пензенская область, Спасский район, г. Спасск, ул. Красная, д.34, категория земель: земли населённых пунктов.</t>
  </si>
  <si>
    <t>01.07.22 14:00</t>
  </si>
  <si>
    <t>Пензенская обл, г Спасск, ул Красная, влд 34</t>
  </si>
  <si>
    <t>7085</t>
  </si>
  <si>
    <t xml:space="preserve">58:02:0240117:61 </t>
  </si>
  <si>
    <t>Лот №10: Нежилое помещение (кадастровый номер 58:32:0020529:157), общей площадью 144,7 кв. м, расположенное по адресу: Пензенская область, Сердобский район, г. Сердобск, ул. Гагарина, 17, пом. 3. Техническое состояние объекта удовлетворительное.</t>
  </si>
  <si>
    <t>08.04.22 14:00</t>
  </si>
  <si>
    <t>Пензенская обл, г Сердобск, ул Гагарина, д 17</t>
  </si>
  <si>
    <t>31475</t>
  </si>
  <si>
    <t>58:32:0020529:157</t>
  </si>
  <si>
    <t>Заложенное имущество: нежилое помещение, общ.площадь 90,1 кв.м, кад.№: 58:32:0020605:1647, адрес: Пензенская область, р-н. Сердобский, г. Сердобск, ул. М.Горького, д. 162</t>
  </si>
  <si>
    <t>15.06.22 14:00</t>
  </si>
  <si>
    <t>Пензенская обл, г Сердобск, ул М.Горького, д 162</t>
  </si>
  <si>
    <t xml:space="preserve">58:32:0020605:1647, </t>
  </si>
  <si>
    <t>Помещение, назначение: нежилое, этаж № 4, площадь 662,3 кв.м, кадастровый номер 59:07:0011007:1170, расположенное по адресу: Пермский край, г. Краснокамск, ул. Энтузиастов, д. 5.</t>
  </si>
  <si>
    <t>31.05.22 14:00</t>
  </si>
  <si>
    <t>Пермский край, г Краснокамск, ул Энтузиастов, д 5</t>
  </si>
  <si>
    <t>53864</t>
  </si>
  <si>
    <t xml:space="preserve">59:07:0011007:1170, </t>
  </si>
  <si>
    <t>Здание - Детский сад, назначение: нежилое, количество этажей: 1, общая площадь 185 кв.м, кадастровый номер 59:29:0010315:20 с земельным участком 59:29:0010315:13 площадью 2499 кв.м, разрешенное использование: земельные участки детских дошкольных учреждений.Фундамент: бетонный ленточный;Наружные и внутренние капитальные стены: бревенчатые;Перекрытия чердачные: деревянные отепленные;Крыша: железная по деревянной обрешетке; Полы: дощатые;Проемы:- оконные: стеклопакеты;- дверные: деревянные;Отопление: от котельной на газовом топливе;Электричество: электроснабжение (проводка открытая);Водопровод: водоснабжение центральное;Канализация: местный отстойник.</t>
  </si>
  <si>
    <t>15.02.22 12:00</t>
  </si>
  <si>
    <t>Пермский край, г Оса, ул Спорта, д 12</t>
  </si>
  <si>
    <t>20981</t>
  </si>
  <si>
    <t xml:space="preserve">59:29:0010315:20 </t>
  </si>
  <si>
    <t>Нежилое помещение площадью 319,3 кв.м на 1 этаже жилого дома, расположенное по адресу: 20-летия Победы, д. 200, г. Соликамск</t>
  </si>
  <si>
    <t>31.03.22 18:00</t>
  </si>
  <si>
    <t>Пермский край, г Соликамск, ул 20-летия Победы, д 200</t>
  </si>
  <si>
    <t>94628</t>
  </si>
  <si>
    <t>59:10:0406004:3159</t>
  </si>
  <si>
    <t>нежилое помещение общей площадью 128,9 кв.м (кадастровый номер 59:09:0014503:788), расположенное по адресу: Пермский край, г. Лысьва, ул. Кирова, 21 (цокольный этаж)</t>
  </si>
  <si>
    <t>06.04.22 18:00</t>
  </si>
  <si>
    <t>Пермский край, г Лысьва, ул Кирова, д 21</t>
  </si>
  <si>
    <t>62592</t>
  </si>
  <si>
    <t>59:09:0014503:788</t>
  </si>
  <si>
    <t>Помещение, назначение: нежилое, этаж 2, общая площадь 141,2 кв.м, кадастровый номер: 59:37:0620302:513, адрес объекта: г. Усолье, ул. Свободы, д. 144 (объект обременен договором аренды 13.06.2024г.)</t>
  </si>
  <si>
    <t>16.07.22 13:00</t>
  </si>
  <si>
    <t>Пермский край, г Усолье, ул Свободы, д 144</t>
  </si>
  <si>
    <t>6053</t>
  </si>
  <si>
    <t xml:space="preserve">59:37:0620302:513, </t>
  </si>
  <si>
    <t>нежилое помещение площадью 205,3 кв.м на 1 этаже жилого дома</t>
  </si>
  <si>
    <t>24.04.22 18:00</t>
  </si>
  <si>
    <t>Пермский край, г Соликамск, ул Привокзальная, д 4</t>
  </si>
  <si>
    <t>59:10:0406004:3162</t>
  </si>
  <si>
    <t>Нежилое помещение (помещение) площадью 78,2 кв. м (кадастровый номер 59:01:3812307:1342) на цокольном этаже жилого дома по адресу: Пермский край, г. Пермь, ул. Социалистическая, д. 4. Помещение пустует.</t>
  </si>
  <si>
    <t>10.03.22 13:00</t>
  </si>
  <si>
    <t>г Пермь, ул Социалистическая, д 4</t>
  </si>
  <si>
    <t>1048011</t>
  </si>
  <si>
    <t>59:01:3812307:1342</t>
  </si>
  <si>
    <t>Фундамент: бетонный ленточный;Наружные и внутренние капитальные стены: кирпичные;Перекрытия чердачные: из сборных ж/б плит;Крыша: рулонная по ж/б плитам;Полы: керамическая плитка;Проемы:- оконные: стеклопакеты;- дверные: деревянные;Электричество: электроснабжение (проводка открытая);Водопровод: водоснабжение центральное;Канализация: местный отстойник.</t>
  </si>
  <si>
    <t xml:space="preserve">59:29:0010315:21 </t>
  </si>
  <si>
    <t>Нежилое помещение (магазин) площадью 91,4 кв. м (кадастровый номер 59:01:2912574:491) на цокольном этаже, по адресу: Пермский край, г. Пермь, Орджоникидзевский район, пер. Дубровский 1-й, д. 4. Помещение пустует.</t>
  </si>
  <si>
    <t>г Пермь, 1-й Дубровский пер, д 4</t>
  </si>
  <si>
    <t>59:01:2912574:491</t>
  </si>
  <si>
    <t>Нежилое помещение, Пермский край, Добрянский городской округ, г. Добрянка, ул. Копылова, д.67. Общая площадь помещения 110,2 кв.м., кадастровый номер 59:18:0010602:3161.</t>
  </si>
  <si>
    <t>25.03.22 17:00</t>
  </si>
  <si>
    <t>Пермский край, г Добрянка, ул Копылова, д 67</t>
  </si>
  <si>
    <t>33083</t>
  </si>
  <si>
    <t>59:18:0010602:3161</t>
  </si>
  <si>
    <t>Нежилое помещение (встроенные помещения) площадью 48,5 кв. м (кадастровый номер 59:01:2912530:1848) на 1 этаже жилого дома по адресу: Пермский край, г. Пермь, ул. Пулковская, д. 9. Помещение пустует.</t>
  </si>
  <si>
    <t>г Пермь, ул Пулковская, д 9</t>
  </si>
  <si>
    <t>59:01:2912530:1848</t>
  </si>
  <si>
    <t>Нежилые помещения площадью 199,6 кв. м (кадастровый номер 59:01:4311904:2092) на 3 этаже жилого дома по адресу: Пермский край, г. Пермь, Мотовилихинский район, б-р Гагарина, д. 81/4. Помещения пустуют.</t>
  </si>
  <si>
    <t>г Пермь, б-р Гагарина, д 81/4</t>
  </si>
  <si>
    <t>59:01:4311904:2092</t>
  </si>
  <si>
    <t>Нежилое помещение площадью 26,7 кв. м (кадастровый номер 59:01:1713517:903), этаж: № 1, расположенное по адресу: Пермский край, г.о. Пермский, г. Пермь, ул. Хабаровская, д. 173. Помещение пустует.</t>
  </si>
  <si>
    <t>09.08.22 13:00</t>
  </si>
  <si>
    <t>г Пермь, ул Хабаровская, д 173</t>
  </si>
  <si>
    <t>59:01:1713517:903</t>
  </si>
  <si>
    <t>Нежилое помещение площадью 15,3 кв. м (кадастровый номер 59:01:4410713:1206) на 1 этаже жилого дома по адресу: Пермский край, г. Пермь, Индустриальный район, ул. Чайковского и Кавалерийской, д. 19/11, пом.7. Помещение пустует.</t>
  </si>
  <si>
    <t>г Пермь, ул Чайковского, д 19</t>
  </si>
  <si>
    <t>59:01:4410713:1206</t>
  </si>
  <si>
    <t>Нежилое помещение площадью 33,0 кв. м (кадастровый номер 59:01:4410741:832), надстроенный этаж № -, расположенное по адресу: Российская Федерация, Пермский край, г.о. Пермский, г. Пермь, ул. Соловьева, д. 14. Помещение пустует.</t>
  </si>
  <si>
    <t>г Пермь, ул Соловьева, д 14</t>
  </si>
  <si>
    <t>59:01:4410741:832</t>
  </si>
  <si>
    <t>Нежилые помещения площадью 37,2 кв. м (состоящие из 6 объектов: площадью 0,8 кв. м (кадастровый номер: 59:01:4311737:899); площадью 1,5 кв. м (кадастровый номер: 59:01:4311737:896); площадью 1,8 кв. м (кадастровый номер: 59:01:4311737:898); площадью 8,4 кв. м (кадастровый номер: 59:01:4311737:897); площадью 8,7 кв. м (кадастровый номер: 59:01:4311737:895), площадью 16,0 кв. м (кадастровый номер: 59:01:4311737:884), этаж № 1, расположенные по адресу: Пермский край, г. Пермь, Мотовилихинский район, ул. Уральская, д. 113. Помещения пустуют.</t>
  </si>
  <si>
    <t>г Пермь, ул Уральская, д 113</t>
  </si>
  <si>
    <t>59:01:4311737:899</t>
  </si>
  <si>
    <t>Нежилое помещение (магазин) площадью 11,5 кв. м (кадастровый номер 59:01:4410037:287) на 1 этаже жилого дома по адресу: Пермский край, г. Пермь, Ленинский район, ул. Сибирская, д. 1. Помещение пустует.</t>
  </si>
  <si>
    <t>г Пермь, ул Сибирская, д 1</t>
  </si>
  <si>
    <t>59:01:4410037:287</t>
  </si>
  <si>
    <t>Нежилое помещение площадью 12,8 кв. м (кадастровый номер 59:01:4410396:3674) на 1 этаже жилого дома по адресу: Пермский край, г. Пермь, Дзержинский район, пр-кт Парковый, д. 5. Помещение пустует.</t>
  </si>
  <si>
    <t>г Пермь, Парковый пр-кт, д 5</t>
  </si>
  <si>
    <t>59:01:4410396:3674</t>
  </si>
  <si>
    <t>Нежилое помещения 1003, кадастровый номер 60:15:1008012:132, общей площадью 219 кв.м., расположенное на втором этаже здания по адресу: Псковская обл., г. Печоры, ул. Псковская, д.1,  Здание является объектом культурного наследия: «Усадьба городская Минина. Главный дом», 1922-1926 гг., 1931-1936 гг., Регистрационный номер в Едином государственном реестре объектов культурного наследия (памятников истории и культуры) народов Российской Федерации: 601710986750005.</t>
  </si>
  <si>
    <t>31.07.22 14:00</t>
  </si>
  <si>
    <t>Псковская обл, г Печоры, ул Псковская, д 1, помещ 1003</t>
  </si>
  <si>
    <t>10034</t>
  </si>
  <si>
    <t xml:space="preserve">60:15:1008012:132, </t>
  </si>
  <si>
    <t>нежилое помещение, входящее в состав объекта культурного наследия федерального значения «Дом Трубинских со служебными постройками», XVII в., площадью 190,8 кв.м, с кадастровым номером 60:27:0010205:43, расположенное по адресу: Псковская область, г. Псков, ул. Леона Поземского, д. 22, пом. 1,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</si>
  <si>
    <t>25.04.22 14:00</t>
  </si>
  <si>
    <t>г Псков, ул Леона Поземского, д 22</t>
  </si>
  <si>
    <t>207571</t>
  </si>
  <si>
    <t xml:space="preserve">60:27:0010205:43, </t>
  </si>
  <si>
    <t>Нежилое помещение, литер: ч.литера А, а5, а6, а7, а8, а9, этаж № 1, номера на поэтажном плане: 1, 2, 3, 4, 5, 6-7, 8, 9, 22, 23-24, 25-26, 27, 28, 29-30, 31, 32-33, 31а, 34, 35-36, 37, 38, площадь: общая 419,0 кв.м., кадастровый номер 61:59:0020415:719, расположенное по адресу: Ростовская область, г.Шахты, ул.Прокатная, 4а.</t>
  </si>
  <si>
    <t>04.05.22 08:00</t>
  </si>
  <si>
    <t>Ростовская обл, г Шахты, ул Прокатная, д 4А</t>
  </si>
  <si>
    <t>235492</t>
  </si>
  <si>
    <t xml:space="preserve">61:59:0020415:719, </t>
  </si>
  <si>
    <t>нежилое помещение, площадь 371,6 кв.м., расположенное по адресу: Ростовская область, Усть-Донецкий район, р.п. Усть-Донецкий, ул. Комсомольская, 29, ком. 2-4, 20 1 этаж, ком. 1-26 2 этаж, кадастровый номер: 61:39:0010101:2002</t>
  </si>
  <si>
    <t>05.08.22 15:00</t>
  </si>
  <si>
    <t>Ростовская обл, рп Усть-Донецкий, ул Комсомольская, зд 29</t>
  </si>
  <si>
    <t>11310</t>
  </si>
  <si>
    <t>61:39:0010101:2002</t>
  </si>
  <si>
    <t>нежилое помещение, наименование: нежилое помещение, Этаж № 1, ант. Общая площадь 243 кв. м.</t>
  </si>
  <si>
    <t>02.08.22 15:00</t>
  </si>
  <si>
    <t>г. Таганрог, ул. Чехова, 96/пер. Антона Глушко, 34</t>
  </si>
  <si>
    <t>61:58:0001124:558</t>
  </si>
  <si>
    <t>нежилые помещения с кадастровым номером: 62:29:0130004:1630, назначение: нежилое помещение, площадью 40,1 кв.м, этаж № 1, расположенное по адресу: г. Рязань, ул. Предзаводская, д. 10, пом. Н2 , реестровый номер 24931 и с кадастровым номером 62:29:0130004:2410, назначение: нежилое помещение, площадью 931,7 кв.м., этаж № 1, этаж № 2, расположенное по адресу: г. Рязань, ул. Предзаводская, д. 10, пом. Н3, реестровый номер 278785.</t>
  </si>
  <si>
    <t>19.04.22 08:00</t>
  </si>
  <si>
    <t>г Рязань, ул Предзаводская, д 10</t>
  </si>
  <si>
    <t>537622</t>
  </si>
  <si>
    <t xml:space="preserve">62:29:0130004:1630, </t>
  </si>
  <si>
    <t>Помещение, кадастровый номер 62:29:0070021:381; местоположение: Рязанская область, г. Рязань, ул. Баженова, д. 36; пом. Н2; площадь 109,7 кв.м; назначение: нежилое; наименование: помещение; номер, тип этажа, на котором расположено помещение: этаж № 1; с земельным участком, занимаемым помещением и необходимым для его использования, кадастровый номер 62:29:0070021:1750; местоположение: Рязанская область, г. Рязань, ул. Баженова, 36; площадь 144 кв.м; категория земель: земли населенных пунктов; виды разрешенного использования: служебные гаражи</t>
  </si>
  <si>
    <t>21.06.22 20:59</t>
  </si>
  <si>
    <t>г Рязань, ул Баженова, д 36</t>
  </si>
  <si>
    <t xml:space="preserve">62:29:0070021:381; </t>
  </si>
  <si>
    <t>Продажа  посредством публичного предложения:нежилых помещений  (комнат № 1, 2, 3, 4, 9, 10, 11, 12, 13, 14, 15, 16, 17, 25, 26, 27, 28, 29, 30) общей  площадью 293 кв.м.  на поэтажном плане -1 этажа 5-ти этажного жилого дома, расположенного по адресу:  Самарская обл., городской округ Жигулевск,  г. Жигулевск, ул. Ткачева, дом 16.</t>
  </si>
  <si>
    <t>12.08.22 19:59</t>
  </si>
  <si>
    <t>Самарская обл, г Жигулевск, ул Ткачева, д 16</t>
  </si>
  <si>
    <t>52455</t>
  </si>
  <si>
    <t>06.04.22 05:00</t>
  </si>
  <si>
    <t>1156608</t>
  </si>
  <si>
    <t>Нежилое помещение площадью 29,8 кв.м, Этаж № 1, расположенное по адресу: Самарская область, г. Самара, р-н Промышленный, ул. Теннисная, д. 31Кадастровый номер: 63:01:0734001:2586</t>
  </si>
  <si>
    <t>г Самара, ул Теннисная, д 31</t>
  </si>
  <si>
    <t>63:01:0734001:2586</t>
  </si>
  <si>
    <t>Нежилое помещение площадью 25,6 кв.м, Этаж № 1, расположенное по адресу: Российская Федерация, Самарская область, г. Самара, Куйбышевский район, ул. Флотская, д. 17 Кадастровый номер: 63:01:0411004:2258</t>
  </si>
  <si>
    <t>22.07.22 05:00</t>
  </si>
  <si>
    <t>г Самара, ул Флотская, д 17</t>
  </si>
  <si>
    <t>63:01:0411004:2258</t>
  </si>
  <si>
    <t>Пристроенное нежилое помещение площадью 64,30 кв.м с кадастровым номером 63:27:0704015:875 расположенное по адресу: Самарская область, Нефтегорский район, г.Нефтегорск, ул.Нефтяников, 54А</t>
  </si>
  <si>
    <t>28.04.22 13:00</t>
  </si>
  <si>
    <t>Самарская обл, г Нефтегорск, ул Нефтяников, д 54А</t>
  </si>
  <si>
    <t>17916</t>
  </si>
  <si>
    <t xml:space="preserve">63:27:0704015:875 </t>
  </si>
  <si>
    <t>Нежилое помещение площадью 70,8 кв.м, Этаж № 2, расположенное по адресу: Самарская область, г. Самара, Железнодорожный район, ул. Авроры, дом 70.Кадастровый номер: 63:01:0117004:1771</t>
  </si>
  <si>
    <t>г Самара, ул Авроры, д 70</t>
  </si>
  <si>
    <t>63:01:0117004:1771</t>
  </si>
  <si>
    <t>Нежилое помещение площадью 127,1 кв.м, Цокольный этаж № 1, расположенное по адресу: Российская Федерация, Самарская область, г. Самара, р-н Ленинский, ул. Мичурина, д. 6.Кадастровый номер: 63:01:0517003:586</t>
  </si>
  <si>
    <t>г Самара, ул Мичурина, д 6</t>
  </si>
  <si>
    <t>63:01:0517003:586</t>
  </si>
  <si>
    <t>в соответствии с информационным сообщением</t>
  </si>
  <si>
    <t>20.04.22 05:00</t>
  </si>
  <si>
    <t>Самарская обл, г Новокуйбышевск, пр-кт Победы, д 38</t>
  </si>
  <si>
    <t>100940</t>
  </si>
  <si>
    <t>Нежилое помещение площадью 19,4 кв.м, Этаж № 1, расположенное по адресу: Самарская область, г. Самара, Промышленный р-н, ул. Калинина, д. 11.Кадастровый номер: 63:01:0729001:901</t>
  </si>
  <si>
    <t>г Самара, ул Калинина, д 11</t>
  </si>
  <si>
    <t>63:01:0729001:901</t>
  </si>
  <si>
    <t>Нежилое помещение площадью 19,5 кв.м, Этаж № 1, расположенное по адресу: Российская Федерация, Самарская область, г. Самара, Промышленный р-н, ул. Калинина, д. 11.Кадастровый номер: 63:01:0729001:902</t>
  </si>
  <si>
    <t>63:01:0729001:902</t>
  </si>
  <si>
    <t>Нежилое помещение площадью 29,3 кв.м, Этаж № 1, расположенного по адресу: Самарская область, г. Самара, Советский район, ул. Промышленности, д. 298, 1 этаж: комнаты №№ 52-54.Кадастровый номер: 63:01:0916005:1368.</t>
  </si>
  <si>
    <t>г Самара, ул Промышленности, д 298</t>
  </si>
  <si>
    <t>63:01:0916005:1368</t>
  </si>
  <si>
    <t>Самарская обл, г Новокуйбышевск, пр-кт Победы, д 50</t>
  </si>
  <si>
    <t>Нежилое помещение площадью 15,1 кв.м, Этаж № 1, расположенное по адресу: Самарская область, г. Самара, Промышленный р-н, ул. Ново-Вокзальная, д. 277.Кадастровый номер: 63:01:0705003:2960</t>
  </si>
  <si>
    <t>г Самара, ул Ново-Вокзальная, д 277</t>
  </si>
  <si>
    <t>63:01:0705003:2960</t>
  </si>
  <si>
    <t>Нежилое помещение площадью 74,4 кв.м, расположенное по адресу: Саратовская область, город Энгельс, ул. Марины Расковой, д. 21, пом.1, кадастровый номер 64:50:000000:78527</t>
  </si>
  <si>
    <t>26.07.22 14:00</t>
  </si>
  <si>
    <t>Саратовская обл, г Энгельс, ул Марины Расковой, д 21</t>
  </si>
  <si>
    <t>224508</t>
  </si>
  <si>
    <t>64:50:000000:78527</t>
  </si>
  <si>
    <t>расположен в двухэтажном отдельностоящем здании, стены – шлакобетонные; пол – линолеум; потолок – побелка; отделка стен – обои, панели, покраска; электричество, водоснабжение, канализация, отопление – имеется. Физическое состояние помещения удовлетворительное, требуется косметический ремонт. Физическое состояние объекта - удовлетворительное. В настоящее время Объект продажи не эксплуатируется.</t>
  </si>
  <si>
    <t>08.08.22 13:00</t>
  </si>
  <si>
    <t>Свердловская обл, г Первоуральск, поселок Новоуткинск, ул Партизан, стр 66, помещ 5</t>
  </si>
  <si>
    <t>124981</t>
  </si>
  <si>
    <t>66:58:1101006:2704</t>
  </si>
  <si>
    <t>Нежилое помещение, этаж цоколь, кадастровый номер 66:56:0113002:3199, площадь 125,3 кв.м. Помещение находится в пятиэтажном многоквартирном жилом доме. Год постройки 1968, износ составляет 28%. Все коммуникации. Ранее использовалось как помещение специализированного жилищного фонда (7-комнатная квартира). Договорных отношений нет.</t>
  </si>
  <si>
    <t>01.08.22 15:00</t>
  </si>
  <si>
    <t>Свердловская обл, г Нижний Тагил, ул Карла Маркса, д 7</t>
  </si>
  <si>
    <t>356288</t>
  </si>
  <si>
    <t xml:space="preserve">66:56:0113002:3199, </t>
  </si>
  <si>
    <t>Здание, в котором расположены нежилые помещения, представляет собой отдельно стоящее здание нежилого назначения, год постройки – 1984, основной материал стен – кирпич. Помещения изолированы от других частей здания, имеют самостоятельный выход на улицу. Пристроенный тамбур, площадью 4,9 кв.м. демонтирован, требует восстановления, в помещениях частично разбиты окна – витрины.Элементы благоустройства помещения: отопление, водопровод, канализация, электроснабжение отсутствуют.Помещения длительное время не эксплуатировались, требуют ремонта, состояние не удовлетворительное.</t>
  </si>
  <si>
    <t>18.04.22 11:00</t>
  </si>
  <si>
    <t>Свердловская обл, г Заречный, ул Таховская, д 20</t>
  </si>
  <si>
    <t>92802</t>
  </si>
  <si>
    <t>66:42:0101026:472</t>
  </si>
  <si>
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</si>
  <si>
    <t>18.03.22 05:00</t>
  </si>
  <si>
    <t>Свердловская обл, г Асбест, ул Садовая, д 20</t>
  </si>
  <si>
    <t>65338</t>
  </si>
  <si>
    <t>66:34:0502003:1113</t>
  </si>
  <si>
    <t>Нежилые помещения № 25-41, расположенные в двухэтажном доме, кадастровый номер 66:15:0000000:2556, этаж: 2, литер: А, общей площадью 436,1 кв.м., назначение: торговое, культурно-просветительское. Адрес (местоположение) объекта: Свердловская область, р-н Невьянский, р.п. Верх-Нейвинский, ул. Ленина, д. 32.</t>
  </si>
  <si>
    <t>06.04.22 08:00</t>
  </si>
  <si>
    <t>Свердловская обл, Невьянский р-н, пгт Верх-Нейвинский, ул Ленина, д 32</t>
  </si>
  <si>
    <t xml:space="preserve">66:15:0000000:2556, </t>
  </si>
  <si>
    <t>Наименование имущества: Нежилые помещения №№1-11 по поэтажному плану цокольного этажа, общей площадью 123,3 кв.м., кадастровый №66:57:0102024:943, расположенные по адресу: Свердловская область, г. Новоуральск, ул. Северная,4</t>
  </si>
  <si>
    <t>28.04.22 10:00</t>
  </si>
  <si>
    <t>Свердловская обл, г Новоуральск, ул Северная, д 4</t>
  </si>
  <si>
    <t>87992</t>
  </si>
  <si>
    <t xml:space="preserve">66:57:0102024:943, </t>
  </si>
  <si>
    <t>с кадастровым номером: 66:45:0000000:10363, этаж: 1, площадью 56,1 кв.м. расположен в кирпичном 5 этажном доме, требуется ремонт.</t>
  </si>
  <si>
    <t>11.08.22 12:00</t>
  </si>
  <si>
    <t>Свердловская обл, г Каменск-Уральский, поселок Первомайский, д 27</t>
  </si>
  <si>
    <t>169120</t>
  </si>
  <si>
    <t xml:space="preserve">66:45:0000000:10363, </t>
  </si>
  <si>
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</si>
  <si>
    <t>04.04.22 13:00</t>
  </si>
  <si>
    <t>Свердловская обл, г Первоуральск, пр-кт Ильича, д 1А</t>
  </si>
  <si>
    <t xml:space="preserve">66:58:0111013:4558, </t>
  </si>
  <si>
    <t>«Помещение Назначение: Нежилое Площадь: 299.9 Номер, тип этажа, на котором расположено помещение, машино-место: Этаж № 1 Адрес: Свердловская область, г. Екатеринбург, ул. Чернышевского, д. 5» с кадастровым номером 66:41:0401021:440</t>
  </si>
  <si>
    <t>21.02.22 08:00</t>
  </si>
  <si>
    <t>г Екатеринбург, ул Чернышевского, д 5</t>
  </si>
  <si>
    <t>1515832</t>
  </si>
  <si>
    <t>66:41:0401021:440</t>
  </si>
  <si>
    <t>В соответствии с Извещением</t>
  </si>
  <si>
    <t>28.03.22 14:30</t>
  </si>
  <si>
    <t>г Екатеринбург, пр-кт Ленина, д 69 к 13</t>
  </si>
  <si>
    <t>66:41:0704007:4132</t>
  </si>
  <si>
    <t>«Помещение Назначение: Нежилое помещение Площадь, м2: 138 Номер, тип этажа, на котором расположено помещение, машино-место Этаж №1, Этаж №2 Адрес: Свердловская область, г. Екатеринбург, ул. Вайнера, д. 16» с кадастровым номером 66:41:0401035:1125, являющегося частью объекта культурного наследия областного значения «Доходный дом купцов М.И. и В.И. Дмитриевых»</t>
  </si>
  <si>
    <t>04.07.22 10:00</t>
  </si>
  <si>
    <t>г Екатеринбург, ул Вайнера, д 16</t>
  </si>
  <si>
    <t xml:space="preserve">66:41:0401035:1125, </t>
  </si>
  <si>
    <t>06.06.22 14:30</t>
  </si>
  <si>
    <t>г Екатеринбург, наб Рабочей молодежи, д 51</t>
  </si>
  <si>
    <t>66:41:0303004:230</t>
  </si>
  <si>
    <t>«Помещение Назначение: Нежилое Площадь: 42.7 Номер, тип этажа, на котором расположено помещение, машино-место: Этаж № 2 Местоположение: Свердловская область, г Екатеринбург, ул Попова, д 16 / ул Сакко и Ванцетти, д 52» с кадастровым номером 66:41:0401008:97, являющегося частью объекта культурного наследия областного значения «Дом жилой»</t>
  </si>
  <si>
    <t>24.03.22 07:00</t>
  </si>
  <si>
    <t>Свердловская область, г. Екатеринбург, ул. Попова, д. 16 /  ул. Сакко и Ванцетти, д. 52</t>
  </si>
  <si>
    <t xml:space="preserve">66:41:0401008:97, </t>
  </si>
  <si>
    <t>Продажа муниципального имущества на аукционе в электронной форме: столярная мастерская, назначение: нежилое здание, общей площадью 467,8 кв.м, с кадастровым номером 68:25:0000046:474, и земельный участок, площадью 518,0 кв.м, с кадастровым номером 68:25:0000046:467, расположенные по адресу: Тамбовская область, город Котовск, улица Октябрьская, дом 11Г.</t>
  </si>
  <si>
    <t>Тамбовская обл, г Котовск, ул Октябрьская, д 11Г</t>
  </si>
  <si>
    <t>столярная мастерская</t>
  </si>
  <si>
    <t>29377</t>
  </si>
  <si>
    <t xml:space="preserve">68:25:0000046:474, </t>
  </si>
  <si>
    <t>Площадь: общая 95,6 кв.м. Этаж: 1. Адрес (местоположение): Тамбовская область, г. Кирсанов, ул. Коммунистическая, д.29А, помещение № 1.</t>
  </si>
  <si>
    <t>08.07.22 14:00</t>
  </si>
  <si>
    <t>Тамбовская обл, г Кирсанов, ул Коммунистическая, д 29а, помещ 1</t>
  </si>
  <si>
    <t>16229</t>
  </si>
  <si>
    <t>68:24:0100017:397</t>
  </si>
  <si>
    <t>нежилое помещение, общей площадью 36,5 кв.м., кадастровый номер 69:19:0070113:479, расположенное по адресу: Тверская область, г. Лихославль, пер. Привокзальный, д. 7, пом. IV</t>
  </si>
  <si>
    <t>12.04.22 07:00</t>
  </si>
  <si>
    <t>Тверская обл, г Лихославль, Привокзальный пер, д 7</t>
  </si>
  <si>
    <t>11790</t>
  </si>
  <si>
    <t xml:space="preserve">69:19:0070113:479, </t>
  </si>
  <si>
    <t>Нежилое помещение на втором этаже пятиэтажного жилого дома</t>
  </si>
  <si>
    <t>г Тверь, ул Орджоникидзе, д 25б</t>
  </si>
  <si>
    <t>420850</t>
  </si>
  <si>
    <t>69:40:0200022:217</t>
  </si>
  <si>
    <t>09.03.22 14:00</t>
  </si>
  <si>
    <t>Тверская обл, г Торжок, ул Красноармейская, д 2</t>
  </si>
  <si>
    <t>45371</t>
  </si>
  <si>
    <t>этаж 1, общей площадью 84,8 кв.м., кадастровый номер 69:42:0070806:690</t>
  </si>
  <si>
    <t>26.02.22 14:00</t>
  </si>
  <si>
    <t>Тверская обл, г Кимры, ул Орджоникидзе, д 34</t>
  </si>
  <si>
    <t>44743</t>
  </si>
  <si>
    <t>69:42:0070806:690</t>
  </si>
  <si>
    <t>Нежилое помещение на первом этаже пятиэтажного жилого дома</t>
  </si>
  <si>
    <t>г Тверь, ул Учительская, д 13/34</t>
  </si>
  <si>
    <t>69:40:0400020:61</t>
  </si>
  <si>
    <t>нежилое помещение I, общей площадью 72,8 кв.м. с кадастровым номером 69:46:0070230:304, расположенное по адресу: Тверская область, город Ржев, Ленинградское шоссе, д.52, пом.1.</t>
  </si>
  <si>
    <t>Тверская обл, г Ржев, Ленинградское шоссе, д 52</t>
  </si>
  <si>
    <t>59422</t>
  </si>
  <si>
    <t xml:space="preserve">69:46:0070230:304, </t>
  </si>
  <si>
    <t>нежилое помещение на первом этаже пятиэтажного жилого дома</t>
  </si>
  <si>
    <t>19.07.22 14:00</t>
  </si>
  <si>
    <t>г Тверь, ул Орджоникидзе, д 53 к 3</t>
  </si>
  <si>
    <t>69:40:0200044:270</t>
  </si>
  <si>
    <t>Административное здание, назначение: нежилое, площадь 64,6 кв.м., кадастровый № 69:15:0242601:255, расположенное по адресу: Тверская область, Конаковский район, Козловское сельское поселение, д.Синцово, д.40 и земельный участок из земель особо охраняемых территорий, категория земель: земли населенных пунктов, вид разрешенного использования: для общественно-деловых целей, площадь 1500 кв.м., кадастровый номер: 69:15:0242601:131, по адресу: Тверская область, Конаковский район, Козловское сельское</t>
  </si>
  <si>
    <t>27.06.22 07:00</t>
  </si>
  <si>
    <t>Тверская обл, Конаковский р-н, деревня Синцово, зд 40</t>
  </si>
  <si>
    <t>40</t>
  </si>
  <si>
    <t xml:space="preserve">69:15:0242601:255, </t>
  </si>
  <si>
    <t>Общая площадь 62,90 кв.м.Год постройки: 1955; фундамент бетонный; стены деревянные; имеется отопление, водопровод канализация, электроснабжение</t>
  </si>
  <si>
    <t>01.07.22 06:00</t>
  </si>
  <si>
    <t>Томская обл, г Северск, ул Советская, д 9</t>
  </si>
  <si>
    <t>107036</t>
  </si>
  <si>
    <t>70:22:0010103:4116</t>
  </si>
  <si>
    <t>Нежилое помещение, этаж № 3, кадастровый номер: 71:30:070707:1257 площадью 256,1 кв.м</t>
  </si>
  <si>
    <t>г Тула, поселок Косая Гора, ул М.Горького, д 15а</t>
  </si>
  <si>
    <t>546953</t>
  </si>
  <si>
    <t xml:space="preserve">71:30:070707:1257 </t>
  </si>
  <si>
    <t>Нежилое помещение, этаж 1, кадастровый номер 71:14:010901:1099 площадью 164.6 кв.м,</t>
  </si>
  <si>
    <t>29.06.22 21:00</t>
  </si>
  <si>
    <t>Тульская обл, Ленинский р-н, поселок Барсуки, ул Клубная, д 5</t>
  </si>
  <si>
    <t xml:space="preserve">71:14:010901:1099 </t>
  </si>
  <si>
    <t>Нежилое помещение, этаж № 2, кадастровый номер: 71:30:010223:6342, площадью 16,4 кв.мНежилое помещение, этаж № 2, кадастровый номер: 71:30:010229:2730, площадью 21,1 кв.мНежилое помещение, этаж № 2, кадастровый номер: 71:30:010223:4736, площадью 47 кв.м</t>
  </si>
  <si>
    <t>24.03.22 14:00</t>
  </si>
  <si>
    <t>Тульская область, г.Тула,  ул. Октябрьская, д. 5</t>
  </si>
  <si>
    <t>1407</t>
  </si>
  <si>
    <t>99</t>
  </si>
  <si>
    <t xml:space="preserve">71:30:010223:6342, </t>
  </si>
  <si>
    <t>нежилое помещение, назначение: нежилое помещение, площадь: 246.6, номер, тип этажа, на котором расположено помещение, машино-место: этаж № 1, кадастровый номер: 71:05:050702:3401, местоположение: Тульская область, Веневский район, поселок Грицовский, улица Первомайская, д. 1</t>
  </si>
  <si>
    <t>12.05.22 14:00</t>
  </si>
  <si>
    <t>Тульская обл, Веневский р-н, поселок Грицовский, ул Первомайская, д 1</t>
  </si>
  <si>
    <t xml:space="preserve">71:05:050702:3401, </t>
  </si>
  <si>
    <t>Нежилое помещение (Гараж) общей площадью 1 142,60 кв. м., назначение: нежилое, кадастровый номер: 72:17:1905001:1393, адрес (месторасположение) объекта: Тюменская область, Тюменский район, Переваловское МО, д. Ушакова, ул. Новая, расположенное на земельном участке площадью 3 610 кв. м. с кадастровым номером: 72:17:1905001:1450, категория земель: земли населенных пунктов, вид разрешенного использования: размещение объектов капитального строительства, предназначенных для продажи товаров, торговая площадь которых составляет до 5000 кв. м. адрес (месторасположение) объекта: Тюменская область, Тюменский район, д. Ушакова, ул. Новая</t>
  </si>
  <si>
    <t>07.07.22 11:00</t>
  </si>
  <si>
    <t>Тюменская обл, Тюменский р-н, деревня Ушакова, ул Новая</t>
  </si>
  <si>
    <t>Гараж</t>
  </si>
  <si>
    <t>1556</t>
  </si>
  <si>
    <t xml:space="preserve">72:17:1905001:1393, </t>
  </si>
  <si>
    <t>Нежилое помещение, этаж №1, общей площадью 38,7 кв.м., РНФИ П13720002560, кадастровый номер 72:12:0000000:3511, расположенное по адресу: Тюменская область, Нижнетавдинский район, село Нижняя Тавда, улица Октябрьская, дом 4.</t>
  </si>
  <si>
    <t>19.02.22 19:00</t>
  </si>
  <si>
    <t>Тюменская обл, село Нижняя Тавда, ул Октябрьская, д 4</t>
  </si>
  <si>
    <t>8958</t>
  </si>
  <si>
    <t xml:space="preserve">72:12:0000000:3511, </t>
  </si>
  <si>
    <t>Нежилые помещения площадью 327,6 кв. м по адресу: г. Ульяновск, ул. Автозаводская, д. 56</t>
  </si>
  <si>
    <t>25.03.22 12:00</t>
  </si>
  <si>
    <t>г Ульяновск, ул Автозаводская, д 56</t>
  </si>
  <si>
    <t>627870</t>
  </si>
  <si>
    <t>нежилые помещения площадью 166,1 кв. м с кадастровым номером 73:24:030904:1184, расположенные по адресу Ульяновская область, г. Ульяновск, Засвияжский район, ул. Станкостроителей, д. 18, помещения №№ 1-7, 9, 11, 12, 15, 16, 43-46</t>
  </si>
  <si>
    <t>26.04.22 13:00</t>
  </si>
  <si>
    <t>г Ульяновск, ул Станкостроителей, д 18</t>
  </si>
  <si>
    <t xml:space="preserve">73:24:030904:1184, </t>
  </si>
  <si>
    <t>Помещение нежилое, площадь 28,4 кв.м., этаж:1, номер на поэтажном плане: 1, Кадастровый номер 73:24:010205:4814., Характеристика здания согласно технического паспорта от 07.04.2011 г.Стены - кирпичные Перекрытие --- Ж/Б монолитноеКрыша ----- мягкая кровляОкна ----- отсутствуютФундамент-ж/бетонныйОтопление -электрическоеРасположенное по адресу - Ульяновская область, г. Ульяновск, в 17 м. севернее дома № 4 по ул. 3 Интернационала</t>
  </si>
  <si>
    <t>г.Ульяновск,  ул. 3 Интернационала 4</t>
  </si>
  <si>
    <t>7023</t>
  </si>
  <si>
    <t>148</t>
  </si>
  <si>
    <t>73:24:010205:4814</t>
  </si>
  <si>
    <t>Наименование:Нежилое помещение № 1, расположенное по адресу: Челябинская область, г. Магнитогорск, пр-кт Ленина, д. 17, корп. 3, пом. 1Номер РФИ:П13770014289Кадастровый номер:74:33:0123009:205Площадь объекта (кв. м.):245,1Назначение:Нежилое помещение Количество этажей, в том числе подземных этажей:Цокольный этажПраво:Собственность РФ. Запись регистрации в ЕГРН от 23.12.2008 № 74-74-33/418/2008-306Обременения:ОтсутствуютОКН:Как ОКН не зарегистрированМЧС:Как объект ГО не числится</t>
  </si>
  <si>
    <t>18.07.22 13:00</t>
  </si>
  <si>
    <t>Челябинская обл, г Магнитогорск, пр-кт Ленина, д 17 к 3</t>
  </si>
  <si>
    <t>418241</t>
  </si>
  <si>
    <t>74:33:0123009:205</t>
  </si>
  <si>
    <t>Наименование:Нежилое помещение по адресу: Челябинская область, г. Челябинск, ул. Сормовская, д. 15, пом. 7Номер РФИ:П13770007468Кадастровый номер:74:36:0609012:456Площадь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</si>
  <si>
    <t>19.04.22 13:00</t>
  </si>
  <si>
    <t>г Челябинск, ул Сормовская, д 15</t>
  </si>
  <si>
    <t>1134643</t>
  </si>
  <si>
    <t>74:36:0609012:456</t>
  </si>
  <si>
    <t>В соответствии с приложением № 1 к информационному сообщению</t>
  </si>
  <si>
    <t>12.04.22 12:30</t>
  </si>
  <si>
    <t>Челябинская обл, г. Троицк, ул. 10 квартал, д. 6</t>
  </si>
  <si>
    <t>2520</t>
  </si>
  <si>
    <t>29</t>
  </si>
  <si>
    <t>74:35:2700006:2462</t>
  </si>
  <si>
    <t>Нежилое помещение, общая площадь 122,8 кв.м расположенного по адресу: Челябинская обл., г.Касли, ул.Лобашова 145 пом.18.</t>
  </si>
  <si>
    <t>08.03.22 19:00</t>
  </si>
  <si>
    <t>Челябинская обл, г Касли, ул Лобашова, д 145</t>
  </si>
  <si>
    <t>16263</t>
  </si>
  <si>
    <t>Наименование:Нежилое помещение, расположенное по адресу: Челябинская область, г. Снежинск, ул. Транспортная, д. 15, пом. 1Номер РФИ:П13740001492Кадастровый номер:74:40:0000000:3164Площадь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</si>
  <si>
    <t>21.02.22 11:00</t>
  </si>
  <si>
    <t>Челябинская обл, г Снежинск, ул Транспортная, д 15</t>
  </si>
  <si>
    <t>50759</t>
  </si>
  <si>
    <t>74:40:0000000:3164</t>
  </si>
  <si>
    <t>Наименование:Нежилое помещение, расположенное по адресу: Челябинская область, р-н Еманжелинский,                           г. Еманжелинск, ул. Герцена, д. 14, пом. 4Номер РФИ:П13740006142Кадастровый номер:74:28:0101022:868Площадь объекта (кв. м.):129,9Назначение:Нежилое помещениеКоличество этажей, в том числе подземных этажей:1Право:Собственность РФ. Запись регистрации в ЕГРН от 24.11.2015 № 74-74/028-74/001/309/2015-1364/1Обременения:ОтсутствуютОКН:Как ОКН не зарегистрированМЧС:Как объект ГО не числится</t>
  </si>
  <si>
    <t>Челябинская обл, г Еманжелинск, ул Герцена, д 14</t>
  </si>
  <si>
    <t>29077</t>
  </si>
  <si>
    <t>74:28:0101022:868</t>
  </si>
  <si>
    <t>11.04.22 12:30</t>
  </si>
  <si>
    <t>Челябинская обл, г Троицк, ул им. Ю.А. Гагарина, д 16Б</t>
  </si>
  <si>
    <t>75231</t>
  </si>
  <si>
    <t xml:space="preserve">74:35:0600002:649, </t>
  </si>
  <si>
    <t>Нежилое здание, расположенное по адресу: Челябинская область, Еткульский район, п.Белоносово, ул. Центральная, д. 7, общей площадью 93,8 (девяноста три целых восемь десятых) кв.м., с земельным участком кадастровый номер 74:07:2000011:105, площадь 900 кв.м, категория – земли населенных пунктов, вид разрешенного использования – для эксплуатации здания администрации.</t>
  </si>
  <si>
    <t>13.08.22 09:00</t>
  </si>
  <si>
    <t>Челябинская обл, Еткульский р-н, поселок Белоносово, ул Центральная, уч 7</t>
  </si>
  <si>
    <t>1318</t>
  </si>
  <si>
    <t xml:space="preserve">74:07:2000011:105, </t>
  </si>
  <si>
    <t>Кадастровый номер: 74:36:0114009:570.Общая площадь помещения: 169,1 кв. м.Назначение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</si>
  <si>
    <t>25.03.22 18:59</t>
  </si>
  <si>
    <t>г Челябинск, ул Жукова, д 18А</t>
  </si>
  <si>
    <t>74:36:0114009:570</t>
  </si>
  <si>
    <t>Местонахождение Имущества: Челябинская область, город Магнитогорск, ул. Комсомольская, д. 2, помещение 2.Характеристика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используется.Кадастровый номер: 74:33:0123007:180</t>
  </si>
  <si>
    <t>13.05.22 17:00</t>
  </si>
  <si>
    <t>Челябинская обл, г Магнитогорск, ул Комсомольская, д 2</t>
  </si>
  <si>
    <t>74:33:0123007:180</t>
  </si>
  <si>
    <t>Наименование Имущества: нежилое помещение №3, площадью 244,6 кв. м (далее – Имущество).Местонахождение Имущества: Челябинская область, город Магнитогорск, пр. Карла Маркса, дом № 69/1, помещение 3.Кадастровый номер: 74:33:0129008:4980 Характеристика нежилого помещения:Общая площадь – 244,6 кв. м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</si>
  <si>
    <t>17.05.22 17:00</t>
  </si>
  <si>
    <t>Челябинская область, город Магнитогорск, пр. Карла Маркса,  дом № 69/1</t>
  </si>
  <si>
    <t>8139</t>
  </si>
  <si>
    <t>72</t>
  </si>
  <si>
    <t xml:space="preserve">74:33:0129008:4980 </t>
  </si>
  <si>
    <t>Наименование:Нежилое помещение, расположенное по адресу: Челябинская область, г. Снежинск, ул. Транспортная, д. 15, пом. 1Номер РФИ:П13740001492Кадастровый номер:74:40:0000000:3164Площадь объекта (кв. м.):632,4Назначение:Нежилое помещениеЭтаж (номер на поэтажном плане):3Право:Собственность РФ. Запись регистрации в ЕГРН от 10.01.2006 №  74-74-40/030/2005-045Обременения:ОтсутствуютОКН:Как ОКН не зарегистрированоМЧС:Как объект ГО не числится</t>
  </si>
  <si>
    <t>нежилое помещение № 10, площадью 43 кв.м., с кадастровым номером 74:33:0212002:3566. Адрес: Россия, Челябинская обл., г. Магнитогорск, улица имени газеты Правда, дом 27, корпус 1.</t>
  </si>
  <si>
    <t>05.07.22 10:00</t>
  </si>
  <si>
    <t>Челябинская обл, г Магнитогорск, ул имени газеты Правда, д 27</t>
  </si>
  <si>
    <t>74:33:0212002:3566</t>
  </si>
  <si>
    <t>нежилые помещения № 2,3,4 в помещении № 4, кадастровый номер 74:33:0213002:2886, площадью 52,2 кв.м.. Адрес: Россия, Челябинская обл., г. Магнитогорск, проспект Ленина, дом 98, корпус 1.</t>
  </si>
  <si>
    <t>Челябинская обл, г Магнитогорск, пр-кт Ленина, д 98</t>
  </si>
  <si>
    <t xml:space="preserve">74:33:0213002:2886, </t>
  </si>
  <si>
    <t>Нежилое помещение № 1, общей площадью 91,5 м², кадастровый номер 74:34:1600036:49, расположенное по адресу: Челябинская обл., г. Миасс, ул. Ильменская, д.81,</t>
  </si>
  <si>
    <t>10.04.22 19:00</t>
  </si>
  <si>
    <t>Челябинская обл, г Миасс, ул Ильменская, д 81, помещ 1</t>
  </si>
  <si>
    <t>151856</t>
  </si>
  <si>
    <t xml:space="preserve">74:34:1600036:49, </t>
  </si>
  <si>
    <t>Комплекс зданий, назначение: нежилые, площадь 1031,4 кв.м, количество этажей 2, в том числе подземных 0, расположенные по адресу: Ярославская область, г. Рыбинск, ул. Ухтомского, д. 4. Приватизация имущества осуществляется одновременно с отчуждением в собственность земельного участка: кадастровый номер: 76:20:110120:5,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</si>
  <si>
    <t>25.05.22 14:00</t>
  </si>
  <si>
    <t>Ярославская обл, г Рыбинск, ул Ухтомского, уч 4</t>
  </si>
  <si>
    <t>193341</t>
  </si>
  <si>
    <t xml:space="preserve">76:20:110120:5, </t>
  </si>
  <si>
    <t>помещения, назначение: нежилое, общая площадь 187,1 кв. м, этаж: 1, номера на поэтажном плане 7, 8, 17, 18, 20, 21, 28, 33, 45, расположенные по адресу: г. Ярославль, Тутаевское шоссе, д. 67, существующие ограничения (обременения) права: не зарегистрировано.</t>
  </si>
  <si>
    <t>20.07.22 12:00</t>
  </si>
  <si>
    <t>г Ярославль, Тутаевское шоссе, д 67</t>
  </si>
  <si>
    <t>603961</t>
  </si>
  <si>
    <t>помещения, назначение: нежилое, общей площадью 66,6 кв. м (в том числе самовольно перепланировано 66,6 кв. м), этаж: 1, номера на поэтажном плане 25 − 28, расположенные по адресу: г. Ярославль, Индустриальный пер., д. 11, существующие ограничения (обременения) права: не зарегистрировано.</t>
  </si>
  <si>
    <t>г Ярославль, Индустриальный пер, д 11</t>
  </si>
  <si>
    <t>Нежилое помещение общей площадью 270,3 кв.м, с кадастровым номером 76:04:010101:3163, расположенное по адресу: Ярославская область, Гаврилов-Ямский район, г.Гаврилов-Ям, ул.Менжинского, д.45, пом.I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</si>
  <si>
    <t>01.04.22 13:00</t>
  </si>
  <si>
    <t>Ярославская обл, г Гаврилов-Ям, ул Менжинского, д 45</t>
  </si>
  <si>
    <t>17468</t>
  </si>
  <si>
    <t xml:space="preserve">76:04:010101:3163, </t>
  </si>
  <si>
    <t>помещения, назначение: нежилое, общей площадью 16,3 кв. м, этаж: 1, номера на поэтажном плане 12, 13, 14, вход через помещения, принадлежащие третьим лицам, расположенные по адресу: г. Ярославль, Индустриальный пер., д. 11, существующие ограничения (обременения) права: не зарегистрировано.</t>
  </si>
  <si>
    <t>г Ярославль, ул Большая Октябрьская, д 48а</t>
  </si>
  <si>
    <t>76:23:010101:17686</t>
  </si>
  <si>
    <t>помещения 6-10, назначение: нежилое, общая площадь 94,8 кв. м, этаж № 1, расположенные по адресу: г. Ярославль, ул. Собинова, д. 41б,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</si>
  <si>
    <t>15.06.22 12:00</t>
  </si>
  <si>
    <t>г Ярославль, ул Собинова, д 41б</t>
  </si>
  <si>
    <t>помещения, назначение: нежилое, общая площадь 30,6 кв. м, этаж: 1, номера на поэтажном плане 1, 2, 4, 5, расположенные по адресу: г. Ярославль, ул. Гагарина, д. 53, существующие ограничения (обременения) права: не зарегистрировано.</t>
  </si>
  <si>
    <t>22.06.22 12:00</t>
  </si>
  <si>
    <t>г Ярославль, ул Гагарина, д 53</t>
  </si>
  <si>
    <t>12380664</t>
  </si>
  <si>
    <t>28.03.22 12:00</t>
  </si>
  <si>
    <t>Продажа имущества, находящегося в собственности города Москвы, нежилое помещение по адресу: г. Москва, 3-я Парковая улица, дом 38, площадь 398,5 кв. м., Цокольный этаж № 0, кадастровый номер: 77:03:0005006:6292, посредством публичного предложения</t>
  </si>
  <si>
    <t>г Москва, ул Парковая 3-я, д 38</t>
  </si>
  <si>
    <t xml:space="preserve">77:03:0005006:6292, </t>
  </si>
  <si>
    <t>Продажа имущества, находящегося в собственности города Москвы, нежилое помещение по адресу: город Москва, Никитинская улица, дом 1, корпус 3, площадью 268,20 кв.м (Цокольный этаж № 0), кадастровый номер: 77:03:0005002:7761, без объявления цены</t>
  </si>
  <si>
    <t>г Москва, ул Никитинская, д 1 к 3</t>
  </si>
  <si>
    <t xml:space="preserve">77:03:0005002:7761, </t>
  </si>
  <si>
    <t>13.07.22 12:00</t>
  </si>
  <si>
    <t>19.04.22 12:00</t>
  </si>
  <si>
    <t>Продажа имущества, находящегося в собственности города Москвы, нежилое помещение по адресу: г. Москва, пер. Графский, д. 14Б, площадью 26,0 кв. м., Технический этаж № 0, кадастровый номер: 77:02:0023016:3700, посредством публичного предложения</t>
  </si>
  <si>
    <t>г Москва, Графский пер, д 14Б, помещ 7Т</t>
  </si>
  <si>
    <t xml:space="preserve">77:02:0023016:3700, </t>
  </si>
  <si>
    <t>Продажа имущества, находящегося в собственности города Москвы, нежилое помещение по адресу: город Москва, улица Генерала Тюленева, дом 41Б, этаж № 1, площадь 69,40 кв.м, кадастровый номер: 77:06:0007005:14417 посредством публичного предложения</t>
  </si>
  <si>
    <t>г Москва, ул Генерала Тюленева, д 41Б</t>
  </si>
  <si>
    <t xml:space="preserve">77:06:0007005:14417 </t>
  </si>
  <si>
    <t>18.04.22 12:00</t>
  </si>
  <si>
    <t>Продажа имущества, находящегося в собственности города Москвы, нежилое помещение по адресу: город Москва Черкизовская улица, дом 22, корпус 6, цокольный этаж № 0, площадь 103,10 кв.м, кадастровый номер: 77:03:0003016:7508, посредством публичного предложения</t>
  </si>
  <si>
    <t>г Москва, ул Черкизовская Б., д 22 к 6, помещ 4Ц</t>
  </si>
  <si>
    <t xml:space="preserve">77:03:0003016:7508, </t>
  </si>
  <si>
    <t>Продажа имущества, находящегося в собственности города Москвы, нежилое помещение по адресу: г. Москва, Малый Купавенский проезд, дом 3, площадью 202,2 кв. м., Этаж №1, кадастровый номер: 77:03:0005022:2848 посредством публичного предложения</t>
  </si>
  <si>
    <t>г Москва, Малый Купавенский проезд, д 2 стр 3</t>
  </si>
  <si>
    <t xml:space="preserve">77:03:0005022:2848 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</si>
  <si>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Верхняя Первомайская, д. 59/35, корп. 3, общей площадью 153,70 кв.м кадастровый номер 77:03:0005008:7128</t>
  </si>
  <si>
    <t>08.08.22 12:00</t>
  </si>
  <si>
    <t>г Москва, ул Верхняя Первомайская, д 59/35 к 3, помещ 1П</t>
  </si>
  <si>
    <t>77:03:0005008:7128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</si>
  <si>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г.Москва, пр.Рижский, д.11 (общей площадью 99,3 кв. м, кадастровый номер: 77:02:0023019:2023)</t>
  </si>
  <si>
    <t>26.07.22 12:00</t>
  </si>
  <si>
    <t>г Москва, Рижский проезд, д 11, помещ 9П</t>
  </si>
  <si>
    <t>77:02:0023019:2023</t>
  </si>
  <si>
    <t>Продажа имущества, находящегося в хозяйственном ведении ГУП "ЦУГИ", расположенное по адресу: г. Москва, ул. Вавилова, д .47, к. 1, площадь 113,5 кв. м (кадастровый номер: 77:06:0002019:1142)</t>
  </si>
  <si>
    <t>23.05.22 12:00</t>
  </si>
  <si>
    <t>г Москва, ул Вавилова, д 47 к 1, помещ 1/П</t>
  </si>
  <si>
    <t>77:06:0002019:1142</t>
  </si>
  <si>
    <t>14.06.22 12:00</t>
  </si>
  <si>
    <t>27.07.22 12:00</t>
  </si>
  <si>
    <t>Продажа имущества, находящегося в хозяйственном ведении ГУП "ЦУГИ", расположенного по адресу: г. Москва, ул. Набережная Б., Дом 21, площадь 99,1 м.кв.(кадастровый номер 77:08:0000000:3065)</t>
  </si>
  <si>
    <t>28.02.22 12:00</t>
  </si>
  <si>
    <t>г Москва, ул Большая Набережная, д 21, помещ 4П</t>
  </si>
  <si>
    <t>77:08:0000000:3065</t>
  </si>
  <si>
    <t>21.02.22 12:00</t>
  </si>
  <si>
    <t>24.02.22 12:00</t>
  </si>
  <si>
    <t>Нежилое помещение площадью 16,50 кв. м, кадастровый номер 77:07:0013004:24179 (реестровый номер федерального имущества П13770045264) по адресу: г. Москва, просп. Мичуринский, д. 7.Отчет об оценке от 16 декабря 2021 г. № К21-15/03-1-1а доступен по ссылке на Федресурсе: https://fedresurs.ru/sfactmessage/99B9575BA4AF48CAA97EBBD244658F94</t>
  </si>
  <si>
    <t>г Москва, Мичуринский пр-кт, д 7</t>
  </si>
  <si>
    <t xml:space="preserve">77:07:0013004:24179 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</si>
  <si>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Российская Федерация, г. Москва, ул. Новопесчаная, д. 19, корп. 2, общей площадью 42,8 кв. м.</t>
  </si>
  <si>
    <t>г Москва, ул Новопесчаная, д 19 к 2</t>
  </si>
  <si>
    <t>77:09:0005003:6567</t>
  </si>
  <si>
    <t>22.02.22 12:00</t>
  </si>
  <si>
    <t>Продажа имущества, находящегося в собственности города Москвы, нежилое помещение по адресу: г. Москва, ул. Парковая 6-я, д. 29А, площадью 54,1 кв. м., Цокольный этаж № 0, кадастровый номер: 77:03:0005007:4939, посредством публичного предложения</t>
  </si>
  <si>
    <t>г Москва, ул 6-я Парковая, д 29А, помещ 3/Н</t>
  </si>
  <si>
    <t xml:space="preserve">77:03:0005007:4939, </t>
  </si>
  <si>
    <t>Продажа имущества, находящегося в хозяйственном ведении ГУП "ЦУГИ", расположенного по адресу: г. Москва, ул. Садовническая, д. 78, стр. 7, помещ. 1/Ч, общей площадью 61,3 (кадастровый номер 77:01:0002014:4154)</t>
  </si>
  <si>
    <t>09.06.22 12:00</t>
  </si>
  <si>
    <t>г Москва, ул Садовническая, д 78 стр 7, помещ 1/Ч</t>
  </si>
  <si>
    <t>77:01:0002014:4154</t>
  </si>
  <si>
    <t>Продажа имущества, находящегося в собственности города Москвы, нежилое помещение по адресу: г. Москва, ул. Парковая 6-я, д. 29А, площадью 59,9 кв. м., Цокольный этаж № 0, кадастровый номер: 77:03:0005007:4938, посредством публичного предложения</t>
  </si>
  <si>
    <t>г Москва, ул 6-я Парковая, д 29А, помещ 2/Н</t>
  </si>
  <si>
    <t xml:space="preserve">77:03:0005007:4938, </t>
  </si>
  <si>
    <t>Продажа имущества, находящегося в собственности города Москвы, нежилое помещение по адресу: город Москва, Изюмская улица, дом 47, корпус 4, этаж № 1, площадь 72,70 кв.м, кадастровый номер: 77:06:0012001:9222, посредством публичного предложения</t>
  </si>
  <si>
    <t>г Москва, ул Изюмская, д 47 к 4, помещ 1/1</t>
  </si>
  <si>
    <t xml:space="preserve">77:06:0012001:9222, 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</si>
  <si>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Изюмская, д. 57, корп. 1, общей площадью 88,60 кв. м, кадастровый номер 77:06:0012001:9252</t>
  </si>
  <si>
    <t>07.06.22 12:00</t>
  </si>
  <si>
    <t>г Москва, ул Изюмская, д 57 к 1, помещ 1/Н</t>
  </si>
  <si>
    <t>77:06:0012001:9252</t>
  </si>
  <si>
    <t>Продажа имущества. находящегося в хозяйственном ведении ГУП «ЦУГИ». расположенного по адресу: г.Москва, Новокузнецкая ул., д. 20/21-19, стр. 5, общей площадью 87,3 кв. м (кадастровый номер: 77:01:0002012:3467)</t>
  </si>
  <si>
    <t>01.06.22 12:00</t>
  </si>
  <si>
    <t>г Москва, ул Новокузнецкая, д 20/21-19 стр 5, помещ 2/П</t>
  </si>
  <si>
    <t>77:01:0002012:3467</t>
  </si>
  <si>
    <t>Продажа имущества, находящегося в собственности города Москвы, нежилое помещение по адресу: г. Москва, ул. Сельскохозяйственная, д. 15, стр. 3 площадью 58,6 кв. м (Чердак № 0), кадастровый номер: 77:02:0018009:3336</t>
  </si>
  <si>
    <t>28.07.22 12:00</t>
  </si>
  <si>
    <t>г Москва, ул Сельскохозяйственная, д 15 стр 3</t>
  </si>
  <si>
    <t>77:02:0018009:3336</t>
  </si>
  <si>
    <t>Продажа имущества, находящегося в собственности города Москвы, нежилое помещение по адресу: г. Москва, ул. Маршала Федоренко, д. 10А, стр. 1 площадью 31,7 кв. м (Этаж № 1), кадастровый номер: 77:09:0002015:6546</t>
  </si>
  <si>
    <t>18.05.22 12:00</t>
  </si>
  <si>
    <t>г Москва, ул Маршала Федоренко, д 10А стр 1, помещ 1/1</t>
  </si>
  <si>
    <t>77:09:0002015:6546</t>
  </si>
  <si>
    <t>05.05.22 12:00</t>
  </si>
  <si>
    <t>Продажа имущества, находящегося в собственности города Москвы, нежилое помещение по адресу: г. Москва, ул. Матвеевская, д. 42, корп. 2, площадью 42,9 кв. м., Цокольный этаж № 0, кадастровый номер: 77:07:0012010:14857.</t>
  </si>
  <si>
    <t>06.07.22 12:00</t>
  </si>
  <si>
    <t>г Москва, ул Матвеевская, д 42 к 2, помещ 3Ц</t>
  </si>
  <si>
    <t>77:07:0012010:14857</t>
  </si>
  <si>
    <t>Продажа имущества, находящегося в собственности города Москвы, нежилое помещение по адресу: г. Москва, г. Зеленоград, корп. 448, площадью 54,3 кв. м., Этаж № 1, кадастровый номер: 77:10:0000000:3341.</t>
  </si>
  <si>
    <t>г Москва, г Зеленоград, к 448</t>
  </si>
  <si>
    <t>77:10:0000000:3341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</si>
  <si>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г. Москва, ул. Руднёвка, д. 14, общей площадью 79,70 кв.м. (кадастровый номер 77:03:0010008:5350)</t>
  </si>
  <si>
    <t>16.06.22 12:00</t>
  </si>
  <si>
    <t>г Москва, ул Руднёвка, д 14, помещ 20/1</t>
  </si>
  <si>
    <t>77:03:0010008:5350</t>
  </si>
  <si>
    <t>Продажа имущества, находящегося в хозяйственном ведении ГУП "ЦУГИ", нежилое помещение, расположенное по адресу: г. Москва, наб. Шевченко Тараса, д.1, площадь 54.8 кв. м (кадастровый номер 77:07:0007003:7034)</t>
  </si>
  <si>
    <t>30.06.22 12:00</t>
  </si>
  <si>
    <t>г Москва, наб Тараса Шевченко, д 1, помещ 30/9</t>
  </si>
  <si>
    <t>77:07:0007003:7034</t>
  </si>
  <si>
    <t>Продажа имущества, находящегося в собственности города Москвы, нежилое помещение по адресу: город Москва, Ленинский проспект, дом 95, цокольный этаж № 0, площадь 49,60 кв.м, кадастровый номер: 77:05:0001009:7426</t>
  </si>
  <si>
    <t>г Москва, Ленинский пр-кт, д 95, помещ 2/Ц</t>
  </si>
  <si>
    <t>77:05:0001009:7426</t>
  </si>
  <si>
    <t>Продажа имущества, находящегося в собственности города Москвы, нежилое помещение по адресу: г. Москва, Старослободский переулок, дом 4, площадь 46,5 кв. м., Цокольный этаж № 0, кадастровый номер: 77:03:0003003:2239.</t>
  </si>
  <si>
    <t>г Москва, Старослободский пер, д 4, помещ 3Ц</t>
  </si>
  <si>
    <t>77:03:0003003:2239</t>
  </si>
  <si>
    <t>Продажа имущества, находящегося в собственности города Москвы, нежилое помещение по адресу: город Москва, улица Образцова, дом 5А, этаж № 2, этаж № 1, площадь 66,40 кв.м, кадастровый номер: 77:02:0024029:4288</t>
  </si>
  <si>
    <t>г Москва, ул Образцова, д 5А, помещ 2/1</t>
  </si>
  <si>
    <t>77:02:0024029:4288</t>
  </si>
  <si>
    <t>Продажа имущества, находящегося в собственности города Москвы, нежилое помещение по адресу: г. Москва, ул. Совхозная, д. 18, корп. 4 (Этаж № 1), площадью 26,9 кв. м, кадастровый номер: 77:04:0004016:8581, посредством публичного предложения.</t>
  </si>
  <si>
    <t>г Москва, ул Совхозная, д 18 к 4, помещ 1/1</t>
  </si>
  <si>
    <t xml:space="preserve">77:04:0004016:8581, </t>
  </si>
  <si>
    <t>Продажа имущества, находящегося в собственности города Москвы, нежилое помещение по адресу: город Москва, Беловежская улица, дом 39, корпус 3, этаж № 1, площадь 27,50 кв.м, кадастровый 77:07:0008004:11797</t>
  </si>
  <si>
    <t>г Москва, ул Беловежская, д 39 к 3, помещ 245</t>
  </si>
  <si>
    <t>77:07:0008004:11797</t>
  </si>
  <si>
    <t>Продажа имущества, находящегося в собственности города Москвы, нежилое помещение по адресу: г. Москва, ул. Косинская, д. 4, площадью 27,5 кв. м (Этаж № 1), кадастровый номер: 77:03:0007010:2178</t>
  </si>
  <si>
    <t>г Москва, ул Косинская, д 4 к 1, помещ 1Н</t>
  </si>
  <si>
    <t>4239</t>
  </si>
  <si>
    <t>19</t>
  </si>
  <si>
    <t>77:03:0007010:2178</t>
  </si>
  <si>
    <t>Продажа имущества, находящегося в собственности города Москвы, нежилое помещение по адресу: г. Москва, просп. Ленинский, д. 7, площадь 50,1 кв.м, кадастровый номер: 77:01:0006004:3374</t>
  </si>
  <si>
    <t>05.07.22 12:00</t>
  </si>
  <si>
    <t>г Москва, Ленинский пр-кт, д 7, помещ 1/1</t>
  </si>
  <si>
    <t>77:01:0006004:3374</t>
  </si>
  <si>
    <t>Продажа имущества, находящегося в собственности города Москвы, нежилое помещение по адресу: г. Москва, ул. Шарикоподшипниковская, д. 9 площадью 35,3 кв. м., Цокольный этаж № 0, кадастровый номер: 77:04:0001018:10161.</t>
  </si>
  <si>
    <t>г Москва, ул Шарикоподшипниковская, д 9, помещ 17Ц</t>
  </si>
  <si>
    <t>77:04:0001018:10161</t>
  </si>
  <si>
    <t>Продажа имущества, находящегося в собственности города Москвы, нежилое помещение по адресу: г. Москва, ш. Варшавское, д. 114, корп. 1, площадью 12,4 кв. м., Этаж № 1, кадастровый номер: 77:05:0001020:3772.</t>
  </si>
  <si>
    <t>28.06.22 12:00</t>
  </si>
  <si>
    <t>г Москва, Варшавское шоссе, д 114 к 1, помещ 3/1</t>
  </si>
  <si>
    <t>77:05:0001020:3772</t>
  </si>
  <si>
    <t>Продажа имущества, находящегося в собственности города Москвы, нежилое помещение по адресу: г. Москва, улица Корнейчука, дом 33, площадью 33,7 кв. м., Этаж № 1, кадастровый номер: 77:02:0002007:2481.</t>
  </si>
  <si>
    <t>г Москва, ул Корнейчука, д 33, помещ 1Н</t>
  </si>
  <si>
    <t>77:02:0002007:2481</t>
  </si>
  <si>
    <t>Продажа имущества, находящегося в собственности города Москвы, нежилое помещение по адресу: г. Москва, ул. Тверская-Ямская 1-Я, д. 11, площадью 44,3 кв. м., Цокольный этаж № 0, кадастровый номер: 77:01:0004012:5402.</t>
  </si>
  <si>
    <t>г Москва, ул 1-я Тверская-Ямская, д 11, помещ 6Н</t>
  </si>
  <si>
    <t>77:01:0004012:5402</t>
  </si>
  <si>
    <t>Продажа имущества, находящегося в собственности города Москвы, нежилое помещение по адресу: г. Москва, ул. Волочаевская, д. 19 (Этаж № 1), площадью 44,7 кв. м, кадастровый паспорт: 77:04:0001011:3678</t>
  </si>
  <si>
    <t>г Москва, ул Волочаевская, д 19, помещ 3/1</t>
  </si>
  <si>
    <t>77:04:0001011:3678</t>
  </si>
  <si>
    <t>Продажа имущества, находящегося в собственности города Москвы, нежилое помещение по адресу: г. Москва, ул. Онежская, д. 53, корп. 4, площадью 35,7 кв. м., Этаж № 1, кадастровый номер: 77:09:0001013:10378.</t>
  </si>
  <si>
    <t>г Москва, ул Онежская, д 53 к 4</t>
  </si>
  <si>
    <t>77:09:0001013:10378</t>
  </si>
  <si>
    <t>Продажа имущества, находящегося в собственности города Москвы, нежилое помещение по адресу: г. Москва, ул. Раменки, д. 21 площадью 38,3 кв. м (Этаж № 1), кадастровый номер: 77:07:0013005:12684</t>
  </si>
  <si>
    <t>г Москва, ул Раменки, д 21</t>
  </si>
  <si>
    <t>77:07:0013005:12684</t>
  </si>
  <si>
    <t>Продажа имущества, находящегося в собственности города Москвы, нежилое помещение по адресу: г. Москва, ул. Воронежская, д. 56 площадью 31,6 кв. м (Этаж № 1), кадастровый номер: 77:05:0011009:14783</t>
  </si>
  <si>
    <t>21.03.22 12:00</t>
  </si>
  <si>
    <t>г Москва, ул Воронежская, д 56, помещ 1/1</t>
  </si>
  <si>
    <t>77:05:0011009:14783</t>
  </si>
  <si>
    <t>Продажа имущества, находящегося в собственности города Москвы, нежилое помещение по адресу: г. Москва, ул. Карачаровская 3-Я, д. 6, корп. 1, площадью 31,5 кв. м (Этаж № 1), кадастровый номер: 77:04:0002001:7376</t>
  </si>
  <si>
    <t>г Москва, ул 3-я Карачаровская, д 6 к 1, помещ 1/Н</t>
  </si>
  <si>
    <t>77:04:0002001:7376</t>
  </si>
  <si>
    <t>Продажа имущества, находящегося в собственности города Москвы, нежилое помещение по адресу: г. Москва, ул. Кузнецова Генерала, д. 12 площадью 31,2 кв. м (Этаж № 1), кадастровый номер: 77:04:0005009:9697</t>
  </si>
  <si>
    <t>г Москва, ул Генерала Кузнецова, д 12, помещ 5/1</t>
  </si>
  <si>
    <t>77:04:0005009:9697</t>
  </si>
  <si>
    <t>Аукцион в электронной форме по продаже нежилого помещения, закреплённого за КП «УГС» на праве оперативного управления, по адресу: г. Москва, Береговой проезд, д. 1А, помещение 39н, этаж 1, площадью 27,50 кв. м, кадастровый номер 77:07:0002003:13166</t>
  </si>
  <si>
    <t>г Москва, Береговой пр-д, д 1А, помещ 39Н</t>
  </si>
  <si>
    <t>77:07:0002003:13166</t>
  </si>
  <si>
    <t>Продажа имущества, находящегося в собственности города Москвы, нежилое помещение по адресу: г. Москва, ул. Белова Генерала, д. 45, корп. 1, площадью 16 кв. м (Этаж № 1), кадастровый номер: 77:05:0011006:9472</t>
  </si>
  <si>
    <t>22.03.22 12:00</t>
  </si>
  <si>
    <t>г Москва, ул Генерала Белова, д 45 к 1, помещ 1Н</t>
  </si>
  <si>
    <t>77:05:0011006:9472</t>
  </si>
  <si>
    <t>Продажа имущества, находящегося в собственности города Москвы, нежилое помещение по адресу: г. Москва, ул. Донецкая, д. 27 (Этаж № 1), площадью 23,4 кв. м, кадастровый номер: 77:04:0004019:30562</t>
  </si>
  <si>
    <t>г Москва, ул Донецкая, д 27, помещ 1/1</t>
  </si>
  <si>
    <t>77:04:0004019:30562</t>
  </si>
  <si>
    <t>Продажа имущества, находящегося в хозяйственном ведении ГУП "ЦУГИ", расположенного по адресу: г. Москва, ул. 1905 года, д. 17, площадь 13,7 кв. м (кадастровый номер 77:01:0004026:3986)</t>
  </si>
  <si>
    <t>07.07.22 12:00</t>
  </si>
  <si>
    <t>г Москва, ул 1905 года, д 17</t>
  </si>
  <si>
    <t>77:01:0004026:3986</t>
  </si>
  <si>
    <t>Продажа имущества, находящегося в собственности города Москвы, нежилое помещение по адресу: г. Москва, просп. Мира, д. 38, площадью 14,4 кв. м (Этаж № 1), кадастровый номер: 77:01:0003050:2905</t>
  </si>
  <si>
    <t>г Москва, пр-кт Мира, д 38, помещ 1/1</t>
  </si>
  <si>
    <t>77:01:0003050:2905</t>
  </si>
  <si>
    <t>Нежилое помещение, расположенное по адресу: Санкт-Петербург, Большая Морская ул., д. 46, литера А, пом. 2-Н, площадь 106.3 кв.м, назначение: нежилое помещение, этаж: цокольный, кадастровый номер 78:32:0001256:182</t>
  </si>
  <si>
    <t>12.07.22 20:00</t>
  </si>
  <si>
    <t>г Санкт-Петербург, ул Большая Морская, д 46 литера А, помещ 2-Н</t>
  </si>
  <si>
    <t>5225690</t>
  </si>
  <si>
    <t>78:32:0001256:182</t>
  </si>
  <si>
    <t>Нежилое помещение, расположенное по адресу: Санкт-Петербург, пер. Кузнечный, д. 19-21, литера П, пом. 5-Н, площадь 148.1 кв.м., наименование: нежилое помещение, назначение: нежилое помещение, этаж: цокольный, кадастровый номер 78:31:0001047:2742</t>
  </si>
  <si>
    <t>19.04.22 20:00</t>
  </si>
  <si>
    <t>г Санкт-Петербург, Кузнечный пер, д 19-21 литера П, помещ 5-Н</t>
  </si>
  <si>
    <t>78:31:0001047:2742</t>
  </si>
  <si>
    <t>Нежилое помещение, расположенное по адресу: Санкт-Петербург, ул. Ковалевская, д. 14, литера А, пом. 1-Н, площадь 130.5 кв.м, назначение: нежилое помещение, наименование: помещение, этаж №1, кадастровый номер 78:11:0613501:1295</t>
  </si>
  <si>
    <t>20.04.22 20:00</t>
  </si>
  <si>
    <t>г Санкт-Петербург, ул Ковалёвская, д 14 литера А, помещ 1-Н</t>
  </si>
  <si>
    <t>78:11:0613501:1295</t>
  </si>
  <si>
    <t>Нежилое помещение, расположенное по адресу: Санкт-Петербург, Ленская ул., д. 16, корп. 3, литера Б, пом. 11-Н, площадь 58.3 кв.м, назначение: нежилое помещение, наименование: магазин, этаж: цокольный, кадастровый номер 78:11:0006105:8335</t>
  </si>
  <si>
    <t>23.05.22 20:00</t>
  </si>
  <si>
    <t>г Санкт-Петербург, ул Ленская, д 16 к 3 литера Б, помещ 11-Н</t>
  </si>
  <si>
    <t>78:11:0006105:8335</t>
  </si>
  <si>
    <t>Нежилое помещение, расположенное по адресу: Санкт-Петербург, наб. Реки Пряжки, д. 48, литера А, пом. 4-Н, площадь 75.1 кв.м., этаж №1, назначение: нежилое помещение, наименование: контора, кадастровый номер 78:32:0001164:1183</t>
  </si>
  <si>
    <t>22.02.22 20:00</t>
  </si>
  <si>
    <t>г Санкт-Петербург, наб Реки Пряжки, д 48 литера А, помещ 4-Н</t>
  </si>
  <si>
    <t>78:32:0001164:1183</t>
  </si>
  <si>
    <t>Нежилое помещение, расположенное по адресу: Санкт-Петербург, Рижский проспект, д. 25, литера А, пом. 6-Н, площадь 57.7 кв.м., этаж: цокольный, назначение: нежилое, кадастровый номер 78:32:0001611:1079</t>
  </si>
  <si>
    <t>01.04.22 20:00</t>
  </si>
  <si>
    <t>г Санкт-Петербург, Рижский пр-кт, д 25 литера А, помещ 6-Н</t>
  </si>
  <si>
    <t>78:32:0001611:1079</t>
  </si>
  <si>
    <t>Нежилое помещение, расположенное по адресу: Санкт-Петербург, Витебская ул., д. 23, литера Б, пом. 4-Н, площадь 39.1 кв.м, назначение: нежилое помещение, наименование: нежилое помещение, этаж: цокольный, кадастровый номер 78:32:0001079:1071</t>
  </si>
  <si>
    <t>19.07.22 20:00</t>
  </si>
  <si>
    <t>г Санкт-Петербург, ул Витебская, д 23 литера Б, помещ 4-Н</t>
  </si>
  <si>
    <t>78:32:0001079:1071</t>
  </si>
  <si>
    <t>Нежилое помещение, расположенное по адресу: Санкт-Петербург, Свердловская набережная, д. 60, литера А, пом. 7-Н, площадь 14 кв.м, назначение: нежилое помещение, наименование: нежилое помещение, этаж: цокольный, кадастровый номер 78:11:0006068:4755</t>
  </si>
  <si>
    <t>г Санкт-Петербург, Свердловская наб, д 60 литера А, помещ 7-Н</t>
  </si>
  <si>
    <t>78:11:0006068:4755</t>
  </si>
  <si>
    <t>Помещение, расположенное по адресу: Санкт-Петербург, г. Ломоносов, Дворцовый проспект, д. 63, литера А, пом. 8-Н, площадь 10.7 кв.м, этаж № 2, назначение: нежилое помещение, наименование: нежилое помещение, кадастровый номер 78:40:2054701:1030</t>
  </si>
  <si>
    <t>15.03.22 20:00</t>
  </si>
  <si>
    <t>г Санкт-Петербург, г Ломоносов, Дворцовый пр-кт, д 63 литера А, помещ 8-Н</t>
  </si>
  <si>
    <t>78:40:2054701:1030</t>
  </si>
  <si>
    <t>Нежилое помещение, расположенное по адресу: Санкт-Петербург, Петергоф, Прудовая ул, дом 3а, лит. Б, пом. 1-Н, площадь 20.4 кв.м., назначение: нежилое, этаж № 1, кадастровый номер 78:40:0019218:1283 (далее Объект 1); пом. 2-Н, площадь 23.3 кв.м, назначение: нежилое, этаж № 1, № 2, кадастровый номер 78:40:0019218:1282 (далее Объект 2).</t>
  </si>
  <si>
    <t>11.05.22 20:00</t>
  </si>
  <si>
    <t>г Санкт-Петербург, г Петергоф, ул Прудовая, д 3а</t>
  </si>
  <si>
    <t xml:space="preserve">78:40:0019218:1283 </t>
  </si>
  <si>
    <t>Нежилое помещение, расположенное по адресу: Санкт-Петербург, проспект Стачек, д. 38, литера А, пом. 4-Н, площадь 89.4 кв.м, назначение: нежилое помещение, наименование: нежилое помещение, этаж: цокольный, кадастровый номер 78:15:0008052:1865</t>
  </si>
  <si>
    <t>24.02.22 20:00</t>
  </si>
  <si>
    <t>г Санкт-Петербург, пр-кт Стачек, д 38 литера А, помещ 4-Н</t>
  </si>
  <si>
    <t>78:15:0008052:1865</t>
  </si>
  <si>
    <t>Нежилое помещение, расположенное по адресу: Санкт-Петербург, Климов переулок, д. 3, литера А, пом. 3-Н, площадь 30.8 кв.м., назначение: нежилое, этаж: цокольный, кадастровый номер 78:32:0001070:3164</t>
  </si>
  <si>
    <t>21.02.22 20:00</t>
  </si>
  <si>
    <t>г Санкт-Петербург, Климов пер, д 3 литера А, помещ 3-Н</t>
  </si>
  <si>
    <t>78:32:0001070:3164</t>
  </si>
  <si>
    <t>Нежилое помещение, расположенное по адресу: Санкт-Петербург, ул. Чайковского, д. 4, литера А, пом. 9-Н, площадь 19 кв.м., назначение: нежилое помещение, этаж № 1, кадастровый номер 78:31:0001108:2495</t>
  </si>
  <si>
    <t>29.06.22 20:00</t>
  </si>
  <si>
    <t>г Санкт-Петербург, ул Чайковского, д 4 литера А, помещ 9-Н</t>
  </si>
  <si>
    <t>78:31:0001108:2495</t>
  </si>
  <si>
    <t>Нежилое помещение, расположенное по адресу: Санкт-Петербург, ул. Белы Куна, д. 16, литера В, пом. 5-Н, площадь 19.4 кв.м, назначение: нежилое помещение, этаж: цокольный, кадастровый номер 78:13:0007406:3526</t>
  </si>
  <si>
    <t>17.05.22 20:00</t>
  </si>
  <si>
    <t>г Санкт-Петербург, ул Белы Куна, д 16 литера В, помещ 5-Н</t>
  </si>
  <si>
    <t>78:13:0007406:3526</t>
  </si>
  <si>
    <t>Нежилое помещение, расположенное по адресу: Санкт-Петербург, наб. канала Грибоедова, д. 96, литера А, пом. 8-Н, площадь 22.6 кв.м, назначение: нежилое, этаж: цокольный, кадастровый номер 78:32:0001240:1493</t>
  </si>
  <si>
    <t>20.05.22 20:00</t>
  </si>
  <si>
    <t>г Санкт-Петербург, наб Канала Грибоедова, д 96 литера А, помещ 8-Н</t>
  </si>
  <si>
    <t>78:32:0001240:1493</t>
  </si>
  <si>
    <t>Нежилое помещение, расположенное по адресу: Санкт-Петербург, Английский проспект, д. 17-19, литера С, пом. 13-Н, площадь 15.8 кв.м, назначение: нежилое помещение, этаж №1, кадастровый номер 78:32:0001083:2584</t>
  </si>
  <si>
    <t>09.03.22 20:00</t>
  </si>
  <si>
    <t>г Санкт-Петербург, Английский пр-кт, д 17-19 литера С, помещ 13-Н</t>
  </si>
  <si>
    <t>78:32:0001083:2584</t>
  </si>
  <si>
    <t>Нежилое помещение, расположенное по адресу: Санкт-Петербург, Климов переулок, д. 3, литера А, пом. 4-Н, площадь 20.8 кв.м., назначение: нежилое помещение, этаж: цокольный, кадастровый номер 78:32:0001070:3166</t>
  </si>
  <si>
    <t>г Санкт-Петербург, Климов пер, д 3 литера А, помещ 4-Н</t>
  </si>
  <si>
    <t>78:32:0001070:3166</t>
  </si>
  <si>
    <t>Нежилое помещение, расположенное по адресу: Санкт-Петербург, Садовая ул., д. 101, литера А, пом. 5-Н, площадь 64.9 кв.м., назначение: нежилое помещение, наименование: салон красоты, этаж: цокольный, кадастровый номер 78:32:0001156:1320</t>
  </si>
  <si>
    <t>23.03.22 20:00</t>
  </si>
  <si>
    <t>г Санкт-Петербург, ул Садовая, д 101 литера А, помещ 5-Н</t>
  </si>
  <si>
    <t>78:32:0001156:1320</t>
  </si>
  <si>
    <t>Нежилое помещение, расположенное по адресу: Санкт-Петербург, наб. Обводного канала, д. 142/16, литера А, пом. 7-Н, площадь 79.7 кв.м, назначение: нежилое помещение, этаж № 1, кадастровый номер 78:32:0008004:2838</t>
  </si>
  <si>
    <t>03.03.22 20:00</t>
  </si>
  <si>
    <t>г Санкт-Петербург, наб Обводного канала, д 142/16 литера А, помещ 7-Н</t>
  </si>
  <si>
    <t>78:32:0008004:2838</t>
  </si>
  <si>
    <t>Нежилое помещение, расположенное по адресу: Санкт-Петербург, наб. реки Фонтанки, д. 189, литера А, пом. 2-Н, площадь 86.8 кв.м., назначение: нежилое, этаж: цокольный, кадастровый номер 78:32:0001074:1432</t>
  </si>
  <si>
    <t>г Санкт-Петербург, наб Реки Фонтанки, д 189 литера А, помещ 2-Н</t>
  </si>
  <si>
    <t>78:32:0001074:1432</t>
  </si>
  <si>
    <t>Нежилое помещение, расположенное по адресу: Санкт-Петербург, Витебская ул., д. 31, литера А, пом. 1-Н, площадь 37.3 кв.м., назначение: нежилое помещение, наименование: нежилое помещение, этаж: цокольный, кадастровый номер 78:32:0001079:1067</t>
  </si>
  <si>
    <t>18.07.22 20:00</t>
  </si>
  <si>
    <t>г Санкт-Петербург, ул Витебская, д 31 литера А, помещ 1-Н</t>
  </si>
  <si>
    <t>78:32:0001079:1067</t>
  </si>
  <si>
    <t>Нежилое помещение, расположенное по адресу: Санкт-Петербург, наб. канала Грибоедова, д. 68, литера А, пом. 1-Н, площадь 56.3 кв.м, назначение: нежилое, этаж №1, кадастровый номер 78:32:0001149:3350</t>
  </si>
  <si>
    <t>01.03.22 20:00</t>
  </si>
  <si>
    <t>г Санкт-Петербург, наб Канала Грибоедова, д 68 литера А, помещ 1-Н</t>
  </si>
  <si>
    <t>78:32:0001149:3350</t>
  </si>
  <si>
    <t>Нежилое помещение, расположенное по адресу: Санкт-Петербург, Большая Подьяческая ул., д. 5, литера А, пом. 7-Н, площадь 24.7 кв.м., назначение: нежилое помещение, этаж №1, кадастровый номер 78:32:0001239:2288</t>
  </si>
  <si>
    <t>13.04.22 20:00</t>
  </si>
  <si>
    <t>г Санкт-Петербург, ул Большая Подьяческая, д 5 литера А, помещ 7-Н</t>
  </si>
  <si>
    <t>78:32:0001239:2288</t>
  </si>
  <si>
    <t>Нежилое помещение, расположенное по адресу: Санкт-Петербург, г. Колпино, Заводской проспект, д. 34, литера А, пом. 1-Н, площадь 26.1 кв.м, назначение: нежилое помещение, наименование: нежилое помещение, этаж № 1, кадастровый номер 78:37:1711202:1778</t>
  </si>
  <si>
    <t>г Санкт-Петербург, г Колпино, Заводской пр-кт, д 34 литера А, помещ 1-Н</t>
  </si>
  <si>
    <t>78:37:1711202:1778</t>
  </si>
  <si>
    <t>Нежилое помещение, расположенное по адресу: Санкт-Петербург, Басков переулок, д. 21, литера А, пом. 12-Н, площадь 11.7 кв.м, назначение: нежилое помещение,  этаж № 1, кадастровый номер 78:31:0001216:2408</t>
  </si>
  <si>
    <t>г Санкт-Петербург, Басков пер, д 21 литера А, помещ 12-Н</t>
  </si>
  <si>
    <t>78:31:0001216:2408</t>
  </si>
  <si>
    <t>Нежилое помещение, расположенное по адресу: Санкт-Петербург, Конторская ул., д. 14, литера А, пом. 4-Н, площадь 25.9 кв.м, назначение: нежилое, наименование: нежилое помещение, этаж №1, кадастровый номер 78:11:0006065:3341</t>
  </si>
  <si>
    <t>г Санкт-Петербург, ул Конторская, д 14 литера А, помещ 4-Н</t>
  </si>
  <si>
    <t>78:11:0006065:3341</t>
  </si>
  <si>
    <t>Нежилое помещение, расположенное по адресу: Санкт-Петербург, Кавалергардская ул., д. 10, литера А, пом. 3-Н, площадь 49.8 кв.м, назначение: нежилое, наименование: нежилое помещение, этаж: цокольный, кадастровый номер 78:31:0001209:3242</t>
  </si>
  <si>
    <t>05.03.22 20:00</t>
  </si>
  <si>
    <t>г Санкт-Петербург, ул Кавалергардская, д 10 литера А, помещ 3-Н</t>
  </si>
  <si>
    <t>78:31:0001209:3242</t>
  </si>
  <si>
    <t>Нежилое помещение, расположенное по адресу: Санкт-Петербург, ул. Марата, д. 31, литера А, пом. 6-Н, площадь 16.3 кв.м, назначение: нежилое, этаж №1, кадастровый номер 78:31:0001133:3737</t>
  </si>
  <si>
    <t>г Санкт-Петербург, ул Марата, д 31 литера А, помещ 6-Н</t>
  </si>
  <si>
    <t>78:31:0001133:3737</t>
  </si>
  <si>
    <t>Нежилое помещение, расположенное по адресу: Санкт-Петербург, Шлиссельбургский проспект, д. 23, литера А, пом. 5-Н, площадь 15.8 кв.м, назначение: нежилое помещение, наименование: служебное, этаж № 1, кадастровый номер 78:12:0007202:4512</t>
  </si>
  <si>
    <t>г Санкт-Петербург, Шлиссельбургский пр-кт, д 23 литера А, помещ 5-Н</t>
  </si>
  <si>
    <t>78:12:0007202:4512</t>
  </si>
  <si>
    <t>Нежилое помещение, расположенное по адресу: Санкт-Петербург, Кузнечный переулок, д. 19-21, литера Б, пом. 12-Н, площадь 77.5 кв.м, назначение: нежилое, этаж № 1, кадастровый номер 78:31:0001047:2738</t>
  </si>
  <si>
    <t>08.08.22 20:00</t>
  </si>
  <si>
    <t>г Санкт-Петербург, Кузнечный пер, д 19-21 литера Б, помещ 12-Н</t>
  </si>
  <si>
    <t>78:31:0001047:2738</t>
  </si>
  <si>
    <t>Нежилое помещение, расположенное по адресу: Санкт-Петербург, ул. Олеко Дундича, д. 35, корп. 1, литера А, пом. 4-Н, площадь 31.4 кв.м, назначение: нежилое помещение, наименование: нежилое помещение, этаж №1, кадастровый номер 78:13:0007448:3519</t>
  </si>
  <si>
    <t>г Санкт-Петербург, ул Олеко Дундича, д 35 к 1 литера А, помещ 4-Н</t>
  </si>
  <si>
    <t>78:13:0007448:3519</t>
  </si>
  <si>
    <t>Нежилое помещение, расположенное по адресу: Санкт-Петербург, Соляной переулок, д. 14, литера А, пом. 8-Н, площадь 23.8 кв.м, назначение: нежилое помещение, этаж № 1, кадастровый номер   78:31:0001190:2156</t>
  </si>
  <si>
    <t>03.08.22 20:00</t>
  </si>
  <si>
    <t>г Санкт-Петербург, Соляной пер, д 14 литера А, помещ 8-Н</t>
  </si>
  <si>
    <t>78:31:0001190:2156</t>
  </si>
  <si>
    <t>Нежилое помещение, расположенное по адресу: Санкт-Петербург, Кирочная ул., д. 11, литера А, пом. 3-Н, площадь 12.9 кв.м, назначение: нежилое помещение, наименование: нежилое помещение, этаж №1, кадастровый номер 78:31:0001271:2127</t>
  </si>
  <si>
    <t>15.06.22 20:00</t>
  </si>
  <si>
    <t>г Санкт-Петербург, ул Кирочная, д 11 литера А, помещ 3-Н</t>
  </si>
  <si>
    <t>78:31:0001271:2127</t>
  </si>
  <si>
    <t>Нежилое помещение, расположенное по адресу: Санкт-Петербург, ул. Достоевского, д. 21, литера А, пом. 4-Н, площадь 23.8 кв.м, назначение: нежилое, этаж №1, кадастровый номер 78:31:0001692:2663</t>
  </si>
  <si>
    <t>29.07.22 20:00</t>
  </si>
  <si>
    <t>г Санкт-Петербург, ул Достоевского, д 21 литера А, помещ 4-Н</t>
  </si>
  <si>
    <t>78:31:0001692:2663</t>
  </si>
  <si>
    <t>Нежилое помещение, расположенное по адресу: Санкт-Петербург, Витебская ул., д. 31, литера Б, пом. 2-Н, площадь 10.1 кв.м, назначение: нежилое, этаж №1, кадастровый номер 78:32:0001079:1293</t>
  </si>
  <si>
    <t>г Санкт-Петербург, ул Витебская, д 31 литера Б</t>
  </si>
  <si>
    <t>78:32:0001079:1293</t>
  </si>
  <si>
    <t>Нежилое помещение, расположенное по адресу: Санкт-Петербург, 8-я Советская ул., д. 14, литера А, пом. 5-Н, площадь 27.4 кв.м., назначение: нежилое помещение, наименование: помещение, этаж № 1, кадастровый номер 78:31:0001422:1235</t>
  </si>
  <si>
    <t>22.03.22 20:00</t>
  </si>
  <si>
    <t>г Санкт-Петербург, ул 8-я Советская, д 14 литера А, помещ 5-Н</t>
  </si>
  <si>
    <t>78:31:0001422:1235</t>
  </si>
  <si>
    <t>Нежилое помещение, расположенное по адресу: Санкт-Петербург, Поварской переулок, д. 14, литера А, пом. 4-Н, площадь 37.9 кв.м., этаж: цокольный, назначение: нежилое, наименование: нежилое помещение, кадастровый номер 78:31:0001221:2345</t>
  </si>
  <si>
    <t>г Санкт-Петербург, Поварской пер, д 14 литера А, помещ 4-Н</t>
  </si>
  <si>
    <t>78:31:0001221:2345</t>
  </si>
  <si>
    <t>Нежилое помещение, расположенное по адресу: Санкт-Петербург, Конторская ул., д. 14, литера А, пом. 3-Н, площадь 26.2 кв.м, назначение: нежилое, наименование: нежилое помещение, этаж №1, кадастровый номер 78:11:0006065:3340</t>
  </si>
  <si>
    <t>07.06.22 20:00</t>
  </si>
  <si>
    <t>г Санкт-Петербург, ул Конторская, д 14 литера А, помещ 3-Н</t>
  </si>
  <si>
    <t>78:11:0006065:3340</t>
  </si>
  <si>
    <t>Нежилое помещение, расположенное по адресу: Санкт-Петербург, Будапештская ул., д. 95, корп. 1, литера А, пом. 6-Н, площадь 20.1 кв.м, назначение: нежилое помещение, наименование: нежилое помещение, этаж №1, кадастровый номер 78:13:0007438:2355</t>
  </si>
  <si>
    <t>г Санкт-Петербург, ул Будапештская, д 95 к 1 литера А, помещ 6-Н</t>
  </si>
  <si>
    <t>78:13:0007438:2355</t>
  </si>
  <si>
    <t>Нежилое помещение, расположенное по адресу: Санкт-Петербург, Приморский проспект, д. 145, корп. 3, литера А, пом. 5-Н, площадью 11.9 кв.м, назначение: нежилое помещение, наименование: нежилое помещение, этаж №1, кадастровый номер 78:34:0004164:2662</t>
  </si>
  <si>
    <t>25.03.22 20:00</t>
  </si>
  <si>
    <t>г Санкт-Петербург, Приморский пр-кт, д 145 к 3 литера А, помещ 5-Н</t>
  </si>
  <si>
    <t>78:34:0004164:2662</t>
  </si>
  <si>
    <t>Нежилое помещение, расположенное по адресу: Санкт-Петербург, ул. Рубинштейна, д. 3, литера А, пом. 2-Н, площадь 25.4 кв.м, назначение: нежилое помещение, этаж №1, кадастровый номер 78:31:0001225:2268</t>
  </si>
  <si>
    <t>г Санкт-Петербург, ул Рубинштейна, д 3 литера А, помещ 2-Н</t>
  </si>
  <si>
    <t>78:31:0001225:2268</t>
  </si>
  <si>
    <t>Нежилое помещение, расположенное по адресу: Санкт-Петербург, Саперный переулок, д. 10, литера Б, пом. 78-Н, площадь 31.9 кв.м, назначение: нежилое помещение, наименование: нежилое помещение, этаж №1, кадастровый номер 78:31:0001278:2643</t>
  </si>
  <si>
    <t>01.06.22 20:00</t>
  </si>
  <si>
    <t>г Санкт-Петербург, Сапёрный пер, д 10 литера Б, помещ 78-Н</t>
  </si>
  <si>
    <t>78:31:0001278:2643</t>
  </si>
  <si>
    <t>Нежилое помещение, расположенное по адресу: Санкт-Петербург, 12-я Красноармейская ул., д. 10, литера А, пом. 2-Н, площадь 11.7 кв.м, назначение: нежилое, наименование: нежилое помещение, этаж № 1, кадастровый номер 78:32:0001719:3395</t>
  </si>
  <si>
    <t>г Санкт-Петербург, ул 12-я Красноармейская, д 10 литера А, помещ 2-Н</t>
  </si>
  <si>
    <t>78:32:0001719:3395</t>
  </si>
  <si>
    <t>Нежилое помещение, расположенное по адресу: Санкт-Петербург, Псковская ул., д. 34, литера А, пом. 6-Н, площадь 19.7 кв.м, назначение: нежилое помещение, наименование: помещение, этаж №1, кадастровый номер 78:32:0001077:1207</t>
  </si>
  <si>
    <t>г Санкт-Петербург, ул Псковская, д 34 литера А, помещ 6-Н</t>
  </si>
  <si>
    <t>78:32:0001077:1207</t>
  </si>
  <si>
    <t>Нежилое помещение, расположенное по адресу: Санкт-Петербург, Гражданская ул., д. 14, литера А, пом. 4-Н, площадь 15.4 кв.м, назначение: нежилое помещение, этаж №1, кадастровый номер 78:32:0001233:397</t>
  </si>
  <si>
    <t>г Санкт-Петербург, ул Гражданская, д 14 литера А, помещ 4-Н</t>
  </si>
  <si>
    <t>78:32:0001233:397</t>
  </si>
  <si>
    <t>Нежилое помещение, расположенное по адресу: Санкт-Петербург, Большая Подьяческая ул., д. 7, литера А, пом. 6-Н, площадь 17 кв.м., назначение: нежилое помещение, этаж №1, кадастровый номер 78:32:0001239:2268</t>
  </si>
  <si>
    <t>25.07.22 20:00</t>
  </si>
  <si>
    <t>г Санкт-Петербург, ул Большая Подьяческая, д 7 литера А, помещ 6-Н</t>
  </si>
  <si>
    <t>78:32:0001239:2268</t>
  </si>
  <si>
    <t>Нежилое помещение, расположенное по адресу: Санкт-Петербург, ул. Михайлова, д. 12, литера А, пом. 5-Н, площадь 15.1 кв.м, назначение: нежилое помещение, наименование: нежилое помещение, этаж №1, кадастровый номер 78:10:0511201:2810</t>
  </si>
  <si>
    <t>г Санкт-Петербург, ул Михайлова, д 12 литера А, помещ 5-Н</t>
  </si>
  <si>
    <t>78:10:0511201:2810</t>
  </si>
  <si>
    <t>Нежилое помещение, расположенное по адресу: Санкт-Петербург, площадь Островского, д. 9, литера А, пом. 5-Н, площадь 13.9 кв.м., назначение: нежилое помещение, этаж №1, кадастровый номер 78:31:0001139:3101</t>
  </si>
  <si>
    <t>г Санкт-Петербург, пл Островского, д 9 литера А, помещ 5-Н</t>
  </si>
  <si>
    <t>78:31:0001139:3101</t>
  </si>
  <si>
    <t>Нежилое помещение, расположенное по адресу: Санкт-Петербург, ул. Жени Егоровой, д. 10, корп. 1, литера А, пом. 2-Н, площадь 19 кв.м, назначение: нежилое помещение, наименование: нежилое помещение, этаж №1, кадастровый номер 78:36:0005502:2316</t>
  </si>
  <si>
    <t>27.06.22 20:00</t>
  </si>
  <si>
    <t>г Санкт-Петербург, ул Жени Егоровой, д 10 к 1 литера А, помещ 2-Н</t>
  </si>
  <si>
    <t>78:36:0005502:2316</t>
  </si>
  <si>
    <t>Нежилое помещение, расположенное по адресу: Санкт-Петербург, Английский проспект, д. 17-19, литера А, пом. 40-Н, площадь 23.8 кв.м, назначение: нежилое помещение, этаж № 1, кадастровый номер 78:32:0001083:2524</t>
  </si>
  <si>
    <t>30.05.22 20:00</t>
  </si>
  <si>
    <t>г Санкт-Петербург, Английский пр-кт, д 17-19 литера А, помещ 40-Н</t>
  </si>
  <si>
    <t>78:32:0001083:2524</t>
  </si>
  <si>
    <t>Нежилое помещение, расположенное по адресу: Санкт-Петербург, Мясная ул., д. 19-21, литера А, пом. 17-Н, площадь 13 кв.м, назначение: нежилое помещение, этаж № 1, кадастровый номер 78:32:0001077:1223</t>
  </si>
  <si>
    <t>г Санкт-Петербург, ул Мясная, д 19-21 литера А, помещ 17-Н</t>
  </si>
  <si>
    <t>78:32:0001077:1223</t>
  </si>
  <si>
    <t>Нежилое помещение, расположенное по адресу: Санкт-Петербург, 4-я Красноармейская ул., д. 14, литера А, пом. 2-Н, площадь 17.2 кв.м, назначение: нежилое помещение, наименование: нежилое помещение, этаж №1, кадастровый номер 78:32:0001669:225</t>
  </si>
  <si>
    <t>г Санкт-Петербург, ул 4-я Красноармейская, д 14 литера А, помещ 2-Н</t>
  </si>
  <si>
    <t>78:32:0001669:225</t>
  </si>
  <si>
    <t>Нежилое помещение, расположенное по адресу: Санкт-Петербург, Большая Конюшенная ул., д. 15, литера Б, пом. 4-Н, площадь 28 кв.м, назначение: нежилое помещение, наименование: нежилое помещение, этаж: цокольный, кадастровый номер 78:31:0001184:4148</t>
  </si>
  <si>
    <t>16.03.22 20:00</t>
  </si>
  <si>
    <t>г Санкт-Петербург, ул Большая Конюшенная, д 15 литера Б, помещ 4-Н</t>
  </si>
  <si>
    <t>78:31:0001184:4148</t>
  </si>
  <si>
    <t>Нежилое помещение, расположенное по адресу: Санкт-Петербург, наб. реки Фонтанки, д. 24, литера В, пом. 75-Н, площадь 24.9 кв.м, назначение: нежилое помещение, этаж № 1, кадастровый номер 78:31:0001189:3187</t>
  </si>
  <si>
    <t>10.08.22 20:00</t>
  </si>
  <si>
    <t>г Санкт-Петербург, наб Реки Фонтанки, д 24 литера В, помещ 75-Н</t>
  </si>
  <si>
    <t>78:31:0001189:3187</t>
  </si>
  <si>
    <t>Нежилое помещение, расположенное по адресу: Санкт-Петербург, проспект Обуховской Обороны, д. 89, литера Б, пом. 15-Н, площадь 10.9 кв.м, назначение: нежилое, наименование: офис, этаж №2, кадастровый номер 78:12:0007117:2692</t>
  </si>
  <si>
    <t>06.06.22 20:00</t>
  </si>
  <si>
    <t>г Санкт-Петербург, пр-кт Обуховской Обороны, д 89 литера Б, помещ 15-Н</t>
  </si>
  <si>
    <t>офис</t>
  </si>
  <si>
    <t>78:12:0007117:2692</t>
  </si>
  <si>
    <t>Нежилое помещение, расположенное по адресу: Санкт-Петербург, 10-я линия В.О., д. 15б, литера А, пом. 2-Н, площадь 13 кв.м, назначение: нежилое помещение, наименование: нежилое помещение, этаж: цокольный, кадастровый номер 78:06:0002039:2704</t>
  </si>
  <si>
    <t>09.06.22 20:00</t>
  </si>
  <si>
    <t>г Санкт-Петербург, линия 10-я В.О., д 15б литера А, помещ 2-Н</t>
  </si>
  <si>
    <t>78:06:0002039:2704</t>
  </si>
  <si>
    <t>Нежилое помещение, расположенное по адресу: Санкт-Петербург, наб. Обводного канала, д. 209, литера А, пом. 15-Н, площадь 15 кв.м, назначение: нежилое, этаж №1, кадастровый номер 78:32:0001663:3051</t>
  </si>
  <si>
    <t>г Санкт-Петербург, наб Обводного канала, д 209 литера А, помещ 15-Н</t>
  </si>
  <si>
    <t>78:32:0001663:3051</t>
  </si>
  <si>
    <t>Нежилое помещение, расположенное по адресу: Санкт-Петербург, переулок Макаренко, д. 3, литера А, пом. 2-Н, площадь 14.9 кв.м, назначение: нежилое, этаж №1, кадастровый номер 78:32:0001068:1514</t>
  </si>
  <si>
    <t>г Санкт-Петербург, пер Макаренко, д 3 литера А, помещ 2-Н</t>
  </si>
  <si>
    <t>78:32:0001068:1514</t>
  </si>
  <si>
    <t>Нежилое помещение, расположенное по адресу: Санкт-Петербург, Апраксин переулок, д. 9, литера А, пом. 3-Н, площадь 31.9 кв.м, назначение: нежилое, наименование: нежилое помещение, этаж: цокольный, кадастровый номер 78:31:0001057:3086</t>
  </si>
  <si>
    <t>25.05.22 20:00</t>
  </si>
  <si>
    <t>г Санкт-Петербург, Апраксин пер, д 9 литера А, помещ 3-Н</t>
  </si>
  <si>
    <t>78:31:0001057:3086</t>
  </si>
  <si>
    <t>Нежилое помещение, расположенное по адресу: Санкт-Петербург, Невский проспект, д. 11/2, литера А, пом. 8-Н, площадь 42 кв.м., назначение: нежилое помещение, этаж №1, кадастровый номер 78:31:0001182:2183</t>
  </si>
  <si>
    <t>г Санкт-Петербург, Невский пр-кт, д 11/2 литера А, помещ 8-Н</t>
  </si>
  <si>
    <t>78:31:0001182:2183</t>
  </si>
  <si>
    <t>Нежилое помещение, расположенное по адресу: Санкт-Петербург, Итальянская ул., д. 12, литера Е, пом. 6-Н, площадь 17.8 кв.м, назначение: нежилое помещение, этаж № 2, кадастровый номер 78:31:0001264:1185</t>
  </si>
  <si>
    <t>18.05.22 20:00</t>
  </si>
  <si>
    <t>г Санкт-Петербург, ул Итальянская, д 12 литера Е, помещ 6-Н</t>
  </si>
  <si>
    <t>78:31:0001264:1185</t>
  </si>
  <si>
    <t>Нежилое помещение, расположенное по адресу: Санкт-Петербург, Петергофское шоссе, д. 3, корп. 1, литера Д, пом. 5-Н, площадь 24.2 кв.м, назначение: нежилое помещение, наименование: нежилое помещение, этаж №1, кадастровый номер 78:40:0008309:5227</t>
  </si>
  <si>
    <t>г Санкт-Петербург, Петергофское шоссе, д 3 к 1 литера Д, помещ 5-Н</t>
  </si>
  <si>
    <t>78:40:0008309:5227</t>
  </si>
  <si>
    <t>Нежилое помещение, расположенное по адресу: Санкт-Петербург, 8-я Красноармейская ул., д. 4/5, литера А, пом. 1-Н, площадь 20.2 кв.м, назначение: нежилое помещение, наименование: нежилое помещение, этаж №1, кадастровый номер 78:32:0001651:1077</t>
  </si>
  <si>
    <t>21.03.22 20:00</t>
  </si>
  <si>
    <t>г Санкт-Петербург, ул 8-я Красноармейская, д 4/5 литера А, помещ 1-Н</t>
  </si>
  <si>
    <t>78:32:0001651:1077</t>
  </si>
  <si>
    <t>Нежилое помещение, расположенное по адресу: Санкт-Петербург, Наличная ул., д. 44, корп. 2, литера А, пом. 24-Н, площадь 17.4 кв.м., назначение: нежилое помещение, наименование: нежилое помещение, этаж №1, кадастровый номер 78:06:0002202:12857</t>
  </si>
  <si>
    <t>г Санкт-Петербург, ул Наличная, д 44 к 2 литера А, помещ 24-Н</t>
  </si>
  <si>
    <t>78:06:0002202:12857</t>
  </si>
  <si>
    <t>Нежилое помещение, расположенное по адресу: Санкт-Петербург, Ивановская ул., д. 15, литера А, пом. 3-Н, площадь 13.3 кв.м, назначение: нежилое помещение, наименование: офис, этаж № 1, кадастровый номер 78:12:0713901:3356</t>
  </si>
  <si>
    <t>г Санкт-Петербург, ул Ивановская, д 15 литера А, помещ 3-Н</t>
  </si>
  <si>
    <t>78:12:0713901:3356</t>
  </si>
  <si>
    <t>Нежилое помещение, расположенное по адресу: Санкт-Петербург, проспект Римского-Корсакова, д. 31, литера А, пом. 11-Н, площадь 17.2 кв.м, назначение: нежилое помещение, наименование: нежилое помещение, этаж №2, кадастровый номер 78:32:0001250:2312</t>
  </si>
  <si>
    <t>г Санкт-Петербург, пр-кт Римского-Корсакова, д 31 литера А, помещ 11-Н</t>
  </si>
  <si>
    <t>78:32:0001250:2312</t>
  </si>
  <si>
    <t>Нежилое помещение, расположенное по адресу: Санкт-Петербург, ул. Декабристов, д. 17, литера А, пом. 5-Н, площадь 20.1 кв.м, назначение: нежилое помещение, этаж: цокольный, кадастровый номер  78:32:0001253:243</t>
  </si>
  <si>
    <t>г Санкт-Петербург, ул Декабристов, д 17 литера А, помещ 5-Н</t>
  </si>
  <si>
    <t>78:32:0001253:243</t>
  </si>
  <si>
    <t>Нежилое помещение, расположенное по адресу: Санкт-Петербург, Митавский переулок, д. 10, литера А, пом. 3-Н, площадь 11.3 кв.м, назначение: нежилое помещение, наименование: нежилое помещение, этаж № 1, кадастровый номер 78:31:0001214:2160</t>
  </si>
  <si>
    <t>г Санкт-Петербург, Митавский пер, д 10 литера А, помещ 3-Н</t>
  </si>
  <si>
    <t>78:31:0001214:2160</t>
  </si>
  <si>
    <t>Нежилое помещение, расположенное по адресу: Санкт-Петербург, Каменноостровский проспект, д. 45, литера Г, пом. 6-Н, площадь 37.5 кв.м, назначение: нежилое помещение, наименование: нежилое помещение, этаж: цокольный, кадастровый номер 78:07:0003116:2244</t>
  </si>
  <si>
    <t>г Санкт-Петербург, Каменноостровский пр-кт, д 45 литера Г</t>
  </si>
  <si>
    <t>78:07:0003116:2244</t>
  </si>
  <si>
    <t>Нежилое помещение, расположенное по адресу: Санкт-Петербург, Столярный переулок, д. 18/69, литера А, пом. 33-Н, площадь 25.8 кв.м, назначение: нежилое помещение, наименование: контора, этаж №1, кадастровый номер 78:32:0001234:1114</t>
  </si>
  <si>
    <t>11.03.22 20:00</t>
  </si>
  <si>
    <t>г Санкт-Петербург, Столярный пер, д 18/69 литера А, помещ 33-Н</t>
  </si>
  <si>
    <t>78:32:0001234:1114</t>
  </si>
  <si>
    <t>Нежилое помещение, расположенное по адресу: Санкт-Петербург, Угловой переулок, д. 9, литера А, пом. 3-Н, площадь 14.5 кв.м, назначение: нежилое помещение, этаж №1, кадастровый номер 78:32:0001717:1810</t>
  </si>
  <si>
    <t>г Санкт-Петербург, Угловой пер, д 9 литера А, помещ 3-Н</t>
  </si>
  <si>
    <t>78:32:0001717:1810</t>
  </si>
  <si>
    <t>Нежилое помещение, расположенное по адресу: Санкт-Петербург, Таллинская ул., д. 12/18, литера А, пом. 18-Н, площадь 19.5 кв.м, назначение: нежилое помещение, наименование: нежилое помещение, этаж №1, кадастровый номер 78:11:0006025:4808</t>
  </si>
  <si>
    <t>г Санкт-Петербург, ул Таллинская, д 12/18 литера А, помещ 18-Н</t>
  </si>
  <si>
    <t>78:11:0006025:4808</t>
  </si>
  <si>
    <t>Нежилое помещение, расположенное по адресу: Санкт-Петербург, 16-я линия В.О., д. 97, литера А, пом. 7-Н, площадь 20.9 кв.м, назначение: нежилое помещение, наименование: нежилое помещение, этаж №1, кадастровый номер 78:06:0002057:2692</t>
  </si>
  <si>
    <t>г Санкт-Петербург, линия 16-я В.О., д 97 литера А, помещ 7-Н</t>
  </si>
  <si>
    <t>78:06:0002057:2692</t>
  </si>
  <si>
    <t>Нежилое помещение, расположенное по адресу: Санкт-Петербург, Невский проспект, д. 11/2, литера А, пом. 7-Н, площадь 18.2 кв.м, назначение: нежилое помещение, наименование: нежилое помещение, этаж № 1, кадастровый номер 78:31:0001182:2180</t>
  </si>
  <si>
    <t>г Санкт-Петербург, Невский пр-кт, д 11/2 литера А, помещ 7-Н</t>
  </si>
  <si>
    <t>78:31:0001182:2180</t>
  </si>
  <si>
    <t>Нежилое помещение, расположенное по адресу: Санкт-Петербург, Невский проспект, д. 6, литера А, пом. 11-Н, площадь 19.7 кв.м, назначение: нежилое помещение, этаж № 1, кадастровый номер  78:31:0001096:1063</t>
  </si>
  <si>
    <t>г Санкт-Петербург, Невский пр-кт, д 6 литера А, помещ 11-Н</t>
  </si>
  <si>
    <t>78:31:0001096:1063</t>
  </si>
  <si>
    <t>Нежилое помещение, расположенное по адресу: Санкт-Петербург, Малая Морская ул., д. 19, литера А, пом. 19-Н, площадь 39.3 кв.м, назначение: нежилое помещение, наименование: нежилое помещение, этаж №1, кадастровый номер 78:32:0001094:1202</t>
  </si>
  <si>
    <t>г Санкт-Петербург, ул Малая Морская, д 19 литера А, помещ 19-Н</t>
  </si>
  <si>
    <t>78:32:0001094:1202</t>
  </si>
  <si>
    <t>Нежилое помещение, расположенное по адресу: Санкт-Петербург, Краснопутиловская ул., д. 14/12, литера А, пом. 18-Н, площадь 14.1 кв.м, назначение: нежилое помещение, наименование: нежилое помещение, этаж №1, кадастровый номер 78:15:0008205:2861</t>
  </si>
  <si>
    <t>г Санкт-Петербург, ул Краснопутиловская, д 14/12 литера А, помещ 18-Н</t>
  </si>
  <si>
    <t>78:15:0008205:2861</t>
  </si>
  <si>
    <t>23.05.22 14:30</t>
  </si>
  <si>
    <t>г Биробиджан, ул Шолом-Алейхема, д 39</t>
  </si>
  <si>
    <t>74777</t>
  </si>
  <si>
    <t>79:01:0200034:1064</t>
  </si>
  <si>
    <t>этажность -2, общая площадь помещения 519,6 кв.м.</t>
  </si>
  <si>
    <t>18.04.22 12:30</t>
  </si>
  <si>
    <t>Ханты-Мансийский автономный округ – Югра, г. Нефтеюганск, мкр-н 6, здание 47</t>
  </si>
  <si>
    <t>9015</t>
  </si>
  <si>
    <t>96</t>
  </si>
  <si>
    <t>86:10:0000000:19032</t>
  </si>
  <si>
    <t>кадастровый номер: 86:11:0000000:75741, площадь 310 кв. м, этаж 1, адрес: Ханты-Мансийский автономный округ – Югра, г. Нижневартовск, ул. Ленина, 5/п, строение 4, помещение 1003</t>
  </si>
  <si>
    <t>25.03.22 14:00</t>
  </si>
  <si>
    <t>Ханты-Мансийский Автономный округ - Югра, г Нижневартовск, ул Ленина, зд 5/П стр 4</t>
  </si>
  <si>
    <t>276503</t>
  </si>
  <si>
    <t xml:space="preserve">86:11:0000000:75741, </t>
  </si>
  <si>
    <t>Недвижимое имущество – нежилое помещение, общей площадью 294,7 кв.м., кадастровый номер 89:08:030201:936, РНФИ П13460001325, расположенное по адресу: Ямало-Ненецкий автономный округ, г Салехард, ул. Чапаева, д 22, пом. 1</t>
  </si>
  <si>
    <t>09.03.22 09:00</t>
  </si>
  <si>
    <t>г Салехард, ул Чапаева, д 22, помещ 1</t>
  </si>
  <si>
    <t>50064</t>
  </si>
  <si>
    <t xml:space="preserve">89:08:030201:936, </t>
  </si>
  <si>
    <t>1618038</t>
  </si>
  <si>
    <t>1515833</t>
  </si>
  <si>
    <t>12380665</t>
  </si>
  <si>
    <t>5225691</t>
  </si>
  <si>
    <t>5225692</t>
  </si>
  <si>
    <t>здание</t>
  </si>
  <si>
    <t>здания</t>
  </si>
  <si>
    <t>Здание</t>
  </si>
  <si>
    <t>Здание – Штаб/казарма</t>
  </si>
  <si>
    <t>здании</t>
  </si>
  <si>
    <t>Здание рабочих казарм</t>
  </si>
  <si>
    <t>Административное здание</t>
  </si>
  <si>
    <t>Комплекс зданий</t>
  </si>
</sst>
</file>

<file path=xl/styles.xml><?xml version="1.0" encoding="utf-8"?>
<styleSheet xmlns="http://schemas.openxmlformats.org/spreadsheetml/2006/main">
  <numFmts count="9">
    <numFmt numFmtId="164" formatCode="#\ ##0.0\м\2"/>
    <numFmt numFmtId="165" formatCode="dd\.mm\.yy\ hh:mm"/>
    <numFmt numFmtId="166" formatCode="#\ ###\ ##0\₽"/>
    <numFmt numFmtId="167" formatCode="#\ ###\ ##0.0\₽"/>
    <numFmt numFmtId="168" formatCode="#\ ##0\ \м"/>
    <numFmt numFmtId="169" formatCode="_-* #\ ##0.00\₽_-;\-* #\ ##0.00\₽_-"/>
    <numFmt numFmtId="170" formatCode="_-* #\ ##0.0\₽_-;\-* #\ ##0.0\₽_-"/>
    <numFmt numFmtId="171" formatCode="_-* #\ ##0.0\₽_-;\-* #\ ##0.0\₽\-"/>
    <numFmt numFmtId="172" formatCode="_-* #\ ##0\₽_-;\-* #\ ##0\₽\-"/>
  </numFmts>
  <fonts count="10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</font>
    <font>
      <b/>
      <sz val="11"/>
      <color rgb="FF006100"/>
      <name val="Calibri"/>
    </font>
    <font>
      <sz val="11"/>
      <color rgb="FF9C0006"/>
      <name val="Calibri"/>
    </font>
    <font>
      <b/>
      <sz val="11"/>
      <color rgb="FF006100"/>
      <name val="Calibri"/>
    </font>
    <font>
      <sz val="11"/>
      <color rgb="FF9C0006"/>
      <name val="Calibri"/>
    </font>
    <font>
      <sz val="11"/>
      <color rgb="FF9C0006"/>
      <name val="Calibri"/>
    </font>
    <font>
      <b/>
      <sz val="11"/>
      <color rgb="FF0061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 vertical="top"/>
    </xf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3" fillId="0" borderId="0" xfId="0" applyFont="1"/>
    <xf numFmtId="0" fontId="2" fillId="0" borderId="2" xfId="0" applyFont="1" applyBorder="1" applyAlignment="1">
      <alignment horizontal="center" vertical="top"/>
    </xf>
    <xf numFmtId="172" fontId="4" fillId="2" borderId="0" xfId="0" applyNumberFormat="1" applyFont="1" applyFill="1"/>
    <xf numFmtId="172" fontId="5" fillId="3" borderId="0" xfId="0" applyNumberFormat="1" applyFont="1" applyFill="1"/>
    <xf numFmtId="172" fontId="0" fillId="0" borderId="0" xfId="0" applyNumberFormat="1"/>
    <xf numFmtId="172" fontId="6" fillId="4" borderId="0" xfId="0" applyNumberFormat="1" applyFont="1" applyFill="1"/>
    <xf numFmtId="172" fontId="7" fillId="5" borderId="0" xfId="0" applyNumberFormat="1" applyFont="1" applyFill="1"/>
    <xf numFmtId="172" fontId="0" fillId="0" borderId="0" xfId="0" applyNumberFormat="1"/>
    <xf numFmtId="172" fontId="8" fillId="6" borderId="0" xfId="0" applyNumberFormat="1" applyFont="1" applyFill="1"/>
    <xf numFmtId="172" fontId="9" fillId="7" borderId="0" xfId="0" applyNumberFormat="1" applyFont="1" applyFill="1"/>
  </cellXfs>
  <cellStyles count="1"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90"/>
  <sheetViews>
    <sheetView tabSelected="1" topLeftCell="A19" workbookViewId="0">
      <selection activeCell="J29" sqref="J29"/>
    </sheetView>
  </sheetViews>
  <sheetFormatPr defaultRowHeight="15"/>
  <cols>
    <col min="2" max="2" width="3.7109375" customWidth="1"/>
    <col min="3" max="3" width="9.7109375" style="1" customWidth="1"/>
    <col min="4" max="4" width="23.7109375" style="2" customWidth="1"/>
    <col min="5" max="5" width="12.7109375" customWidth="1"/>
    <col min="6" max="6" width="12.7109375" style="3" customWidth="1"/>
    <col min="7" max="7" width="29.85546875" customWidth="1"/>
    <col min="8" max="8" width="12.7109375" style="4" customWidth="1"/>
    <col min="9" max="9" width="9.7109375" style="4" customWidth="1"/>
    <col min="10" max="10" width="11" style="5" customWidth="1"/>
    <col min="11" max="11" width="8.7109375" style="5" customWidth="1"/>
    <col min="12" max="12" width="8.7109375" style="4" customWidth="1"/>
    <col min="13" max="13" width="5.7109375" customWidth="1"/>
    <col min="14" max="14" width="8" customWidth="1"/>
    <col min="15" max="15" width="5.7109375" customWidth="1"/>
    <col min="16" max="16" width="7.7109375" style="6" customWidth="1"/>
    <col min="17" max="18" width="3.7109375" customWidth="1"/>
    <col min="19" max="20" width="22.7109375" style="2" customWidth="1"/>
    <col min="21" max="21" width="17.7109375" customWidth="1"/>
    <col min="22" max="22" width="5.7109375" style="7" customWidth="1"/>
    <col min="23" max="24" width="9.7109375" style="4" customWidth="1"/>
  </cols>
  <sheetData>
    <row r="1" spans="1:27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13" t="s">
        <v>25</v>
      </c>
    </row>
    <row r="2" spans="1:27">
      <c r="A2" s="8">
        <v>0</v>
      </c>
      <c r="B2">
        <v>1</v>
      </c>
      <c r="C2" s="1">
        <v>52.9</v>
      </c>
      <c r="D2" s="2" t="str">
        <f>HYPERLINK("https://torgi.gov.ru/new/public/lots/lot/22000066460000000003_1/(lotInfo:info)", "22000066460000000003_1")</f>
        <v>22000066460000000003_1</v>
      </c>
      <c r="E2" t="s">
        <v>26</v>
      </c>
      <c r="F2" s="3" t="s">
        <v>27</v>
      </c>
      <c r="G2" t="s">
        <v>28</v>
      </c>
      <c r="H2" s="4">
        <v>1414000</v>
      </c>
      <c r="I2" s="4">
        <v>26729.678638941401</v>
      </c>
      <c r="J2" s="5" t="s">
        <v>29</v>
      </c>
      <c r="K2" s="5">
        <v>8.51</v>
      </c>
      <c r="L2" s="4">
        <v>226.52</v>
      </c>
      <c r="M2">
        <v>3142</v>
      </c>
      <c r="N2" t="s">
        <v>30</v>
      </c>
      <c r="O2">
        <v>118</v>
      </c>
      <c r="P2" s="6">
        <v>300</v>
      </c>
      <c r="Q2" t="s">
        <v>31</v>
      </c>
      <c r="R2" t="s">
        <v>32</v>
      </c>
      <c r="S2" s="2" t="str">
        <f>HYPERLINK("https://yandex.ru/maps/?&amp;text=44.604739, 40.108358", "44.604739, 40.108358")</f>
        <v>44.604739, 40.108358</v>
      </c>
      <c r="T2" s="2" t="str">
        <f>HYPERLINK("D:\venv_torgi\env\cache\objs_in_district/44.604739_40.108358.json", "44.604739_40.108358.json")</f>
        <v>44.604739_40.108358.json</v>
      </c>
      <c r="U2" t="s">
        <v>33</v>
      </c>
      <c r="V2" s="7" t="s">
        <v>34</v>
      </c>
      <c r="W2" s="19">
        <v>25005.921007216992</v>
      </c>
      <c r="X2" s="20">
        <v>-1723.7576317244091</v>
      </c>
      <c r="Y2">
        <v>0</v>
      </c>
    </row>
    <row r="3" spans="1:27">
      <c r="A3" s="8">
        <v>1</v>
      </c>
      <c r="B3">
        <v>2</v>
      </c>
      <c r="C3" s="1">
        <v>613</v>
      </c>
      <c r="D3" s="2" t="str">
        <f>HYPERLINK("https://torgi.gov.ru/new/public/lots/lot/22000039540000000001_1/(lotInfo:info)", "22000039540000000001_1")</f>
        <v>22000039540000000001_1</v>
      </c>
      <c r="E3" t="s">
        <v>35</v>
      </c>
      <c r="F3" s="3" t="s">
        <v>36</v>
      </c>
      <c r="G3" t="s">
        <v>37</v>
      </c>
      <c r="H3" s="4">
        <v>1663000</v>
      </c>
      <c r="I3" s="4">
        <v>2712.887438825448</v>
      </c>
      <c r="J3" s="5" t="s">
        <v>2078</v>
      </c>
      <c r="K3" s="10">
        <v>7.86</v>
      </c>
      <c r="L3" s="11"/>
      <c r="M3">
        <v>725</v>
      </c>
      <c r="N3" t="s">
        <v>38</v>
      </c>
      <c r="O3" t="s">
        <v>39</v>
      </c>
      <c r="P3" s="6">
        <v>1600</v>
      </c>
      <c r="Q3" t="s">
        <v>40</v>
      </c>
      <c r="R3" t="s">
        <v>32</v>
      </c>
      <c r="S3" s="2" t="str">
        <f>HYPERLINK("https://yandex.ru/maps/?&amp;text=55.104079, 55.368992", "55.104079, 55.368992")</f>
        <v>55.104079, 55.368992</v>
      </c>
      <c r="T3" s="12" t="str">
        <f>HYPERLINK("D:\venv_torgi\env\cache\objs_in_district/55.104079_55.368992.json", "55.104079_55.368992.json")</f>
        <v>55.104079_55.368992.json</v>
      </c>
      <c r="U3" t="s">
        <v>41</v>
      </c>
      <c r="V3" s="7" t="s">
        <v>34</v>
      </c>
      <c r="W3" s="16">
        <v>13468.057755033909</v>
      </c>
      <c r="X3" s="17">
        <v>10755.17031620846</v>
      </c>
      <c r="Y3">
        <v>0</v>
      </c>
    </row>
    <row r="4" spans="1:27">
      <c r="A4" s="8">
        <v>2</v>
      </c>
      <c r="B4">
        <v>2</v>
      </c>
      <c r="C4" s="1">
        <v>491.1</v>
      </c>
      <c r="D4" s="2" t="str">
        <f>HYPERLINK("https://torgi.gov.ru/new/public/lots/lot/22000022990000000003_1/(lotInfo:info)", "22000022990000000003_1")</f>
        <v>22000022990000000003_1</v>
      </c>
      <c r="E4" t="s">
        <v>42</v>
      </c>
      <c r="F4" s="3" t="s">
        <v>43</v>
      </c>
      <c r="G4" t="s">
        <v>44</v>
      </c>
      <c r="H4" s="4">
        <v>1563000</v>
      </c>
      <c r="I4" s="4">
        <v>3182.6511912034211</v>
      </c>
      <c r="J4" s="5" t="s">
        <v>2078</v>
      </c>
      <c r="K4" s="5">
        <v>9.4700000000000006</v>
      </c>
      <c r="L4" s="4">
        <v>1060.67</v>
      </c>
      <c r="M4">
        <v>336</v>
      </c>
      <c r="N4" t="s">
        <v>45</v>
      </c>
      <c r="O4">
        <v>3</v>
      </c>
      <c r="P4" s="6">
        <v>1800</v>
      </c>
      <c r="Q4" t="s">
        <v>31</v>
      </c>
      <c r="R4" t="s">
        <v>32</v>
      </c>
      <c r="S4" s="2" t="str">
        <f>HYPERLINK("https://yandex.ru/maps/?&amp;text=55.052923, 55.993393", "55.052923, 55.993393")</f>
        <v>55.052923, 55.993393</v>
      </c>
      <c r="T4" s="2" t="str">
        <f>HYPERLINK("D:\venv_torgi\env\cache\objs_in_district/55.052923_55.993393.json", "55.052923_55.993393.json")</f>
        <v>55.052923_55.993393.json</v>
      </c>
      <c r="U4" t="s">
        <v>46</v>
      </c>
      <c r="W4" s="16">
        <v>13468.057755033909</v>
      </c>
      <c r="X4" s="17">
        <v>10285.406563830489</v>
      </c>
      <c r="Y4">
        <v>0</v>
      </c>
      <c r="Z4">
        <v>1</v>
      </c>
    </row>
    <row r="5" spans="1:27">
      <c r="A5" s="8">
        <v>3</v>
      </c>
      <c r="B5">
        <v>2</v>
      </c>
      <c r="C5" s="1">
        <v>1461.4</v>
      </c>
      <c r="D5" s="2" t="str">
        <f>HYPERLINK("https://torgi.gov.ru/new/public/lots/lot/21000022850000000076_9/(lotInfo:info)", "21000022850000000076_9")</f>
        <v>21000022850000000076_9</v>
      </c>
      <c r="E5" t="s">
        <v>47</v>
      </c>
      <c r="F5" s="3" t="s">
        <v>48</v>
      </c>
      <c r="G5" t="s">
        <v>49</v>
      </c>
      <c r="H5" s="4">
        <v>9692980.0999999996</v>
      </c>
      <c r="I5" s="4">
        <v>6632.6673737511956</v>
      </c>
      <c r="J5" s="5" t="s">
        <v>2078</v>
      </c>
      <c r="K5" s="5">
        <v>3.8</v>
      </c>
      <c r="L5" s="4">
        <v>663.2</v>
      </c>
      <c r="M5">
        <v>1745</v>
      </c>
      <c r="N5" t="s">
        <v>50</v>
      </c>
      <c r="O5">
        <v>10</v>
      </c>
      <c r="P5" s="6">
        <v>1300</v>
      </c>
      <c r="Q5" t="s">
        <v>31</v>
      </c>
      <c r="R5" t="s">
        <v>51</v>
      </c>
      <c r="S5" s="2" t="str">
        <f>HYPERLINK("https://yandex.ru/maps/?&amp;text=54.310998, 59.392411", "54.310998, 59.392411")</f>
        <v>54.310998, 59.392411</v>
      </c>
      <c r="T5" s="2" t="str">
        <f>HYPERLINK("D:\venv_torgi\env\cache\objs_in_district/54.310998_59.392411.json", "54.310998_59.392411.json")</f>
        <v>54.310998_59.392411.json</v>
      </c>
      <c r="U5" t="s">
        <v>52</v>
      </c>
      <c r="W5" s="16">
        <v>13468.057755033909</v>
      </c>
      <c r="X5" s="17">
        <v>6835.3903812827139</v>
      </c>
      <c r="Y5">
        <v>0</v>
      </c>
    </row>
    <row r="6" spans="1:27">
      <c r="A6" s="8">
        <v>4</v>
      </c>
      <c r="B6">
        <v>2</v>
      </c>
      <c r="C6" s="1">
        <v>185.6</v>
      </c>
      <c r="D6" s="2" t="str">
        <f>HYPERLINK("https://torgi.gov.ru/new/public/lots/lot/22000014830000000002_1/(lotInfo:info)", "22000014830000000002_1")</f>
        <v>22000014830000000002_1</v>
      </c>
      <c r="E6" t="s">
        <v>53</v>
      </c>
      <c r="F6" s="3" t="s">
        <v>54</v>
      </c>
      <c r="G6" t="s">
        <v>55</v>
      </c>
      <c r="H6" s="4">
        <v>1396500</v>
      </c>
      <c r="I6" s="4">
        <v>7524.245689655173</v>
      </c>
      <c r="J6" s="5" t="s">
        <v>56</v>
      </c>
      <c r="K6" s="5">
        <v>8.89</v>
      </c>
      <c r="L6" s="4">
        <v>7524</v>
      </c>
      <c r="M6">
        <v>846</v>
      </c>
      <c r="N6" t="s">
        <v>57</v>
      </c>
      <c r="O6">
        <v>1</v>
      </c>
      <c r="P6" s="6">
        <v>100</v>
      </c>
      <c r="Q6" t="s">
        <v>31</v>
      </c>
      <c r="R6" t="s">
        <v>32</v>
      </c>
      <c r="S6" s="2" t="str">
        <f>HYPERLINK("https://yandex.ru/maps/?&amp;text=54.221374, 55.036615", "54.221374, 55.036615")</f>
        <v>54.221374, 55.036615</v>
      </c>
      <c r="T6" s="2" t="str">
        <f>HYPERLINK("D:\venv_torgi\env\cache\objs_in_district/54.221374_55.036615.json", "54.221374_55.036615.json")</f>
        <v>54.221374_55.036615.json</v>
      </c>
      <c r="U6" t="s">
        <v>58</v>
      </c>
      <c r="V6" s="7" t="s">
        <v>34</v>
      </c>
      <c r="W6" s="16">
        <v>13468.057755033909</v>
      </c>
      <c r="X6" s="17">
        <v>5943.8120653787364</v>
      </c>
      <c r="Y6">
        <v>0</v>
      </c>
    </row>
    <row r="7" spans="1:27">
      <c r="A7" s="8">
        <v>5</v>
      </c>
      <c r="B7">
        <v>2</v>
      </c>
      <c r="C7" s="1">
        <v>705</v>
      </c>
      <c r="D7" s="2" t="str">
        <f>HYPERLINK("https://torgi.gov.ru/new/public/lots/lot/21000015350000000006_1/(lotInfo:info)", "21000015350000000006_1")</f>
        <v>21000015350000000006_1</v>
      </c>
      <c r="E7" t="s">
        <v>59</v>
      </c>
      <c r="F7" s="3" t="s">
        <v>60</v>
      </c>
      <c r="G7" t="s">
        <v>61</v>
      </c>
      <c r="H7" s="4">
        <v>6735876</v>
      </c>
      <c r="I7" s="4">
        <v>9554.4340425531918</v>
      </c>
      <c r="J7" s="5" t="s">
        <v>2078</v>
      </c>
      <c r="K7" s="5">
        <v>4.76</v>
      </c>
      <c r="L7" s="4">
        <v>154.1</v>
      </c>
      <c r="M7">
        <v>2007</v>
      </c>
      <c r="O7">
        <v>62</v>
      </c>
      <c r="Q7" t="s">
        <v>31</v>
      </c>
      <c r="R7" t="s">
        <v>32</v>
      </c>
      <c r="T7" s="2" t="str">
        <f>HYPERLINK("D:\venv_torgi\env\cache\objs_in_district/None_None.json", "None_None.json")</f>
        <v>None_None.json</v>
      </c>
      <c r="U7" t="s">
        <v>62</v>
      </c>
      <c r="W7" s="16">
        <v>28561.270488224061</v>
      </c>
      <c r="X7" s="17">
        <v>19006.83644567087</v>
      </c>
      <c r="Y7">
        <v>0</v>
      </c>
    </row>
    <row r="8" spans="1:27">
      <c r="A8" s="8">
        <v>6</v>
      </c>
      <c r="B8">
        <v>2</v>
      </c>
      <c r="C8" s="1">
        <v>283.7</v>
      </c>
      <c r="D8" s="2" t="str">
        <f>HYPERLINK("https://torgi.gov.ru/new/public/lots/lot/21000022850000000050_26/(lotInfo:info)", "21000022850000000050_26")</f>
        <v>21000022850000000050_26</v>
      </c>
      <c r="E8" t="s">
        <v>63</v>
      </c>
      <c r="F8" s="3" t="s">
        <v>64</v>
      </c>
      <c r="G8" t="s">
        <v>65</v>
      </c>
      <c r="H8" s="4">
        <v>3356735</v>
      </c>
      <c r="I8" s="4">
        <v>11831.98801550934</v>
      </c>
      <c r="J8" s="5" t="s">
        <v>29</v>
      </c>
      <c r="K8" s="5">
        <v>2.71</v>
      </c>
      <c r="L8" s="4">
        <v>985.92</v>
      </c>
      <c r="M8">
        <v>4359</v>
      </c>
      <c r="N8" t="s">
        <v>66</v>
      </c>
      <c r="O8">
        <v>12</v>
      </c>
      <c r="P8" s="6">
        <v>800</v>
      </c>
      <c r="Q8" t="s">
        <v>31</v>
      </c>
      <c r="R8" t="s">
        <v>51</v>
      </c>
      <c r="S8" s="2" t="str">
        <f>HYPERLINK("https://yandex.ru/maps/?&amp;text=53.645922, 55.932047", "53.645922, 55.932047")</f>
        <v>53.645922, 55.932047</v>
      </c>
      <c r="T8" s="2" t="str">
        <f>HYPERLINK("D:\venv_torgi\env\cache\objs_in_district/53.645922_55.932047.json", "53.645922_55.932047.json")</f>
        <v>53.645922_55.932047.json</v>
      </c>
      <c r="U8" t="s">
        <v>67</v>
      </c>
      <c r="W8" s="16">
        <v>13468.057755033909</v>
      </c>
      <c r="X8" s="17">
        <v>1636.06973952457</v>
      </c>
      <c r="Y8">
        <v>0</v>
      </c>
    </row>
    <row r="9" spans="1:27">
      <c r="A9" s="8">
        <v>7</v>
      </c>
      <c r="B9">
        <v>2</v>
      </c>
      <c r="C9" s="1">
        <v>574.20000000000005</v>
      </c>
      <c r="D9" s="2" t="str">
        <f>HYPERLINK("https://torgi.gov.ru/new/public/lots/lot/22000036990000000001_1/(lotInfo:info)", "22000036990000000001_1")</f>
        <v>22000036990000000001_1</v>
      </c>
      <c r="E9" t="s">
        <v>68</v>
      </c>
      <c r="F9" s="3" t="s">
        <v>69</v>
      </c>
      <c r="G9" t="s">
        <v>70</v>
      </c>
      <c r="H9" s="4">
        <v>7712500</v>
      </c>
      <c r="I9" s="4">
        <v>13431.731104144899</v>
      </c>
      <c r="J9" s="5" t="s">
        <v>2079</v>
      </c>
      <c r="K9" s="5">
        <v>2.23</v>
      </c>
      <c r="L9" s="4">
        <v>305.25</v>
      </c>
      <c r="M9">
        <v>6012</v>
      </c>
      <c r="N9" t="s">
        <v>71</v>
      </c>
      <c r="O9">
        <v>44</v>
      </c>
      <c r="P9" s="6">
        <v>200</v>
      </c>
      <c r="Q9" t="s">
        <v>40</v>
      </c>
      <c r="R9" t="s">
        <v>32</v>
      </c>
      <c r="S9" s="2" t="str">
        <f>HYPERLINK("https://yandex.ru/maps/?&amp;text=54.48299, 53.46805", "54.48299, 53.46805")</f>
        <v>54.48299, 53.46805</v>
      </c>
      <c r="T9" s="2" t="str">
        <f>HYPERLINK("D:\venv_torgi\env\cache\objs_in_district/54.48299_53.46805.json", "54.48299_53.46805.json")</f>
        <v>54.48299_53.46805.json</v>
      </c>
      <c r="U9" t="s">
        <v>72</v>
      </c>
      <c r="V9" s="7" t="s">
        <v>34</v>
      </c>
      <c r="W9" s="16">
        <v>28561.270488224061</v>
      </c>
      <c r="X9" s="17">
        <v>15129.53938407916</v>
      </c>
      <c r="Y9">
        <v>0</v>
      </c>
    </row>
    <row r="10" spans="1:27">
      <c r="A10" s="8">
        <v>8</v>
      </c>
      <c r="B10">
        <v>2</v>
      </c>
      <c r="C10" s="1">
        <v>347.1</v>
      </c>
      <c r="D10" s="2" t="str">
        <f>HYPERLINK("https://torgi.gov.ru/new/public/lots/lot/21000009380000000003_1/(lotInfo:info)", "21000009380000000003_1")</f>
        <v>21000009380000000003_1</v>
      </c>
      <c r="E10" t="s">
        <v>73</v>
      </c>
      <c r="F10" s="3" t="s">
        <v>74</v>
      </c>
      <c r="G10" t="s">
        <v>75</v>
      </c>
      <c r="H10" s="4">
        <v>6500000</v>
      </c>
      <c r="I10" s="4">
        <v>18726.59176029962</v>
      </c>
      <c r="J10" s="5" t="s">
        <v>29</v>
      </c>
      <c r="K10" s="5">
        <v>9.14</v>
      </c>
      <c r="L10" s="4">
        <v>814.17</v>
      </c>
      <c r="M10">
        <v>2049</v>
      </c>
      <c r="N10" t="s">
        <v>76</v>
      </c>
      <c r="O10">
        <v>23</v>
      </c>
      <c r="P10" s="6">
        <v>500</v>
      </c>
      <c r="Q10" t="s">
        <v>31</v>
      </c>
      <c r="R10" t="s">
        <v>32</v>
      </c>
      <c r="S10" s="2" t="str">
        <f>HYPERLINK("https://yandex.ru/maps/?&amp;text=55.492474, 54.84453", "55.492474, 54.84453")</f>
        <v>55.492474, 54.84453</v>
      </c>
      <c r="T10" s="2" t="str">
        <f>HYPERLINK("D:\venv_torgi\env\cache\objs_in_district/55.492474_54.84453.json", "55.492474_54.84453.json")</f>
        <v>55.492474_54.84453.json</v>
      </c>
      <c r="U10" t="s">
        <v>77</v>
      </c>
      <c r="V10" s="7" t="s">
        <v>39</v>
      </c>
      <c r="W10" s="16">
        <v>13468.057755033909</v>
      </c>
      <c r="X10" s="18">
        <v>-5258.5340052657102</v>
      </c>
      <c r="Y10">
        <v>0</v>
      </c>
    </row>
    <row r="11" spans="1:27">
      <c r="A11" s="8">
        <v>9</v>
      </c>
      <c r="B11">
        <v>2</v>
      </c>
      <c r="C11" s="1">
        <v>31.3</v>
      </c>
      <c r="D11" s="2" t="str">
        <f>HYPERLINK("https://torgi.gov.ru/new/public/lots/lot/21000028230000000001_1/(lotInfo:info)", "21000028230000000001_1")</f>
        <v>21000028230000000001_1</v>
      </c>
      <c r="E11" t="s">
        <v>78</v>
      </c>
      <c r="F11" s="3" t="s">
        <v>79</v>
      </c>
      <c r="G11" t="s">
        <v>80</v>
      </c>
      <c r="H11" s="4">
        <v>948000</v>
      </c>
      <c r="I11" s="4">
        <v>30287.539936102239</v>
      </c>
      <c r="J11" s="5" t="s">
        <v>29</v>
      </c>
      <c r="K11" s="5">
        <v>13.4</v>
      </c>
      <c r="L11" s="4">
        <v>1261.96</v>
      </c>
      <c r="M11">
        <v>2260</v>
      </c>
      <c r="N11" t="s">
        <v>81</v>
      </c>
      <c r="O11">
        <v>24</v>
      </c>
      <c r="P11" s="6">
        <v>300</v>
      </c>
      <c r="Q11" t="s">
        <v>31</v>
      </c>
      <c r="R11" t="s">
        <v>32</v>
      </c>
      <c r="S11" s="2" t="str">
        <f>HYPERLINK("https://yandex.ru/maps/?&amp;text=54.101536, 54.10925", "54.101536, 54.10925")</f>
        <v>54.101536, 54.10925</v>
      </c>
      <c r="T11" s="2" t="str">
        <f>HYPERLINK("D:\venv_torgi\env\cache\objs_in_district/54.101536_54.10925.json", "54.101536_54.10925.json")</f>
        <v>54.101536_54.10925.json</v>
      </c>
      <c r="U11" t="s">
        <v>82</v>
      </c>
      <c r="V11" s="7" t="s">
        <v>34</v>
      </c>
      <c r="W11" s="16">
        <v>43230.857511277092</v>
      </c>
      <c r="X11" s="17">
        <v>12943.317575174849</v>
      </c>
      <c r="Y11">
        <v>0</v>
      </c>
    </row>
    <row r="12" spans="1:27">
      <c r="A12" s="8">
        <v>10</v>
      </c>
      <c r="B12">
        <v>2</v>
      </c>
      <c r="C12" s="1">
        <v>98.7</v>
      </c>
      <c r="D12" s="2" t="str">
        <f>HYPERLINK("https://torgi.gov.ru/new/public/lots/lot/21000022850000000030_11/(lotInfo:info)", "21000022850000000030_11")</f>
        <v>21000022850000000030_11</v>
      </c>
      <c r="E12" t="s">
        <v>83</v>
      </c>
      <c r="F12" s="3" t="s">
        <v>84</v>
      </c>
      <c r="G12" t="s">
        <v>85</v>
      </c>
      <c r="H12" s="4">
        <v>3369186.65</v>
      </c>
      <c r="I12" s="4">
        <v>34135.629685916923</v>
      </c>
      <c r="J12" s="5" t="s">
        <v>29</v>
      </c>
      <c r="K12" s="5">
        <v>10.46</v>
      </c>
      <c r="L12" s="4">
        <v>922.57</v>
      </c>
      <c r="M12">
        <v>3264</v>
      </c>
      <c r="N12" t="s">
        <v>86</v>
      </c>
      <c r="O12">
        <v>37</v>
      </c>
      <c r="P12" s="6">
        <v>200</v>
      </c>
      <c r="Q12" t="s">
        <v>31</v>
      </c>
      <c r="R12" t="s">
        <v>51</v>
      </c>
      <c r="S12" s="2" t="str">
        <f>HYPERLINK("https://yandex.ru/maps/?&amp;text=56.267822, 54.9341", "56.267822, 54.9341")</f>
        <v>56.267822, 54.9341</v>
      </c>
      <c r="T12" s="2" t="str">
        <f>HYPERLINK("D:\venv_torgi\env\cache\objs_in_district/56.267822_54.9341.json", "56.267822_54.9341.json")</f>
        <v>56.267822_54.9341.json</v>
      </c>
      <c r="U12" t="s">
        <v>87</v>
      </c>
      <c r="W12" s="16">
        <v>28561.270488224061</v>
      </c>
      <c r="X12" s="18">
        <v>-5574.3591976928619</v>
      </c>
      <c r="Y12">
        <v>0</v>
      </c>
    </row>
    <row r="13" spans="1:27">
      <c r="A13" s="8">
        <v>11</v>
      </c>
      <c r="B13">
        <v>2</v>
      </c>
      <c r="C13" s="1">
        <v>20.8</v>
      </c>
      <c r="D13" s="2" t="str">
        <f>HYPERLINK("https://torgi.gov.ru/new/public/lots/lot/22000029100000000001_1/(lotInfo:info)", "22000029100000000001_1")</f>
        <v>22000029100000000001_1</v>
      </c>
      <c r="E13" t="s">
        <v>88</v>
      </c>
      <c r="F13" s="3" t="s">
        <v>89</v>
      </c>
      <c r="G13" t="s">
        <v>90</v>
      </c>
      <c r="H13" s="4">
        <v>830000</v>
      </c>
      <c r="I13" s="4">
        <v>39903.846153846163</v>
      </c>
      <c r="J13" s="5" t="s">
        <v>29</v>
      </c>
      <c r="K13" s="5">
        <v>10.1</v>
      </c>
      <c r="L13" s="4">
        <v>4433.67</v>
      </c>
      <c r="M13">
        <v>3951</v>
      </c>
      <c r="N13" t="s">
        <v>91</v>
      </c>
      <c r="O13">
        <v>9</v>
      </c>
      <c r="P13" s="6">
        <v>100</v>
      </c>
      <c r="Q13" t="s">
        <v>31</v>
      </c>
      <c r="R13" t="s">
        <v>32</v>
      </c>
      <c r="S13" s="2" t="str">
        <f>HYPERLINK("https://yandex.ru/maps/?&amp;text=54.599618, 53.679773", "54.599618, 53.679773")</f>
        <v>54.599618, 53.679773</v>
      </c>
      <c r="T13" s="2" t="str">
        <f>HYPERLINK("D:\venv_torgi\env\cache\objs_in_district/54.599618_53.679773.json", "54.599618_53.679773.json")</f>
        <v>54.599618_53.679773.json</v>
      </c>
      <c r="U13" t="s">
        <v>92</v>
      </c>
      <c r="W13" s="16">
        <v>43230.857511277092</v>
      </c>
      <c r="X13" s="17">
        <v>3327.0113574309289</v>
      </c>
      <c r="Y13">
        <v>0</v>
      </c>
    </row>
    <row r="14" spans="1:27">
      <c r="A14" s="8">
        <v>12</v>
      </c>
      <c r="B14">
        <v>2</v>
      </c>
      <c r="C14" s="1">
        <v>13.7</v>
      </c>
      <c r="D14" s="2" t="str">
        <f>HYPERLINK("https://torgi.gov.ru/new/public/lots/lot/21000028230000000013_1/(lotInfo:info)", "21000028230000000013_1")</f>
        <v>21000028230000000013_1</v>
      </c>
      <c r="E14" t="s">
        <v>93</v>
      </c>
      <c r="F14" s="3" t="s">
        <v>94</v>
      </c>
      <c r="G14" t="s">
        <v>95</v>
      </c>
      <c r="H14" s="4">
        <v>547050</v>
      </c>
      <c r="I14" s="4">
        <v>39930.656934306571</v>
      </c>
      <c r="J14" s="5" t="s">
        <v>29</v>
      </c>
      <c r="K14" s="5">
        <v>20.37</v>
      </c>
      <c r="L14" s="4">
        <v>1535.77</v>
      </c>
      <c r="M14">
        <v>1960</v>
      </c>
      <c r="N14" t="s">
        <v>81</v>
      </c>
      <c r="O14">
        <v>26</v>
      </c>
      <c r="P14" s="6">
        <v>300</v>
      </c>
      <c r="Q14" t="s">
        <v>31</v>
      </c>
      <c r="R14" t="s">
        <v>32</v>
      </c>
      <c r="S14" s="2" t="str">
        <f>HYPERLINK("https://yandex.ru/maps/?&amp;text=54.099747, 54.104973", "54.099747, 54.104973")</f>
        <v>54.099747, 54.104973</v>
      </c>
      <c r="T14" s="2" t="str">
        <f>HYPERLINK("D:\venv_torgi\env\cache\objs_in_district/54.099747_54.104973.json", "54.099747_54.104973.json")</f>
        <v>54.099747_54.104973.json</v>
      </c>
      <c r="U14" t="s">
        <v>96</v>
      </c>
      <c r="V14" s="7" t="s">
        <v>34</v>
      </c>
      <c r="W14" s="16">
        <v>43230.857511277092</v>
      </c>
      <c r="X14" s="17">
        <v>3300.2005769705211</v>
      </c>
      <c r="Y14">
        <v>0</v>
      </c>
    </row>
    <row r="15" spans="1:27">
      <c r="A15" s="8">
        <v>13</v>
      </c>
      <c r="B15">
        <v>2</v>
      </c>
      <c r="C15" s="1">
        <v>15.7</v>
      </c>
      <c r="D15" s="2" t="str">
        <f>HYPERLINK("https://torgi.gov.ru/new/public/lots/lot/22000014830000000004_1/(lotInfo:info)", "22000014830000000004_1")</f>
        <v>22000014830000000004_1</v>
      </c>
      <c r="E15" t="s">
        <v>97</v>
      </c>
      <c r="F15" s="3" t="s">
        <v>98</v>
      </c>
      <c r="G15" t="s">
        <v>99</v>
      </c>
      <c r="H15" s="4">
        <v>700000</v>
      </c>
      <c r="I15" s="4">
        <v>44585.987261146503</v>
      </c>
      <c r="J15" s="5" t="s">
        <v>100</v>
      </c>
      <c r="K15" s="10">
        <v>127.03</v>
      </c>
      <c r="L15" s="11"/>
      <c r="M15">
        <v>402</v>
      </c>
      <c r="N15" t="s">
        <v>101</v>
      </c>
      <c r="O15" t="s">
        <v>39</v>
      </c>
      <c r="P15" s="6">
        <v>100</v>
      </c>
      <c r="Q15" t="s">
        <v>31</v>
      </c>
      <c r="R15" t="s">
        <v>32</v>
      </c>
      <c r="S15" s="2" t="str">
        <f>HYPERLINK("https://yandex.ru/maps/?&amp;text=54.217415, 55.049246", "54.217415, 55.049246")</f>
        <v>54.217415, 55.049246</v>
      </c>
      <c r="T15" s="12" t="str">
        <f>HYPERLINK("D:\venv_torgi\env\cache\objs_in_district/54.217415_55.049246.json", "54.217415_55.049246.json")</f>
        <v>54.217415_55.049246.json</v>
      </c>
      <c r="U15" t="s">
        <v>102</v>
      </c>
      <c r="V15" s="7" t="s">
        <v>34</v>
      </c>
      <c r="W15" s="16">
        <v>68956.878715519109</v>
      </c>
      <c r="X15" s="17">
        <v>24370.89145437261</v>
      </c>
      <c r="Y15">
        <v>1</v>
      </c>
    </row>
    <row r="16" spans="1:27">
      <c r="A16" s="8">
        <v>14</v>
      </c>
      <c r="B16">
        <v>2</v>
      </c>
      <c r="C16" s="1">
        <v>114</v>
      </c>
      <c r="D16" s="2" t="str">
        <f>HYPERLINK("https://torgi.gov.ru/new/public/lots/lot/22000053850000000001_1/(lotInfo:info)", "22000053850000000001_1")</f>
        <v>22000053850000000001_1</v>
      </c>
      <c r="E16" t="s">
        <v>103</v>
      </c>
      <c r="F16" s="3" t="s">
        <v>104</v>
      </c>
      <c r="G16" t="s">
        <v>105</v>
      </c>
      <c r="H16" s="4">
        <v>5579000</v>
      </c>
      <c r="I16" s="4">
        <v>48938.596491228069</v>
      </c>
      <c r="J16" s="5" t="s">
        <v>29</v>
      </c>
      <c r="K16" s="5">
        <v>9.3000000000000007</v>
      </c>
      <c r="L16" s="4">
        <v>3495.57</v>
      </c>
      <c r="M16">
        <v>5262</v>
      </c>
      <c r="N16" t="s">
        <v>91</v>
      </c>
      <c r="O16">
        <v>14</v>
      </c>
      <c r="P16" s="6">
        <v>100</v>
      </c>
      <c r="Q16" t="s">
        <v>31</v>
      </c>
      <c r="R16" t="s">
        <v>32</v>
      </c>
      <c r="S16" s="2" t="str">
        <f>HYPERLINK("https://yandex.ru/maps/?&amp;text=54.60266, 53.694893", "54.60266, 53.694893")</f>
        <v>54.60266, 53.694893</v>
      </c>
      <c r="T16" s="2" t="str">
        <f>HYPERLINK("D:\venv_torgi\env\cache\objs_in_district/54.60266_53.694893.json", "54.60266_53.694893.json")</f>
        <v>54.60266_53.694893.json</v>
      </c>
      <c r="U16" t="s">
        <v>106</v>
      </c>
      <c r="V16" s="7" t="s">
        <v>107</v>
      </c>
      <c r="W16" s="16">
        <v>13468.057755033909</v>
      </c>
      <c r="X16" s="18">
        <v>-35470.538736194161</v>
      </c>
      <c r="Y16">
        <v>0</v>
      </c>
    </row>
    <row r="17" spans="1:26">
      <c r="A17" s="8">
        <v>15</v>
      </c>
      <c r="B17">
        <v>2</v>
      </c>
      <c r="C17" s="1">
        <v>29.1</v>
      </c>
      <c r="D17" s="2" t="str">
        <f>HYPERLINK("https://torgi.gov.ru/new/public/lots/lot/21000002210000000564_3/(lotInfo:info)", "21000002210000000564_3")</f>
        <v>21000002210000000564_3</v>
      </c>
      <c r="E17" t="s">
        <v>108</v>
      </c>
      <c r="F17" s="3" t="s">
        <v>109</v>
      </c>
      <c r="G17" t="s">
        <v>110</v>
      </c>
      <c r="H17" s="4">
        <v>4633650.18</v>
      </c>
      <c r="I17" s="4">
        <v>159231.96494845359</v>
      </c>
      <c r="J17" s="5" t="s">
        <v>2078</v>
      </c>
      <c r="K17" s="5">
        <v>22.98</v>
      </c>
      <c r="L17" s="4">
        <v>1488.14</v>
      </c>
      <c r="M17">
        <v>6930</v>
      </c>
      <c r="N17" t="s">
        <v>39</v>
      </c>
      <c r="O17">
        <v>107</v>
      </c>
      <c r="P17" s="6">
        <v>100</v>
      </c>
      <c r="Q17" t="s">
        <v>31</v>
      </c>
      <c r="R17" t="s">
        <v>32</v>
      </c>
      <c r="S17" s="2" t="str">
        <f>HYPERLINK("https://yandex.ru/maps/?&amp;text=54.727588, 55.947723", "54.727588, 55.947723")</f>
        <v>54.727588, 55.947723</v>
      </c>
      <c r="T17" s="2" t="str">
        <f>HYPERLINK("D:\venv_torgi\env\cache\objs_in_district/54.727588_55.947723.json", "54.727588_55.947723.json")</f>
        <v>54.727588_55.947723.json</v>
      </c>
      <c r="U17" t="s">
        <v>111</v>
      </c>
      <c r="V17" s="7" t="s">
        <v>39</v>
      </c>
      <c r="W17" s="16">
        <v>159231.96494845359</v>
      </c>
      <c r="X17" s="19">
        <v>0</v>
      </c>
      <c r="Y17">
        <v>0</v>
      </c>
      <c r="Z17">
        <v>1</v>
      </c>
    </row>
    <row r="18" spans="1:26">
      <c r="A18" s="8">
        <v>16</v>
      </c>
      <c r="B18">
        <v>3</v>
      </c>
      <c r="C18" s="1">
        <v>667</v>
      </c>
      <c r="D18" s="2" t="str">
        <f>HYPERLINK("https://torgi.gov.ru/new/public/lots/lot/21000003120000000003_1/(lotInfo:info)", "21000003120000000003_1")</f>
        <v>21000003120000000003_1</v>
      </c>
      <c r="E18" t="s">
        <v>112</v>
      </c>
      <c r="F18" s="3" t="s">
        <v>113</v>
      </c>
      <c r="G18" t="s">
        <v>114</v>
      </c>
      <c r="H18" s="4">
        <v>1314000</v>
      </c>
      <c r="I18" s="4">
        <v>1970.0149925037481</v>
      </c>
      <c r="J18" s="5" t="s">
        <v>2080</v>
      </c>
      <c r="K18" s="10">
        <v>24.32</v>
      </c>
      <c r="L18" s="11"/>
      <c r="M18">
        <v>1782</v>
      </c>
      <c r="N18" t="s">
        <v>115</v>
      </c>
      <c r="O18" t="s">
        <v>39</v>
      </c>
      <c r="P18" s="6">
        <v>3300</v>
      </c>
      <c r="Q18" t="s">
        <v>40</v>
      </c>
      <c r="R18" t="s">
        <v>32</v>
      </c>
      <c r="S18" s="2" t="str">
        <f>HYPERLINK("https://yandex.ru/maps/?&amp;text=51.77594, 107.552926", "51.77594, 107.552926")</f>
        <v>51.77594, 107.552926</v>
      </c>
      <c r="T18" s="12" t="str">
        <f>HYPERLINK("D:\venv_torgi\env\cache\objs_in_district/51.77594_107.552926.json", "51.77594_107.552926.json")</f>
        <v>51.77594_107.552926.json</v>
      </c>
      <c r="U18" t="s">
        <v>116</v>
      </c>
      <c r="V18" s="7" t="s">
        <v>34</v>
      </c>
      <c r="W18" s="19">
        <v>4605.2933995586654</v>
      </c>
      <c r="X18" s="21">
        <v>2635.2784070549169</v>
      </c>
      <c r="Y18">
        <v>0</v>
      </c>
    </row>
    <row r="19" spans="1:26">
      <c r="A19" s="8">
        <v>17</v>
      </c>
      <c r="B19">
        <v>3</v>
      </c>
      <c r="C19" s="1">
        <v>20.6</v>
      </c>
      <c r="D19" s="2" t="str">
        <f>HYPERLINK("https://torgi.gov.ru/new/public/lots/lot/22000016660000000004_5/(lotInfo:info)", "22000016660000000004_5")</f>
        <v>22000016660000000004_5</v>
      </c>
      <c r="E19" t="s">
        <v>117</v>
      </c>
      <c r="F19" s="3" t="s">
        <v>118</v>
      </c>
      <c r="G19" t="s">
        <v>119</v>
      </c>
      <c r="H19" s="4">
        <v>1246600</v>
      </c>
      <c r="I19" s="4">
        <v>60514.563106796108</v>
      </c>
      <c r="J19" s="5" t="s">
        <v>29</v>
      </c>
      <c r="K19" s="5">
        <v>30.7</v>
      </c>
      <c r="L19" s="4">
        <v>5042.83</v>
      </c>
      <c r="M19">
        <v>1971</v>
      </c>
      <c r="N19" t="s">
        <v>120</v>
      </c>
      <c r="O19">
        <v>12</v>
      </c>
      <c r="P19" s="6">
        <v>400</v>
      </c>
      <c r="Q19" t="s">
        <v>31</v>
      </c>
      <c r="R19" t="s">
        <v>32</v>
      </c>
      <c r="S19" s="2" t="str">
        <f>HYPERLINK("https://yandex.ru/maps/?&amp;text=55.634132, 109.31769", "55.634132, 109.31769")</f>
        <v>55.634132, 109.31769</v>
      </c>
      <c r="T19" s="2" t="str">
        <f>HYPERLINK("D:\venv_torgi\env\cache\objs_in_district/55.634132_109.31769.json", "55.634132_109.31769.json")</f>
        <v>55.634132_109.31769.json</v>
      </c>
      <c r="U19" t="s">
        <v>121</v>
      </c>
      <c r="V19" s="7" t="s">
        <v>122</v>
      </c>
      <c r="W19" s="19">
        <v>25005.921007216992</v>
      </c>
      <c r="X19" s="20">
        <v>-35508.642099579112</v>
      </c>
      <c r="Y19">
        <v>0</v>
      </c>
    </row>
    <row r="20" spans="1:26">
      <c r="A20" s="8">
        <v>18</v>
      </c>
      <c r="B20">
        <v>5</v>
      </c>
      <c r="C20" s="1">
        <v>104.2</v>
      </c>
      <c r="D20" s="2" t="str">
        <f>HYPERLINK("https://torgi.gov.ru/new/public/lots/lot/21000013200000000031_1/(lotInfo:info)", "21000013200000000031_1")</f>
        <v>21000013200000000031_1</v>
      </c>
      <c r="E20" t="s">
        <v>123</v>
      </c>
      <c r="F20" s="3" t="s">
        <v>124</v>
      </c>
      <c r="G20" t="s">
        <v>125</v>
      </c>
      <c r="H20" s="4">
        <v>5284742.4000000004</v>
      </c>
      <c r="I20" s="4">
        <v>50717.297504798473</v>
      </c>
      <c r="J20" s="5" t="s">
        <v>29</v>
      </c>
      <c r="K20" s="5">
        <v>7.46</v>
      </c>
      <c r="L20" s="4">
        <v>437.22</v>
      </c>
      <c r="M20">
        <v>6795</v>
      </c>
      <c r="N20" t="s">
        <v>126</v>
      </c>
      <c r="O20">
        <v>116</v>
      </c>
      <c r="P20" s="6">
        <v>300</v>
      </c>
      <c r="Q20" t="s">
        <v>31</v>
      </c>
      <c r="R20" t="s">
        <v>51</v>
      </c>
      <c r="S20" s="2" t="str">
        <f>HYPERLINK("https://yandex.ru/maps/?&amp;text=42.982006, 47.500378", "42.982006, 47.500378")</f>
        <v>42.982006, 47.500378</v>
      </c>
      <c r="T20" s="2" t="str">
        <f>HYPERLINK("D:\venv_torgi\env\cache\objs_in_district/42.982006_47.500378.json", "42.982006_47.500378.json")</f>
        <v>42.982006_47.500378.json</v>
      </c>
      <c r="U20" t="s">
        <v>127</v>
      </c>
      <c r="V20" s="7" t="s">
        <v>128</v>
      </c>
      <c r="W20" s="19">
        <v>59031.555963778381</v>
      </c>
      <c r="X20" s="21">
        <v>8314.258458979908</v>
      </c>
      <c r="Y20">
        <v>0</v>
      </c>
    </row>
    <row r="21" spans="1:26">
      <c r="A21" s="8">
        <v>19</v>
      </c>
      <c r="B21">
        <v>7</v>
      </c>
      <c r="C21" s="1">
        <v>66.8</v>
      </c>
      <c r="D21" s="2" t="str">
        <f>HYPERLINK("https://torgi.gov.ru/new/public/lots/lot/22000038800000000001_1/(lotInfo:info)", "22000038800000000001_1")</f>
        <v>22000038800000000001_1</v>
      </c>
      <c r="E21" t="s">
        <v>129</v>
      </c>
      <c r="F21" s="3" t="s">
        <v>130</v>
      </c>
      <c r="G21" t="s">
        <v>131</v>
      </c>
      <c r="H21" s="4">
        <v>710120</v>
      </c>
      <c r="I21" s="4">
        <v>10630.538922155691</v>
      </c>
      <c r="J21" s="5" t="s">
        <v>29</v>
      </c>
      <c r="K21" s="5">
        <v>98.43</v>
      </c>
      <c r="L21" s="4">
        <v>3543.33</v>
      </c>
      <c r="M21">
        <v>108</v>
      </c>
      <c r="O21">
        <v>3</v>
      </c>
      <c r="Q21" t="s">
        <v>31</v>
      </c>
      <c r="R21" t="s">
        <v>32</v>
      </c>
      <c r="T21" s="2" t="str">
        <f>HYPERLINK("D:\venv_torgi\env\cache\objs_in_district/None_None.json", "None_None.json")</f>
        <v>None_None.json</v>
      </c>
      <c r="U21" t="s">
        <v>132</v>
      </c>
      <c r="V21" s="7" t="s">
        <v>34</v>
      </c>
      <c r="W21" s="19">
        <v>14930.943770233611</v>
      </c>
      <c r="X21" s="21">
        <v>4300.404848077922</v>
      </c>
      <c r="Y21">
        <v>0</v>
      </c>
    </row>
    <row r="22" spans="1:26">
      <c r="A22" s="8">
        <v>20</v>
      </c>
      <c r="B22">
        <v>10</v>
      </c>
      <c r="C22" s="1">
        <v>30.6</v>
      </c>
      <c r="D22" s="2" t="str">
        <f>HYPERLINK("https://torgi.gov.ru/new/public/lots/lot/22000083510000000001_2/(lotInfo:info)", "22000083510000000001_2")</f>
        <v>22000083510000000001_2</v>
      </c>
      <c r="E22" t="s">
        <v>133</v>
      </c>
      <c r="F22" s="3" t="s">
        <v>134</v>
      </c>
      <c r="G22" t="s">
        <v>135</v>
      </c>
      <c r="H22" s="4">
        <v>500000</v>
      </c>
      <c r="I22" s="4">
        <v>16339.869281045751</v>
      </c>
      <c r="J22" s="5" t="s">
        <v>2079</v>
      </c>
      <c r="K22" s="5">
        <v>151.29</v>
      </c>
      <c r="L22" s="4">
        <v>5446.33</v>
      </c>
      <c r="M22">
        <v>108</v>
      </c>
      <c r="N22" t="s">
        <v>136</v>
      </c>
      <c r="O22">
        <v>3</v>
      </c>
      <c r="P22" s="6">
        <v>500</v>
      </c>
      <c r="Q22" t="s">
        <v>31</v>
      </c>
      <c r="R22" t="s">
        <v>32</v>
      </c>
      <c r="S22" s="2" t="str">
        <f>HYPERLINK("https://yandex.ru/maps/?&amp;text=61.542702, 34.685094", "61.542702, 34.685094")</f>
        <v>61.542702, 34.685094</v>
      </c>
      <c r="T22" s="2" t="str">
        <f>HYPERLINK("D:\venv_torgi\env\cache\objs_in_district/61.542702_34.685094.json", "61.542702_34.685094.json")</f>
        <v>61.542702_34.685094.json</v>
      </c>
      <c r="U22" t="s">
        <v>137</v>
      </c>
      <c r="V22" s="7" t="s">
        <v>34</v>
      </c>
      <c r="W22" s="19">
        <v>14930.943770233611</v>
      </c>
      <c r="X22" s="20">
        <v>-1408.9255108121381</v>
      </c>
      <c r="Y22">
        <v>0</v>
      </c>
    </row>
    <row r="23" spans="1:26">
      <c r="A23" s="8">
        <v>21</v>
      </c>
      <c r="B23">
        <v>10</v>
      </c>
      <c r="C23" s="1">
        <v>228.9</v>
      </c>
      <c r="D23" s="2" t="str">
        <f>HYPERLINK("https://torgi.gov.ru/new/public/lots/lot/22000078070000000003_1/(lotInfo:info)", "22000078070000000003_1")</f>
        <v>22000078070000000003_1</v>
      </c>
      <c r="E23" t="s">
        <v>138</v>
      </c>
      <c r="F23" s="3" t="s">
        <v>139</v>
      </c>
      <c r="G23" t="s">
        <v>140</v>
      </c>
      <c r="H23" s="4">
        <v>3864000</v>
      </c>
      <c r="I23" s="4">
        <v>16880.733944954129</v>
      </c>
      <c r="J23" s="5" t="s">
        <v>2079</v>
      </c>
      <c r="K23" s="10">
        <v>375.13</v>
      </c>
      <c r="L23" s="11"/>
      <c r="M23">
        <v>62</v>
      </c>
      <c r="N23" t="s">
        <v>141</v>
      </c>
      <c r="O23" t="s">
        <v>39</v>
      </c>
      <c r="P23" s="6">
        <v>5000</v>
      </c>
      <c r="Q23" t="s">
        <v>31</v>
      </c>
      <c r="R23" t="s">
        <v>32</v>
      </c>
      <c r="S23" s="2" t="str">
        <f>HYPERLINK("https://yandex.ru/maps/?&amp;text=61.269279, 29.857736", "61.269279, 29.857736")</f>
        <v>61.269279, 29.857736</v>
      </c>
      <c r="T23" s="12" t="str">
        <f>HYPERLINK("D:\venv_torgi\env\cache\objs_in_district/61.269279_29.857736.json", "61.269279_29.857736.json")</f>
        <v>61.269279_29.857736.json</v>
      </c>
      <c r="U23" t="s">
        <v>142</v>
      </c>
      <c r="V23" s="7" t="s">
        <v>34</v>
      </c>
      <c r="W23" s="19">
        <v>10661.45189182739</v>
      </c>
      <c r="X23" s="20">
        <v>-6219.2820531267353</v>
      </c>
      <c r="Y23">
        <v>0</v>
      </c>
    </row>
    <row r="24" spans="1:26">
      <c r="A24" s="8">
        <v>22</v>
      </c>
      <c r="B24">
        <v>10</v>
      </c>
      <c r="C24" s="1">
        <v>17</v>
      </c>
      <c r="D24" s="2" t="str">
        <f>HYPERLINK("https://torgi.gov.ru/new/public/lots/lot/22000020710000000001_3/(lotInfo:info)", "22000020710000000001_3")</f>
        <v>22000020710000000001_3</v>
      </c>
      <c r="E24" t="s">
        <v>143</v>
      </c>
      <c r="F24" s="3" t="s">
        <v>144</v>
      </c>
      <c r="G24" t="s">
        <v>145</v>
      </c>
      <c r="H24" s="4">
        <v>867000</v>
      </c>
      <c r="I24" s="4">
        <v>51000</v>
      </c>
      <c r="J24" s="5" t="s">
        <v>29</v>
      </c>
      <c r="K24" s="5">
        <v>11.99</v>
      </c>
      <c r="L24" s="4">
        <v>6375</v>
      </c>
      <c r="M24">
        <v>4254</v>
      </c>
      <c r="N24" t="s">
        <v>146</v>
      </c>
      <c r="O24">
        <v>8</v>
      </c>
      <c r="P24" s="6">
        <v>900</v>
      </c>
      <c r="Q24" t="s">
        <v>31</v>
      </c>
      <c r="R24" t="s">
        <v>32</v>
      </c>
      <c r="S24" s="2" t="str">
        <f>HYPERLINK("https://yandex.ru/maps/?&amp;text=61.758864, 34.311808", "61.758864, 34.311808")</f>
        <v>61.758864, 34.311808</v>
      </c>
      <c r="T24" s="2" t="str">
        <f>HYPERLINK("D:\venv_torgi\env\cache\objs_in_district/61.758864_34.311808.json", "61.758864_34.311808.json")</f>
        <v>61.758864_34.311808.json</v>
      </c>
      <c r="U24" t="s">
        <v>147</v>
      </c>
      <c r="V24" s="7" t="s">
        <v>34</v>
      </c>
      <c r="W24" s="19">
        <v>46084.220656344281</v>
      </c>
      <c r="X24" s="20">
        <v>-4915.7793436557185</v>
      </c>
      <c r="Y24">
        <v>0</v>
      </c>
    </row>
    <row r="25" spans="1:26">
      <c r="A25" s="8">
        <v>23</v>
      </c>
      <c r="B25">
        <v>10</v>
      </c>
      <c r="C25" s="1">
        <v>94.1</v>
      </c>
      <c r="D25" s="2" t="str">
        <f>HYPERLINK("https://torgi.gov.ru/new/public/lots/lot/22000007320000000008_1/(lotInfo:info)", "22000007320000000008_1")</f>
        <v>22000007320000000008_1</v>
      </c>
      <c r="E25" t="s">
        <v>148</v>
      </c>
      <c r="F25" s="3" t="s">
        <v>149</v>
      </c>
      <c r="G25" t="s">
        <v>150</v>
      </c>
      <c r="H25" s="4">
        <v>5710800</v>
      </c>
      <c r="I25" s="4">
        <v>60688.629117959623</v>
      </c>
      <c r="J25" s="5" t="s">
        <v>2079</v>
      </c>
      <c r="K25" s="5">
        <v>16.04</v>
      </c>
      <c r="L25" s="4">
        <v>652.55999999999995</v>
      </c>
      <c r="M25">
        <v>3784</v>
      </c>
      <c r="N25" t="s">
        <v>151</v>
      </c>
      <c r="O25">
        <v>93</v>
      </c>
      <c r="P25" s="6">
        <v>200</v>
      </c>
      <c r="Q25" t="s">
        <v>31</v>
      </c>
      <c r="R25" t="s">
        <v>32</v>
      </c>
      <c r="S25" s="2" t="str">
        <f>HYPERLINK("https://yandex.ru/maps/?&amp;text=61.701971, 30.690618", "61.701971, 30.690618")</f>
        <v>61.701971, 30.690618</v>
      </c>
      <c r="T25" s="2" t="str">
        <f>HYPERLINK("D:\venv_torgi\env\cache\objs_in_district/61.701971_30.690618.json", "61.701971_30.690618.json")</f>
        <v>61.701971_30.690618.json</v>
      </c>
      <c r="U25" t="s">
        <v>152</v>
      </c>
      <c r="V25" s="7" t="s">
        <v>128</v>
      </c>
      <c r="W25" s="19">
        <v>59025.866005460521</v>
      </c>
      <c r="X25" s="20">
        <v>-1662.7631124991019</v>
      </c>
      <c r="Y25">
        <v>0</v>
      </c>
    </row>
    <row r="26" spans="1:26">
      <c r="A26" s="8">
        <v>24</v>
      </c>
      <c r="B26">
        <v>10</v>
      </c>
      <c r="C26" s="1">
        <v>32.1</v>
      </c>
      <c r="D26" s="2" t="str">
        <f>HYPERLINK("https://torgi.gov.ru/new/public/lots/lot/22000014990000000001_2/(lotInfo:info)", "22000014990000000001_2")</f>
        <v>22000014990000000001_2</v>
      </c>
      <c r="E26" t="s">
        <v>153</v>
      </c>
      <c r="F26" s="3" t="s">
        <v>154</v>
      </c>
      <c r="G26" t="s">
        <v>155</v>
      </c>
      <c r="H26" s="4">
        <v>2025840</v>
      </c>
      <c r="I26" s="4">
        <v>63110.280373831767</v>
      </c>
      <c r="J26" s="5" t="s">
        <v>29</v>
      </c>
      <c r="K26" s="5">
        <v>16.68</v>
      </c>
      <c r="L26" s="4">
        <v>678.6</v>
      </c>
      <c r="M26">
        <v>3784</v>
      </c>
      <c r="N26" t="s">
        <v>151</v>
      </c>
      <c r="O26">
        <v>93</v>
      </c>
      <c r="P26" s="6">
        <v>200</v>
      </c>
      <c r="Q26" t="s">
        <v>31</v>
      </c>
      <c r="R26" t="s">
        <v>32</v>
      </c>
      <c r="S26" s="2" t="str">
        <f>HYPERLINK("https://yandex.ru/maps/?&amp;text=61.701971, 30.690618", "61.701971, 30.690618")</f>
        <v>61.701971, 30.690618</v>
      </c>
      <c r="T26" s="2" t="str">
        <f>HYPERLINK("D:\venv_torgi\env\cache\objs_in_district/61.701971_30.690618.json", "61.701971_30.690618.json")</f>
        <v>61.701971_30.690618.json</v>
      </c>
      <c r="U26" t="s">
        <v>156</v>
      </c>
      <c r="V26" s="7" t="s">
        <v>128</v>
      </c>
      <c r="W26" s="19">
        <v>59025.866005460521</v>
      </c>
      <c r="X26" s="20">
        <v>-4084.4143683712459</v>
      </c>
      <c r="Y26">
        <v>0</v>
      </c>
    </row>
    <row r="27" spans="1:26">
      <c r="A27" s="8">
        <v>25</v>
      </c>
      <c r="B27">
        <v>11</v>
      </c>
      <c r="C27" s="1">
        <v>34.700000000000003</v>
      </c>
      <c r="D27" s="2" t="str">
        <f>HYPERLINK("https://torgi.gov.ru/new/public/lots/lot/21000016640000000006_7/(lotInfo:info)", "21000016640000000006_7")</f>
        <v>21000016640000000006_7</v>
      </c>
      <c r="E27" t="s">
        <v>157</v>
      </c>
      <c r="F27" s="3" t="s">
        <v>158</v>
      </c>
      <c r="G27" t="s">
        <v>159</v>
      </c>
      <c r="H27" s="4">
        <v>1034948.4</v>
      </c>
      <c r="I27" s="4">
        <v>29825.602305475499</v>
      </c>
      <c r="J27" s="5" t="s">
        <v>29</v>
      </c>
      <c r="K27" s="5">
        <v>9.7100000000000009</v>
      </c>
      <c r="L27" s="4">
        <v>852.14</v>
      </c>
      <c r="M27">
        <v>3072</v>
      </c>
      <c r="N27" t="s">
        <v>160</v>
      </c>
      <c r="O27">
        <v>35</v>
      </c>
      <c r="P27" s="6">
        <v>300</v>
      </c>
      <c r="Q27" t="s">
        <v>40</v>
      </c>
      <c r="R27" t="s">
        <v>32</v>
      </c>
      <c r="S27" s="2" t="str">
        <f>HYPERLINK("https://yandex.ru/maps/?&amp;text=63.563084, 53.660748", "63.563084, 53.660748")</f>
        <v>63.563084, 53.660748</v>
      </c>
      <c r="T27" s="2" t="str">
        <f>HYPERLINK("D:\venv_torgi\env\cache\objs_in_district/63.563084_53.660748.json", "63.563084_53.660748.json")</f>
        <v>63.563084_53.660748.json</v>
      </c>
      <c r="U27" t="s">
        <v>161</v>
      </c>
      <c r="V27" s="7" t="s">
        <v>34</v>
      </c>
      <c r="W27" s="19">
        <v>25005.921007216992</v>
      </c>
      <c r="X27" s="20">
        <v>-4819.681298258507</v>
      </c>
      <c r="Y27">
        <v>0</v>
      </c>
    </row>
    <row r="28" spans="1:26">
      <c r="A28" s="8">
        <v>26</v>
      </c>
      <c r="B28">
        <v>12</v>
      </c>
      <c r="C28" s="1">
        <v>166.7</v>
      </c>
      <c r="D28" s="2" t="str">
        <f>HYPERLINK("https://torgi.gov.ru/new/public/lots/lot/22000043340000000002_1/(lotInfo:info)", "22000043340000000002_1")</f>
        <v>22000043340000000002_1</v>
      </c>
      <c r="E28" t="s">
        <v>162</v>
      </c>
      <c r="F28" s="3" t="s">
        <v>163</v>
      </c>
      <c r="G28" t="s">
        <v>164</v>
      </c>
      <c r="H28" s="4">
        <v>528000</v>
      </c>
      <c r="I28" s="4">
        <v>3167.3665266946609</v>
      </c>
      <c r="J28" s="5" t="s">
        <v>29</v>
      </c>
      <c r="K28" s="5">
        <v>1.58</v>
      </c>
      <c r="L28" s="4">
        <v>351.89</v>
      </c>
      <c r="M28">
        <v>2010</v>
      </c>
      <c r="N28" t="s">
        <v>165</v>
      </c>
      <c r="O28">
        <v>9</v>
      </c>
      <c r="P28" s="6">
        <v>200</v>
      </c>
      <c r="Q28" t="s">
        <v>31</v>
      </c>
      <c r="R28" t="s">
        <v>32</v>
      </c>
      <c r="S28" s="2" t="str">
        <f>HYPERLINK("https://yandex.ru/maps/?&amp;text=56.378365, 48.200499", "56.378365, 48.200499")</f>
        <v>56.378365, 48.200499</v>
      </c>
      <c r="T28" s="2" t="str">
        <f>HYPERLINK("D:\venv_torgi\env\cache\objs_in_district/56.378365_48.200499.json", "56.378365_48.200499.json")</f>
        <v>56.378365_48.200499.json</v>
      </c>
      <c r="U28" t="s">
        <v>166</v>
      </c>
      <c r="V28" s="7" t="s">
        <v>34</v>
      </c>
      <c r="W28" s="19">
        <v>10661.45189182739</v>
      </c>
      <c r="X28" s="21">
        <v>7494.0853651327316</v>
      </c>
      <c r="Y28">
        <v>0</v>
      </c>
    </row>
    <row r="29" spans="1:26">
      <c r="A29" s="8">
        <v>27</v>
      </c>
      <c r="B29">
        <v>12</v>
      </c>
      <c r="C29" s="1">
        <v>676.4</v>
      </c>
      <c r="D29" s="2" t="str">
        <f>HYPERLINK("https://torgi.gov.ru/new/public/lots/lot/21000004300000000002_1/(lotInfo:info)", "21000004300000000002_1")</f>
        <v>21000004300000000002_1</v>
      </c>
      <c r="E29" t="s">
        <v>167</v>
      </c>
      <c r="F29" s="3" t="s">
        <v>168</v>
      </c>
      <c r="G29" t="s">
        <v>169</v>
      </c>
      <c r="H29" s="4">
        <v>5421350</v>
      </c>
      <c r="I29" s="4">
        <v>8015.005913660556</v>
      </c>
      <c r="J29" s="5" t="s">
        <v>29</v>
      </c>
      <c r="K29" s="5">
        <v>0.87</v>
      </c>
      <c r="L29" s="4">
        <v>174.24</v>
      </c>
      <c r="M29">
        <v>9255</v>
      </c>
      <c r="N29" t="s">
        <v>170</v>
      </c>
      <c r="O29">
        <v>46</v>
      </c>
      <c r="P29" s="6">
        <v>700</v>
      </c>
      <c r="Q29" t="s">
        <v>40</v>
      </c>
      <c r="R29" t="s">
        <v>32</v>
      </c>
      <c r="S29" s="2" t="str">
        <f>HYPERLINK("https://yandex.ru/maps/?&amp;text=56.645054, 47.863422", "56.645054, 47.863422")</f>
        <v>56.645054, 47.863422</v>
      </c>
      <c r="T29" s="2" t="str">
        <f>HYPERLINK("D:\venv_torgi\env\cache\objs_in_district/56.645054_47.863422.json", "56.645054_47.863422.json")</f>
        <v>56.645054_47.863422.json</v>
      </c>
      <c r="U29" t="s">
        <v>171</v>
      </c>
      <c r="V29" s="7" t="s">
        <v>34</v>
      </c>
      <c r="W29" s="19">
        <v>7354.489883546642</v>
      </c>
      <c r="X29" s="20">
        <v>-660.51603011391398</v>
      </c>
      <c r="Y29">
        <v>0</v>
      </c>
    </row>
    <row r="30" spans="1:26">
      <c r="A30" s="8">
        <v>28</v>
      </c>
      <c r="B30">
        <v>12</v>
      </c>
      <c r="C30" s="1">
        <v>211.66</v>
      </c>
      <c r="D30" s="2" t="str">
        <f>HYPERLINK("https://torgi.gov.ru/new/public/lots/lot/22000065910000000001_1/(lotInfo:info)", "22000065910000000001_1")</f>
        <v>22000065910000000001_1</v>
      </c>
      <c r="E30" t="s">
        <v>172</v>
      </c>
      <c r="F30" s="3" t="s">
        <v>173</v>
      </c>
      <c r="G30" t="s">
        <v>174</v>
      </c>
      <c r="H30" s="4">
        <v>1875000</v>
      </c>
      <c r="I30" s="4">
        <v>8858.5467258811295</v>
      </c>
      <c r="J30" s="5" t="s">
        <v>2079</v>
      </c>
      <c r="K30" s="10">
        <v>31.41</v>
      </c>
      <c r="L30" s="11"/>
      <c r="M30">
        <v>284</v>
      </c>
      <c r="N30" t="s">
        <v>175</v>
      </c>
      <c r="O30" t="s">
        <v>39</v>
      </c>
      <c r="P30" s="6">
        <v>800</v>
      </c>
      <c r="Q30" t="s">
        <v>31</v>
      </c>
      <c r="R30" t="s">
        <v>32</v>
      </c>
      <c r="S30" s="2" t="str">
        <f>HYPERLINK("https://yandex.ru/maps/?&amp;text=56.671281, 47.824294", "56.671281, 47.824294")</f>
        <v>56.671281, 47.824294</v>
      </c>
      <c r="T30" s="12" t="str">
        <f>HYPERLINK("D:\venv_torgi\env\cache\objs_in_district/56.671281_47.824294.json", "56.671281_47.824294.json")</f>
        <v>56.671281_47.824294.json</v>
      </c>
      <c r="U30" t="s">
        <v>176</v>
      </c>
      <c r="W30" s="19">
        <v>10661.45189182739</v>
      </c>
      <c r="X30" s="21">
        <v>1802.9051659462641</v>
      </c>
      <c r="Y30">
        <v>0</v>
      </c>
    </row>
    <row r="31" spans="1:26">
      <c r="A31" s="8">
        <v>29</v>
      </c>
      <c r="B31">
        <v>12</v>
      </c>
      <c r="C31" s="1">
        <v>141</v>
      </c>
      <c r="D31" s="2" t="str">
        <f>HYPERLINK("https://torgi.gov.ru/new/public/lots/lot/21000025550000000003_1/(lotInfo:info)", "21000025550000000003_1")</f>
        <v>21000025550000000003_1</v>
      </c>
      <c r="E31" t="s">
        <v>177</v>
      </c>
      <c r="F31" s="3" t="s">
        <v>178</v>
      </c>
      <c r="G31" t="s">
        <v>179</v>
      </c>
      <c r="H31" s="4">
        <v>3013000</v>
      </c>
      <c r="I31" s="4">
        <v>21368.794326241139</v>
      </c>
      <c r="J31" s="5" t="s">
        <v>29</v>
      </c>
      <c r="K31" s="5">
        <v>5.46</v>
      </c>
      <c r="L31" s="4">
        <v>647.52</v>
      </c>
      <c r="M31">
        <v>3917</v>
      </c>
      <c r="N31" t="s">
        <v>170</v>
      </c>
      <c r="O31">
        <v>33</v>
      </c>
      <c r="P31" s="6">
        <v>600</v>
      </c>
      <c r="Q31" t="s">
        <v>31</v>
      </c>
      <c r="R31" t="s">
        <v>51</v>
      </c>
      <c r="S31" s="2" t="str">
        <f>HYPERLINK("https://yandex.ru/maps/?&amp;text=56.637802, 47.935234", "56.637802, 47.935234")</f>
        <v>56.637802, 47.935234</v>
      </c>
      <c r="T31" s="2" t="str">
        <f>HYPERLINK("D:\venv_torgi\env\cache\objs_in_district/56.637802_47.935234.json", "56.637802_47.935234.json")</f>
        <v>56.637802_47.935234.json</v>
      </c>
      <c r="U31" t="s">
        <v>180</v>
      </c>
      <c r="W31" s="19">
        <v>28791.780206219712</v>
      </c>
      <c r="X31" s="21">
        <v>7422.9858799785716</v>
      </c>
      <c r="Y31">
        <v>0</v>
      </c>
    </row>
    <row r="32" spans="1:26">
      <c r="A32" s="8">
        <v>30</v>
      </c>
      <c r="B32">
        <v>13</v>
      </c>
      <c r="C32" s="1">
        <v>82.8</v>
      </c>
      <c r="D32" s="2" t="str">
        <f>HYPERLINK("https://torgi.gov.ru/new/public/lots/lot/22000059440000000022_10/(lotInfo:info)", "22000059440000000022_10")</f>
        <v>22000059440000000022_10</v>
      </c>
      <c r="E32" t="s">
        <v>181</v>
      </c>
      <c r="F32" s="3" t="s">
        <v>182</v>
      </c>
      <c r="G32" t="s">
        <v>183</v>
      </c>
      <c r="H32" s="4">
        <v>1966000</v>
      </c>
      <c r="I32" s="4">
        <v>23743.96135265701</v>
      </c>
      <c r="J32" s="5" t="s">
        <v>29</v>
      </c>
      <c r="K32" s="5">
        <v>6.55</v>
      </c>
      <c r="L32" s="4">
        <v>1396.65</v>
      </c>
      <c r="M32">
        <v>3626</v>
      </c>
      <c r="N32" t="s">
        <v>184</v>
      </c>
      <c r="O32">
        <v>17</v>
      </c>
      <c r="P32" s="6">
        <v>400</v>
      </c>
      <c r="Q32" t="s">
        <v>31</v>
      </c>
      <c r="R32" t="s">
        <v>32</v>
      </c>
      <c r="S32" s="2" t="str">
        <f>HYPERLINK("https://yandex.ru/maps/?&amp;text=54.1707765, 45.139448", "54.1707765, 45.139448")</f>
        <v>54.1707765, 45.139448</v>
      </c>
      <c r="T32" s="2" t="str">
        <f>HYPERLINK("D:\venv_torgi\env\cache\objs_in_district/54.1707765_45.139448.json", "54.1707765_45.139448.json")</f>
        <v>54.1707765_45.139448.json</v>
      </c>
      <c r="V32" s="7" t="s">
        <v>34</v>
      </c>
      <c r="W32" s="19">
        <v>28791.780206219712</v>
      </c>
      <c r="X32" s="21">
        <v>5047.8188535627014</v>
      </c>
      <c r="Y32">
        <v>0</v>
      </c>
    </row>
    <row r="33" spans="1:25">
      <c r="A33" s="8">
        <v>31</v>
      </c>
      <c r="B33">
        <v>14</v>
      </c>
      <c r="C33" s="1">
        <v>116.9</v>
      </c>
      <c r="D33" s="2" t="str">
        <f>HYPERLINK("https://torgi.gov.ru/new/public/lots/lot/21000014540000000031_4/(lotInfo:info)", "21000014540000000031_4")</f>
        <v>21000014540000000031_4</v>
      </c>
      <c r="E33" t="s">
        <v>185</v>
      </c>
      <c r="F33" s="3" t="s">
        <v>186</v>
      </c>
      <c r="G33" t="s">
        <v>187</v>
      </c>
      <c r="H33" s="4">
        <v>3819900</v>
      </c>
      <c r="I33" s="4">
        <v>32676.64670658682</v>
      </c>
      <c r="J33" s="5" t="s">
        <v>29</v>
      </c>
      <c r="K33" s="5">
        <v>10.89</v>
      </c>
      <c r="L33" s="4">
        <v>1420.7</v>
      </c>
      <c r="M33">
        <v>3000</v>
      </c>
      <c r="N33" t="s">
        <v>188</v>
      </c>
      <c r="O33">
        <v>23</v>
      </c>
      <c r="P33" s="6">
        <v>800</v>
      </c>
      <c r="Q33" t="s">
        <v>31</v>
      </c>
      <c r="R33" t="s">
        <v>51</v>
      </c>
      <c r="S33" s="2" t="str">
        <f>HYPERLINK("https://yandex.ru/maps/?&amp;text=62.05524, 129.721371", "62.05524, 129.721371")</f>
        <v>62.05524, 129.721371</v>
      </c>
      <c r="T33" s="2" t="str">
        <f>HYPERLINK("D:\venv_torgi\env\cache\objs_in_district/62.05524_129.721371.json", "62.05524_129.721371.json")</f>
        <v>62.05524_129.721371.json</v>
      </c>
      <c r="U33" t="s">
        <v>189</v>
      </c>
      <c r="W33" s="19">
        <v>28791.780206219712</v>
      </c>
      <c r="X33" s="20">
        <v>-3884.866500367109</v>
      </c>
      <c r="Y33">
        <v>0</v>
      </c>
    </row>
    <row r="34" spans="1:25">
      <c r="A34" s="8">
        <v>32</v>
      </c>
      <c r="B34">
        <v>16</v>
      </c>
      <c r="C34" s="1">
        <v>124.9</v>
      </c>
      <c r="D34" s="2" t="str">
        <f>HYPERLINK("https://torgi.gov.ru/new/public/lots/lot/21000026240000000015_4/(lotInfo:info)", "21000026240000000015_4")</f>
        <v>21000026240000000015_4</v>
      </c>
      <c r="E34" t="s">
        <v>190</v>
      </c>
      <c r="F34" s="3" t="s">
        <v>186</v>
      </c>
      <c r="G34" t="s">
        <v>191</v>
      </c>
      <c r="H34" s="4">
        <v>2384556</v>
      </c>
      <c r="I34" s="4">
        <v>19091.72137710168</v>
      </c>
      <c r="J34" s="5" t="s">
        <v>29</v>
      </c>
      <c r="K34" s="5">
        <v>2.46</v>
      </c>
      <c r="L34" s="4">
        <v>454.55</v>
      </c>
      <c r="M34">
        <v>7762</v>
      </c>
      <c r="N34" t="s">
        <v>192</v>
      </c>
      <c r="O34">
        <v>42</v>
      </c>
      <c r="P34" s="6">
        <v>600</v>
      </c>
      <c r="Q34" t="s">
        <v>31</v>
      </c>
      <c r="R34" t="s">
        <v>32</v>
      </c>
      <c r="S34" s="2" t="str">
        <f>HYPERLINK("https://yandex.ru/maps/?&amp;text=55.787346, 49.134891", "55.787346, 49.134891")</f>
        <v>55.787346, 49.134891</v>
      </c>
      <c r="T34" s="2" t="str">
        <f>HYPERLINK("D:\venv_torgi\env\cache\objs_in_district/55.787346_49.134891.json", "55.787346_49.134891.json")</f>
        <v>55.787346_49.134891.json</v>
      </c>
      <c r="U34" t="s">
        <v>193</v>
      </c>
      <c r="V34" s="7" t="s">
        <v>34</v>
      </c>
      <c r="W34" s="16">
        <v>28561.270488224061</v>
      </c>
      <c r="X34" s="17">
        <v>9469.5491111223819</v>
      </c>
      <c r="Y34">
        <v>0</v>
      </c>
    </row>
    <row r="35" spans="1:25">
      <c r="A35" s="8">
        <v>33</v>
      </c>
      <c r="B35">
        <v>16</v>
      </c>
      <c r="C35" s="1">
        <v>104.9</v>
      </c>
      <c r="D35" s="2" t="str">
        <f>HYPERLINK("https://torgi.gov.ru/new/public/lots/lot/21000006210000000010_4/(lotInfo:info)", "21000006210000000010_4")</f>
        <v>21000006210000000010_4</v>
      </c>
      <c r="E35" t="s">
        <v>194</v>
      </c>
      <c r="F35" s="3" t="s">
        <v>195</v>
      </c>
      <c r="G35" t="s">
        <v>196</v>
      </c>
      <c r="H35" s="4">
        <v>3478000</v>
      </c>
      <c r="I35" s="4">
        <v>33155.386081982841</v>
      </c>
      <c r="J35" s="5" t="s">
        <v>29</v>
      </c>
      <c r="K35" s="5">
        <v>14.85</v>
      </c>
      <c r="L35" s="4">
        <v>808.66</v>
      </c>
      <c r="M35">
        <v>2233</v>
      </c>
      <c r="N35" t="s">
        <v>197</v>
      </c>
      <c r="O35">
        <v>41</v>
      </c>
      <c r="P35" s="6">
        <v>200</v>
      </c>
      <c r="Q35" t="s">
        <v>31</v>
      </c>
      <c r="R35" t="s">
        <v>32</v>
      </c>
      <c r="S35" s="2" t="str">
        <f>HYPERLINK("https://yandex.ru/maps/?&amp;text=54.904877, 52.263435", "54.904877, 52.263435")</f>
        <v>54.904877, 52.263435</v>
      </c>
      <c r="T35" s="2" t="str">
        <f>HYPERLINK("D:\venv_torgi\env\cache\objs_in_district/54.904877_52.263435.json", "54.904877_52.263435.json")</f>
        <v>54.904877_52.263435.json</v>
      </c>
      <c r="U35" t="s">
        <v>198</v>
      </c>
      <c r="V35" s="7" t="s">
        <v>34</v>
      </c>
      <c r="W35" s="16">
        <v>28561.270488224061</v>
      </c>
      <c r="X35" s="18">
        <v>-4594.1155937587791</v>
      </c>
      <c r="Y35">
        <v>0</v>
      </c>
    </row>
    <row r="36" spans="1:25">
      <c r="A36" s="8">
        <v>34</v>
      </c>
      <c r="B36">
        <v>16</v>
      </c>
      <c r="C36" s="1">
        <v>114.2</v>
      </c>
      <c r="D36" s="2" t="str">
        <f>HYPERLINK("https://torgi.gov.ru/new/public/lots/lot/21000026240000000015_5/(lotInfo:info)", "21000026240000000015_5")</f>
        <v>21000026240000000015_5</v>
      </c>
      <c r="E36" t="s">
        <v>199</v>
      </c>
      <c r="F36" s="3" t="s">
        <v>186</v>
      </c>
      <c r="G36" t="s">
        <v>200</v>
      </c>
      <c r="H36" s="4">
        <v>8295360</v>
      </c>
      <c r="I36" s="4">
        <v>72638.87915936952</v>
      </c>
      <c r="J36" s="5" t="s">
        <v>29</v>
      </c>
      <c r="K36" s="5">
        <v>9.65</v>
      </c>
      <c r="L36" s="4">
        <v>412.72</v>
      </c>
      <c r="M36">
        <v>7530</v>
      </c>
      <c r="N36" t="s">
        <v>192</v>
      </c>
      <c r="O36">
        <v>176</v>
      </c>
      <c r="P36" s="6">
        <v>200</v>
      </c>
      <c r="Q36" t="s">
        <v>31</v>
      </c>
      <c r="R36" t="s">
        <v>32</v>
      </c>
      <c r="S36" s="2" t="str">
        <f>HYPERLINK("https://yandex.ru/maps/?&amp;text=55.79229, 49.11352", "55.79229, 49.11352")</f>
        <v>55.79229, 49.11352</v>
      </c>
      <c r="T36" s="2" t="str">
        <f>HYPERLINK("D:\venv_torgi\env\cache\objs_in_district/55.79229_49.11352.json", "55.79229_49.11352.json")</f>
        <v>55.79229_49.11352.json</v>
      </c>
      <c r="U36" t="s">
        <v>201</v>
      </c>
      <c r="V36" s="7" t="s">
        <v>34</v>
      </c>
      <c r="W36" s="16">
        <v>72638.87915936952</v>
      </c>
      <c r="X36" s="19">
        <v>0</v>
      </c>
      <c r="Y36">
        <v>0</v>
      </c>
    </row>
    <row r="37" spans="1:25">
      <c r="A37" s="8">
        <v>35</v>
      </c>
      <c r="B37">
        <v>16</v>
      </c>
      <c r="C37" s="1">
        <v>22.4</v>
      </c>
      <c r="D37" s="2" t="str">
        <f>HYPERLINK("https://torgi.gov.ru/new/public/lots/lot/21000026240000000015_8/(lotInfo:info)", "21000026240000000015_8")</f>
        <v>21000026240000000015_8</v>
      </c>
      <c r="E37" t="s">
        <v>202</v>
      </c>
      <c r="F37" s="3" t="s">
        <v>186</v>
      </c>
      <c r="G37" t="s">
        <v>203</v>
      </c>
      <c r="H37" s="4">
        <v>2760744</v>
      </c>
      <c r="I37" s="4">
        <v>123247.5</v>
      </c>
      <c r="J37" s="5" t="s">
        <v>29</v>
      </c>
      <c r="K37" s="5">
        <v>17.27</v>
      </c>
      <c r="L37" s="4">
        <v>1354.36</v>
      </c>
      <c r="M37">
        <v>7137</v>
      </c>
      <c r="N37" t="s">
        <v>192</v>
      </c>
      <c r="O37">
        <v>91</v>
      </c>
      <c r="P37" s="6">
        <v>200</v>
      </c>
      <c r="Q37" t="s">
        <v>31</v>
      </c>
      <c r="R37" t="s">
        <v>32</v>
      </c>
      <c r="S37" s="2" t="str">
        <f>HYPERLINK("https://yandex.ru/maps/?&amp;text=55.826557, 49.07924", "55.826557, 49.07924")</f>
        <v>55.826557, 49.07924</v>
      </c>
      <c r="T37" s="2" t="str">
        <f>HYPERLINK("D:\venv_torgi\env\cache\objs_in_district/55.826557_49.07924.json", "55.826557_49.07924.json")</f>
        <v>55.826557_49.07924.json</v>
      </c>
      <c r="U37" t="s">
        <v>204</v>
      </c>
      <c r="V37" s="7" t="s">
        <v>34</v>
      </c>
      <c r="W37" s="16">
        <v>125553.4561120147</v>
      </c>
      <c r="X37" s="17">
        <v>2305.9561120147409</v>
      </c>
      <c r="Y37">
        <v>0</v>
      </c>
    </row>
    <row r="38" spans="1:25">
      <c r="A38" s="8">
        <v>36</v>
      </c>
      <c r="B38">
        <v>16</v>
      </c>
      <c r="C38" s="1">
        <v>58.8</v>
      </c>
      <c r="D38" s="2" t="str">
        <f>HYPERLINK("https://torgi.gov.ru/new/public/lots/lot/21000026240000000005_1/(lotInfo:info)", "21000026240000000005_1")</f>
        <v>21000026240000000005_1</v>
      </c>
      <c r="E38" t="s">
        <v>205</v>
      </c>
      <c r="F38" s="3" t="s">
        <v>206</v>
      </c>
      <c r="G38" t="s">
        <v>207</v>
      </c>
      <c r="H38" s="4">
        <v>8095632</v>
      </c>
      <c r="I38" s="4">
        <v>137680.81632653059</v>
      </c>
      <c r="J38" s="5" t="s">
        <v>29</v>
      </c>
      <c r="K38" s="5">
        <v>17.48</v>
      </c>
      <c r="L38" s="4">
        <v>936.6</v>
      </c>
      <c r="M38">
        <v>7875</v>
      </c>
      <c r="N38" t="s">
        <v>192</v>
      </c>
      <c r="O38">
        <v>147</v>
      </c>
      <c r="Q38" t="s">
        <v>31</v>
      </c>
      <c r="R38" t="s">
        <v>32</v>
      </c>
      <c r="S38" s="2" t="str">
        <f>HYPERLINK("https://yandex.ru/maps/?&amp;text=55.829219, 49.083282", "55.829219, 49.083282")</f>
        <v>55.829219, 49.083282</v>
      </c>
      <c r="T38" s="2" t="str">
        <f>HYPERLINK("D:\venv_torgi\env\cache\objs_in_district/55.829219_49.083282.json", "55.829219_49.083282.json")</f>
        <v>55.829219_49.083282.json</v>
      </c>
      <c r="U38" t="s">
        <v>208</v>
      </c>
      <c r="V38" s="7" t="s">
        <v>34</v>
      </c>
      <c r="W38" s="16">
        <v>125553.4561120147</v>
      </c>
      <c r="X38" s="18">
        <v>-12127.360214515849</v>
      </c>
      <c r="Y38">
        <v>0</v>
      </c>
    </row>
    <row r="39" spans="1:25">
      <c r="A39" s="8">
        <v>37</v>
      </c>
      <c r="B39">
        <v>18</v>
      </c>
      <c r="C39" s="1">
        <v>46.3</v>
      </c>
      <c r="D39" s="2" t="str">
        <f>HYPERLINK("https://torgi.gov.ru/new/public/lots/lot/21000015480000000017_1/(lotInfo:info)", "21000015480000000017_1")</f>
        <v>21000015480000000017_1</v>
      </c>
      <c r="E39" t="s">
        <v>209</v>
      </c>
      <c r="F39" s="3" t="s">
        <v>210</v>
      </c>
      <c r="G39" t="s">
        <v>211</v>
      </c>
      <c r="H39" s="4">
        <v>956400</v>
      </c>
      <c r="I39" s="4">
        <v>20656.587473002161</v>
      </c>
      <c r="J39" s="5" t="s">
        <v>29</v>
      </c>
      <c r="K39" s="5">
        <v>4.93</v>
      </c>
      <c r="L39" s="4">
        <v>344.27</v>
      </c>
      <c r="M39">
        <v>4186</v>
      </c>
      <c r="N39" t="s">
        <v>212</v>
      </c>
      <c r="O39">
        <v>60</v>
      </c>
      <c r="P39" s="6">
        <v>500</v>
      </c>
      <c r="Q39" t="s">
        <v>40</v>
      </c>
      <c r="R39" t="s">
        <v>32</v>
      </c>
      <c r="S39" s="2" t="str">
        <f>HYPERLINK("https://yandex.ru/maps/?&amp;text=56.470835, 53.80348", "56.470835, 53.80348")</f>
        <v>56.470835, 53.80348</v>
      </c>
      <c r="T39" s="2" t="str">
        <f>HYPERLINK("D:\venv_torgi\env\cache\objs_in_district/56.470835_53.80348.json", "56.470835_53.80348.json")</f>
        <v>56.470835_53.80348.json</v>
      </c>
      <c r="U39" t="s">
        <v>213</v>
      </c>
      <c r="V39" s="7" t="s">
        <v>39</v>
      </c>
      <c r="W39" s="19">
        <v>14930.943770233611</v>
      </c>
      <c r="X39" s="20">
        <v>-5725.6437027685479</v>
      </c>
      <c r="Y39">
        <v>0</v>
      </c>
    </row>
    <row r="40" spans="1:25">
      <c r="A40" s="8">
        <v>38</v>
      </c>
      <c r="B40">
        <v>18</v>
      </c>
      <c r="C40" s="1">
        <v>51.4</v>
      </c>
      <c r="D40" s="2" t="str">
        <f>HYPERLINK("https://torgi.gov.ru/new/public/lots/lot/21000005540000000005_1/(lotInfo:info)", "21000005540000000005_1")</f>
        <v>21000005540000000005_1</v>
      </c>
      <c r="E40" t="s">
        <v>214</v>
      </c>
      <c r="F40" s="3" t="s">
        <v>215</v>
      </c>
      <c r="G40" t="s">
        <v>216</v>
      </c>
      <c r="H40" s="4">
        <v>1790800</v>
      </c>
      <c r="I40" s="4">
        <v>34840.466926070039</v>
      </c>
      <c r="J40" s="5" t="s">
        <v>29</v>
      </c>
      <c r="K40" s="5">
        <v>9.82</v>
      </c>
      <c r="L40" s="4">
        <v>1088.75</v>
      </c>
      <c r="M40">
        <v>3548</v>
      </c>
      <c r="N40" t="s">
        <v>217</v>
      </c>
      <c r="O40">
        <v>32</v>
      </c>
      <c r="Q40" t="s">
        <v>31</v>
      </c>
      <c r="R40" t="s">
        <v>32</v>
      </c>
      <c r="S40" s="2" t="str">
        <f>HYPERLINK("https://yandex.ru/maps/?&amp;text=57.053043, 53.99023", "57.053043, 53.99023")</f>
        <v>57.053043, 53.99023</v>
      </c>
      <c r="T40" s="2" t="str">
        <f>HYPERLINK("D:\venv_torgi\env\cache\objs_in_district/57.053043_53.99023.json", "57.053043_53.99023.json")</f>
        <v>57.053043_53.99023.json</v>
      </c>
      <c r="U40" t="s">
        <v>218</v>
      </c>
      <c r="V40" s="7" t="s">
        <v>128</v>
      </c>
      <c r="W40" s="19">
        <v>22556.32813759123</v>
      </c>
      <c r="X40" s="20">
        <v>-12284.138788478809</v>
      </c>
      <c r="Y40">
        <v>0</v>
      </c>
    </row>
    <row r="41" spans="1:25">
      <c r="A41" s="8">
        <v>39</v>
      </c>
      <c r="B41">
        <v>19</v>
      </c>
      <c r="C41" s="1">
        <v>29.1</v>
      </c>
      <c r="D41" s="2" t="str">
        <f>HYPERLINK("https://torgi.gov.ru/new/public/lots/lot/21000009460000000001_1/(lotInfo:info)", "21000009460000000001_1")</f>
        <v>21000009460000000001_1</v>
      </c>
      <c r="E41" t="s">
        <v>219</v>
      </c>
      <c r="F41" s="3" t="s">
        <v>220</v>
      </c>
      <c r="G41" t="s">
        <v>221</v>
      </c>
      <c r="H41" s="4">
        <v>620000</v>
      </c>
      <c r="I41" s="4">
        <v>21305.841924398621</v>
      </c>
      <c r="J41" s="5" t="s">
        <v>29</v>
      </c>
      <c r="K41" s="5">
        <v>3.19</v>
      </c>
      <c r="L41" s="4">
        <v>234.12</v>
      </c>
      <c r="M41">
        <v>6676</v>
      </c>
      <c r="N41" t="s">
        <v>222</v>
      </c>
      <c r="O41">
        <v>91</v>
      </c>
      <c r="P41" s="6">
        <v>400</v>
      </c>
      <c r="Q41" t="s">
        <v>31</v>
      </c>
      <c r="R41" t="s">
        <v>32</v>
      </c>
      <c r="S41" s="2" t="str">
        <f>HYPERLINK("https://yandex.ru/maps/?&amp;text=52.649969, 90.085159", "52.649969, 90.085159")</f>
        <v>52.649969, 90.085159</v>
      </c>
      <c r="T41" s="2" t="str">
        <f>HYPERLINK("D:\venv_torgi\env\cache\objs_in_district/52.649969_90.085159.json", "52.649969_90.085159.json")</f>
        <v>52.649969_90.085159.json</v>
      </c>
      <c r="U41" t="s">
        <v>223</v>
      </c>
      <c r="V41" s="7" t="s">
        <v>34</v>
      </c>
      <c r="W41" s="19">
        <v>25005.921007216992</v>
      </c>
      <c r="X41" s="21">
        <v>3700.0790828183708</v>
      </c>
      <c r="Y41">
        <v>0</v>
      </c>
    </row>
    <row r="42" spans="1:25">
      <c r="A42" s="8">
        <v>40</v>
      </c>
      <c r="B42">
        <v>20</v>
      </c>
      <c r="C42" s="1">
        <v>271</v>
      </c>
      <c r="D42" s="2" t="str">
        <f>HYPERLINK("https://torgi.gov.ru/new/public/lots/lot/22000037220000000034_1/(lotInfo:info)", "22000037220000000034_1")</f>
        <v>22000037220000000034_1</v>
      </c>
      <c r="E42" t="s">
        <v>224</v>
      </c>
      <c r="F42" s="3" t="s">
        <v>225</v>
      </c>
      <c r="G42" t="s">
        <v>226</v>
      </c>
      <c r="H42" s="4">
        <v>524742.75</v>
      </c>
      <c r="I42" s="4">
        <v>1936.3201107011071</v>
      </c>
      <c r="J42" s="5" t="s">
        <v>29</v>
      </c>
      <c r="K42" s="10"/>
      <c r="L42" s="11"/>
      <c r="M42">
        <v>2574</v>
      </c>
      <c r="N42" t="s">
        <v>39</v>
      </c>
      <c r="O42" t="s">
        <v>39</v>
      </c>
      <c r="P42" s="6">
        <v>1200</v>
      </c>
      <c r="Q42" t="s">
        <v>31</v>
      </c>
      <c r="R42" t="s">
        <v>32</v>
      </c>
      <c r="S42" s="2" t="str">
        <f>HYPERLINK("https://yandex.ru/maps/?&amp;text=43.196626, 45.779665", "43.196626, 45.779665")</f>
        <v>43.196626, 45.779665</v>
      </c>
      <c r="T42" s="12" t="str">
        <f>HYPERLINK("D:\venv_torgi\env\cache\objs_in_district/43.196626_45.779665.json", "43.196626_45.779665.json")</f>
        <v>43.196626_45.779665.json</v>
      </c>
      <c r="U42" t="s">
        <v>227</v>
      </c>
      <c r="W42" s="19">
        <v>10661.45189182739</v>
      </c>
      <c r="X42" s="21">
        <v>8725.131781126287</v>
      </c>
      <c r="Y42">
        <v>0</v>
      </c>
    </row>
    <row r="43" spans="1:25">
      <c r="A43" s="8">
        <v>41</v>
      </c>
      <c r="B43">
        <v>20</v>
      </c>
      <c r="C43" s="1">
        <v>428.8</v>
      </c>
      <c r="D43" s="2" t="str">
        <f>HYPERLINK("https://torgi.gov.ru/new/public/lots/lot/22000037220000000031_1/(lotInfo:info)", "22000037220000000031_1")</f>
        <v>22000037220000000031_1</v>
      </c>
      <c r="E43" t="s">
        <v>224</v>
      </c>
      <c r="F43" s="3" t="s">
        <v>225</v>
      </c>
      <c r="G43" t="s">
        <v>228</v>
      </c>
      <c r="H43" s="4">
        <v>4200000</v>
      </c>
      <c r="I43" s="4">
        <v>9794.7761194029845</v>
      </c>
      <c r="J43" s="5" t="s">
        <v>29</v>
      </c>
      <c r="K43" s="10">
        <v>6.83</v>
      </c>
      <c r="L43" s="11">
        <v>1958.96</v>
      </c>
      <c r="M43">
        <v>1612</v>
      </c>
      <c r="N43" t="s">
        <v>229</v>
      </c>
      <c r="O43" t="s">
        <v>230</v>
      </c>
      <c r="P43" s="6">
        <v>600</v>
      </c>
      <c r="Q43" t="s">
        <v>31</v>
      </c>
      <c r="R43" t="s">
        <v>32</v>
      </c>
      <c r="S43" s="2" t="str">
        <f>HYPERLINK("https://yandex.ru/maps/?&amp;text=43.33623, 45.67644", "43.33623, 45.67644")</f>
        <v>43.33623, 45.67644</v>
      </c>
      <c r="T43" s="12" t="str">
        <f>HYPERLINK("D:\venv_torgi\env\cache\objs_in_district/43.33623_45.67644.json", "43.33623_45.67644.json")</f>
        <v>43.33623_45.67644.json</v>
      </c>
      <c r="U43" t="s">
        <v>231</v>
      </c>
      <c r="W43" s="19">
        <v>4605.2933995586654</v>
      </c>
      <c r="X43" s="20">
        <v>-5189.482719844319</v>
      </c>
      <c r="Y43">
        <v>0</v>
      </c>
    </row>
    <row r="44" spans="1:25">
      <c r="A44" s="8">
        <v>42</v>
      </c>
      <c r="B44">
        <v>21</v>
      </c>
      <c r="C44" s="1">
        <v>401.1</v>
      </c>
      <c r="D44" s="2" t="str">
        <f>HYPERLINK("https://torgi.gov.ru/new/public/lots/lot/22000030000000000021_1/(lotInfo:info)", "22000030000000000021_1")</f>
        <v>22000030000000000021_1</v>
      </c>
      <c r="E44" t="s">
        <v>232</v>
      </c>
      <c r="F44" s="3" t="s">
        <v>233</v>
      </c>
      <c r="G44" t="s">
        <v>234</v>
      </c>
      <c r="H44" s="4">
        <v>596235</v>
      </c>
      <c r="I44" s="4">
        <v>1486.499626028422</v>
      </c>
      <c r="J44" s="5" t="s">
        <v>29</v>
      </c>
      <c r="K44" s="5">
        <v>3.62</v>
      </c>
      <c r="L44" s="4">
        <v>743</v>
      </c>
      <c r="M44">
        <v>411</v>
      </c>
      <c r="N44" t="s">
        <v>235</v>
      </c>
      <c r="O44">
        <v>2</v>
      </c>
      <c r="P44" s="6">
        <v>300</v>
      </c>
      <c r="Q44" t="s">
        <v>40</v>
      </c>
      <c r="R44" t="s">
        <v>32</v>
      </c>
      <c r="S44" s="2" t="str">
        <f>HYPERLINK("https://yandex.ru/maps/?&amp;text=55.161923, 48.002807", "55.161923, 48.002807")</f>
        <v>55.161923, 48.002807</v>
      </c>
      <c r="T44" s="2" t="str">
        <f>HYPERLINK("D:\venv_torgi\env\cache\objs_in_district/55.161923_48.002807.json", "55.161923_48.002807.json")</f>
        <v>55.161923_48.002807.json</v>
      </c>
      <c r="U44" t="s">
        <v>236</v>
      </c>
      <c r="V44" s="7" t="s">
        <v>34</v>
      </c>
      <c r="W44" s="19">
        <v>4605.2933995586654</v>
      </c>
      <c r="X44" s="21">
        <v>3118.793773530243</v>
      </c>
      <c r="Y44">
        <v>0</v>
      </c>
    </row>
    <row r="45" spans="1:25">
      <c r="A45" s="8">
        <v>43</v>
      </c>
      <c r="B45">
        <v>21</v>
      </c>
      <c r="C45" s="1">
        <v>146.30000000000001</v>
      </c>
      <c r="D45" s="2" t="str">
        <f>HYPERLINK("https://torgi.gov.ru/new/public/lots/lot/21000010370000000036_1/(lotInfo:info)", "21000010370000000036_1")</f>
        <v>21000010370000000036_1</v>
      </c>
      <c r="E45" t="s">
        <v>237</v>
      </c>
      <c r="F45" s="3" t="s">
        <v>238</v>
      </c>
      <c r="G45" t="s">
        <v>239</v>
      </c>
      <c r="H45" s="4">
        <v>2219700</v>
      </c>
      <c r="I45" s="4">
        <v>15172.24880382775</v>
      </c>
      <c r="J45" s="5" t="s">
        <v>29</v>
      </c>
      <c r="K45" s="5">
        <v>2.57</v>
      </c>
      <c r="L45" s="4">
        <v>758.6</v>
      </c>
      <c r="M45">
        <v>5895</v>
      </c>
      <c r="N45" t="s">
        <v>240</v>
      </c>
      <c r="O45">
        <v>20</v>
      </c>
      <c r="P45" s="6">
        <v>900</v>
      </c>
      <c r="Q45" t="s">
        <v>40</v>
      </c>
      <c r="R45" t="s">
        <v>32</v>
      </c>
      <c r="S45" s="2" t="str">
        <f>HYPERLINK("https://yandex.ru/maps/?&amp;text=56.091205, 47.276016", "56.091205, 47.276016")</f>
        <v>56.091205, 47.276016</v>
      </c>
      <c r="T45" s="2" t="str">
        <f>HYPERLINK("D:\venv_torgi\env\cache\objs_in_district/56.091205_47.276016.json", "56.091205_47.276016.json")</f>
        <v>56.091205_47.276016.json</v>
      </c>
      <c r="U45" t="s">
        <v>241</v>
      </c>
      <c r="V45" s="7" t="s">
        <v>34</v>
      </c>
      <c r="W45" s="19">
        <v>28791.780206219712</v>
      </c>
      <c r="X45" s="21">
        <v>13619.53140239196</v>
      </c>
      <c r="Y45">
        <v>0</v>
      </c>
    </row>
    <row r="46" spans="1:25">
      <c r="A46" s="8">
        <v>44</v>
      </c>
      <c r="B46">
        <v>21</v>
      </c>
      <c r="C46" s="1">
        <v>44.3</v>
      </c>
      <c r="D46" s="2" t="str">
        <f>HYPERLINK("https://torgi.gov.ru/new/public/lots/lot/22000053090000000003_2/(lotInfo:info)", "22000053090000000003_2")</f>
        <v>22000053090000000003_2</v>
      </c>
      <c r="E46" t="s">
        <v>242</v>
      </c>
      <c r="F46" s="3" t="s">
        <v>243</v>
      </c>
      <c r="G46" t="s">
        <v>244</v>
      </c>
      <c r="H46" s="4">
        <v>697532</v>
      </c>
      <c r="I46" s="4">
        <v>15745.64334085779</v>
      </c>
      <c r="J46" s="5" t="s">
        <v>2078</v>
      </c>
      <c r="K46" s="5">
        <v>7.19</v>
      </c>
      <c r="L46" s="4">
        <v>3936.25</v>
      </c>
      <c r="M46">
        <v>2190</v>
      </c>
      <c r="N46" t="s">
        <v>245</v>
      </c>
      <c r="O46">
        <v>4</v>
      </c>
      <c r="P46" s="6">
        <v>900</v>
      </c>
      <c r="Q46" t="s">
        <v>31</v>
      </c>
      <c r="R46" t="s">
        <v>32</v>
      </c>
      <c r="S46" s="2" t="str">
        <f>HYPERLINK("https://yandex.ru/maps/?&amp;text=55.51748, 47.495303", "55.51748, 47.495303")</f>
        <v>55.51748, 47.495303</v>
      </c>
      <c r="T46" s="2" t="str">
        <f>HYPERLINK("D:\venv_torgi\env\cache\objs_in_district/55.51748_47.495303.json", "55.51748_47.495303.json")</f>
        <v>55.51748_47.495303.json</v>
      </c>
      <c r="U46" t="s">
        <v>246</v>
      </c>
      <c r="W46" s="19">
        <v>14930.943770233611</v>
      </c>
      <c r="X46" s="20">
        <v>-814.6995706241778</v>
      </c>
      <c r="Y46">
        <v>0</v>
      </c>
    </row>
    <row r="47" spans="1:25">
      <c r="A47" s="8">
        <v>45</v>
      </c>
      <c r="B47">
        <v>21</v>
      </c>
      <c r="C47" s="1">
        <v>150.6</v>
      </c>
      <c r="D47" s="2" t="str">
        <f>HYPERLINK("https://torgi.gov.ru/new/public/lots/lot/21000025550000000028_13/(lotInfo:info)", "21000025550000000028_13")</f>
        <v>21000025550000000028_13</v>
      </c>
      <c r="E47" t="s">
        <v>247</v>
      </c>
      <c r="F47" s="3" t="s">
        <v>248</v>
      </c>
      <c r="G47" t="s">
        <v>249</v>
      </c>
      <c r="H47" s="4">
        <v>2494933</v>
      </c>
      <c r="I47" s="4">
        <v>16566.62018592298</v>
      </c>
      <c r="J47" s="5" t="s">
        <v>29</v>
      </c>
      <c r="K47" s="5">
        <v>3.03</v>
      </c>
      <c r="L47" s="4">
        <v>447.73</v>
      </c>
      <c r="M47">
        <v>5472</v>
      </c>
      <c r="N47" t="s">
        <v>240</v>
      </c>
      <c r="O47">
        <v>37</v>
      </c>
      <c r="P47" s="6">
        <v>800</v>
      </c>
      <c r="Q47" t="s">
        <v>31</v>
      </c>
      <c r="R47" t="s">
        <v>51</v>
      </c>
      <c r="S47" s="2" t="str">
        <f>HYPERLINK("https://yandex.ru/maps/?&amp;text=56.15064, 47.183184", "56.15064, 47.183184")</f>
        <v>56.15064, 47.183184</v>
      </c>
      <c r="T47" s="2" t="str">
        <f>HYPERLINK("D:\venv_torgi\env\cache\objs_in_district/56.15064_47.183184.json", "56.15064_47.183184.json")</f>
        <v>56.15064_47.183184.json</v>
      </c>
      <c r="U47" t="s">
        <v>250</v>
      </c>
      <c r="W47" s="19">
        <v>28791.780206219712</v>
      </c>
      <c r="X47" s="21">
        <v>12225.160020296729</v>
      </c>
      <c r="Y47">
        <v>0</v>
      </c>
    </row>
    <row r="48" spans="1:25">
      <c r="A48" s="8">
        <v>46</v>
      </c>
      <c r="B48">
        <v>21</v>
      </c>
      <c r="C48" s="1">
        <v>31.2</v>
      </c>
      <c r="D48" s="2" t="str">
        <f>HYPERLINK("https://torgi.gov.ru/new/public/lots/lot/22000012370000000016_1/(lotInfo:info)", "22000012370000000016_1")</f>
        <v>22000012370000000016_1</v>
      </c>
      <c r="E48" t="s">
        <v>251</v>
      </c>
      <c r="F48" s="3" t="s">
        <v>252</v>
      </c>
      <c r="G48" t="s">
        <v>253</v>
      </c>
      <c r="H48" s="4">
        <v>579068</v>
      </c>
      <c r="I48" s="4">
        <v>18559.8717948718</v>
      </c>
      <c r="J48" s="5" t="s">
        <v>29</v>
      </c>
      <c r="K48" s="5">
        <v>7.81</v>
      </c>
      <c r="L48" s="4">
        <v>598.67999999999995</v>
      </c>
      <c r="M48">
        <v>2376</v>
      </c>
      <c r="N48" t="s">
        <v>254</v>
      </c>
      <c r="O48">
        <v>31</v>
      </c>
      <c r="P48" s="6">
        <v>100</v>
      </c>
      <c r="Q48" t="s">
        <v>40</v>
      </c>
      <c r="R48" t="s">
        <v>32</v>
      </c>
      <c r="S48" s="2" t="str">
        <f>HYPERLINK("https://yandex.ru/maps/?&amp;text=55.492447, 46.414288", "55.492447, 46.414288")</f>
        <v>55.492447, 46.414288</v>
      </c>
      <c r="T48" s="2" t="str">
        <f>HYPERLINK("D:\venv_torgi\env\cache\objs_in_district/55.492447_46.414288.json", "55.492447_46.414288.json")</f>
        <v>55.492447_46.414288.json</v>
      </c>
      <c r="U48" t="s">
        <v>255</v>
      </c>
      <c r="V48" s="7" t="s">
        <v>34</v>
      </c>
      <c r="W48" s="19">
        <v>25005.921007216992</v>
      </c>
      <c r="X48" s="21">
        <v>6446.0492123451913</v>
      </c>
      <c r="Y48">
        <v>0</v>
      </c>
    </row>
    <row r="49" spans="1:25">
      <c r="A49" s="8">
        <v>47</v>
      </c>
      <c r="B49">
        <v>21</v>
      </c>
      <c r="C49" s="1">
        <v>117.6</v>
      </c>
      <c r="D49" s="2" t="str">
        <f>HYPERLINK("https://torgi.gov.ru/new/public/lots/lot/22000053090000000003_1/(lotInfo:info)", "22000053090000000003_1")</f>
        <v>22000053090000000003_1</v>
      </c>
      <c r="E49" t="s">
        <v>256</v>
      </c>
      <c r="F49" s="3" t="s">
        <v>243</v>
      </c>
      <c r="G49" t="s">
        <v>244</v>
      </c>
      <c r="H49" s="4">
        <v>2374350</v>
      </c>
      <c r="I49" s="4">
        <v>20190.051020408169</v>
      </c>
      <c r="J49" s="5" t="s">
        <v>2078</v>
      </c>
      <c r="K49" s="5">
        <v>9.2200000000000006</v>
      </c>
      <c r="L49" s="4">
        <v>5047.5</v>
      </c>
      <c r="M49">
        <v>2190</v>
      </c>
      <c r="N49" t="s">
        <v>245</v>
      </c>
      <c r="O49">
        <v>4</v>
      </c>
      <c r="P49" s="6">
        <v>900</v>
      </c>
      <c r="Q49" t="s">
        <v>31</v>
      </c>
      <c r="R49" t="s">
        <v>32</v>
      </c>
      <c r="S49" s="2" t="str">
        <f>HYPERLINK("https://yandex.ru/maps/?&amp;text=55.51748, 47.495303", "55.51748, 47.495303")</f>
        <v>55.51748, 47.495303</v>
      </c>
      <c r="T49" s="2" t="str">
        <f>HYPERLINK("D:\venv_torgi\env\cache\objs_in_district/55.51748_47.495303.json", "55.51748_47.495303.json")</f>
        <v>55.51748_47.495303.json</v>
      </c>
      <c r="U49" t="s">
        <v>257</v>
      </c>
      <c r="W49" s="19">
        <v>14930.943770233611</v>
      </c>
      <c r="X49" s="20">
        <v>-5259.1072501745566</v>
      </c>
      <c r="Y49">
        <v>0</v>
      </c>
    </row>
    <row r="50" spans="1:25">
      <c r="A50" s="8">
        <v>48</v>
      </c>
      <c r="B50">
        <v>21</v>
      </c>
      <c r="C50" s="1">
        <v>46.5</v>
      </c>
      <c r="D50" s="2" t="str">
        <f>HYPERLINK("https://torgi.gov.ru/new/public/lots/lot/22000003210000000001_1/(lotInfo:info)", "22000003210000000001_1")</f>
        <v>22000003210000000001_1</v>
      </c>
      <c r="E50" t="s">
        <v>258</v>
      </c>
      <c r="F50" s="3" t="s">
        <v>259</v>
      </c>
      <c r="G50" t="s">
        <v>260</v>
      </c>
      <c r="H50" s="4">
        <v>1000000</v>
      </c>
      <c r="I50" s="4">
        <v>21505.37634408602</v>
      </c>
      <c r="J50" s="5" t="s">
        <v>29</v>
      </c>
      <c r="K50" s="5">
        <v>8.89</v>
      </c>
      <c r="L50" s="4">
        <v>398.24</v>
      </c>
      <c r="M50">
        <v>2420</v>
      </c>
      <c r="N50" t="s">
        <v>261</v>
      </c>
      <c r="O50">
        <v>54</v>
      </c>
      <c r="P50" s="6">
        <v>500</v>
      </c>
      <c r="Q50" t="s">
        <v>31</v>
      </c>
      <c r="R50" t="s">
        <v>32</v>
      </c>
      <c r="S50" s="2" t="str">
        <f>HYPERLINK("https://yandex.ru/maps/?&amp;text=54.841947, 46.585903", "54.841947, 46.585903")</f>
        <v>54.841947, 46.585903</v>
      </c>
      <c r="T50" s="2" t="str">
        <f>HYPERLINK("D:\venv_torgi\env\cache\objs_in_district/54.841947_46.585903.json", "54.841947_46.585903.json")</f>
        <v>54.841947_46.585903.json</v>
      </c>
      <c r="U50" t="s">
        <v>262</v>
      </c>
      <c r="V50" s="7" t="s">
        <v>34</v>
      </c>
      <c r="W50" s="19">
        <v>14930.943770233611</v>
      </c>
      <c r="X50" s="20">
        <v>-6574.4325738524076</v>
      </c>
      <c r="Y50">
        <v>0</v>
      </c>
    </row>
    <row r="51" spans="1:25">
      <c r="A51" s="8">
        <v>49</v>
      </c>
      <c r="B51">
        <v>21</v>
      </c>
      <c r="C51" s="1">
        <v>194.7</v>
      </c>
      <c r="D51" s="2" t="str">
        <f>HYPERLINK("https://torgi.gov.ru/new/public/lots/lot/22000053090000000001_1/(lotInfo:info)", "22000053090000000001_1")</f>
        <v>22000053090000000001_1</v>
      </c>
      <c r="E51" t="s">
        <v>263</v>
      </c>
      <c r="F51" s="3" t="s">
        <v>264</v>
      </c>
      <c r="G51" t="s">
        <v>265</v>
      </c>
      <c r="H51" s="4">
        <v>5085615</v>
      </c>
      <c r="I51" s="4">
        <v>26120.261941448389</v>
      </c>
      <c r="J51" s="5" t="s">
        <v>2078</v>
      </c>
      <c r="K51" s="5">
        <v>12.62</v>
      </c>
      <c r="L51" s="4">
        <v>1536.47</v>
      </c>
      <c r="M51">
        <v>2070</v>
      </c>
      <c r="N51" t="s">
        <v>245</v>
      </c>
      <c r="O51">
        <v>17</v>
      </c>
      <c r="P51" s="6">
        <v>500</v>
      </c>
      <c r="Q51" t="s">
        <v>31</v>
      </c>
      <c r="R51" t="s">
        <v>32</v>
      </c>
      <c r="S51" s="2" t="str">
        <f>HYPERLINK("https://yandex.ru/maps/?&amp;text=55.515273, 47.503137", "55.515273, 47.503137")</f>
        <v>55.515273, 47.503137</v>
      </c>
      <c r="T51" s="2" t="str">
        <f>HYPERLINK("D:\venv_torgi\env\cache\objs_in_district/55.515273_47.503137.json", "55.515273_47.503137.json")</f>
        <v>55.515273_47.503137.json</v>
      </c>
      <c r="U51" t="s">
        <v>266</v>
      </c>
      <c r="W51" s="19">
        <v>10661.45189182739</v>
      </c>
      <c r="X51" s="20">
        <v>-15458.810049621001</v>
      </c>
      <c r="Y51">
        <v>0</v>
      </c>
    </row>
    <row r="52" spans="1:25">
      <c r="A52" s="8">
        <v>50</v>
      </c>
      <c r="B52">
        <v>21</v>
      </c>
      <c r="C52" s="1">
        <v>156.5</v>
      </c>
      <c r="D52" s="2" t="str">
        <f>HYPERLINK("https://torgi.gov.ru/new/public/lots/lot/22000089360000000001_1/(lotInfo:info)", "22000089360000000001_1")</f>
        <v>22000089360000000001_1</v>
      </c>
      <c r="E52" t="s">
        <v>267</v>
      </c>
      <c r="F52" s="3" t="s">
        <v>268</v>
      </c>
      <c r="G52" t="s">
        <v>269</v>
      </c>
      <c r="H52" s="4">
        <v>4186000</v>
      </c>
      <c r="I52" s="4">
        <v>26747.603833865811</v>
      </c>
      <c r="J52" s="5" t="s">
        <v>29</v>
      </c>
      <c r="K52" s="5">
        <v>5.3</v>
      </c>
      <c r="L52" s="4">
        <v>6686.75</v>
      </c>
      <c r="M52">
        <v>5042</v>
      </c>
      <c r="N52" t="s">
        <v>270</v>
      </c>
      <c r="O52">
        <v>4</v>
      </c>
      <c r="P52" s="6">
        <v>500</v>
      </c>
      <c r="Q52" t="s">
        <v>31</v>
      </c>
      <c r="R52" t="s">
        <v>32</v>
      </c>
      <c r="S52" s="2" t="str">
        <f>HYPERLINK("https://yandex.ru/maps/?&amp;text=56.1064309, 47.4447934", "56.1064309, 47.4447934")</f>
        <v>56.1064309, 47.4447934</v>
      </c>
      <c r="T52" s="2" t="str">
        <f>HYPERLINK("D:\venv_torgi\env\cache\objs_in_district/56.1064309_47.4447934.json", "56.1064309_47.4447934.json")</f>
        <v>56.1064309_47.4447934.json</v>
      </c>
      <c r="V52" s="7" t="s">
        <v>34</v>
      </c>
      <c r="W52" s="19">
        <v>14930.943770233611</v>
      </c>
      <c r="X52" s="20">
        <v>-11816.6600636322</v>
      </c>
      <c r="Y52">
        <v>0</v>
      </c>
    </row>
    <row r="53" spans="1:25">
      <c r="A53" s="8">
        <v>51</v>
      </c>
      <c r="B53">
        <v>21</v>
      </c>
      <c r="C53" s="1">
        <v>194.7</v>
      </c>
      <c r="D53" s="2" t="str">
        <f>HYPERLINK("https://torgi.gov.ru/new/public/lots/lot/22000053090000000002_1/(lotInfo:info)", "22000053090000000002_1")</f>
        <v>22000053090000000002_1</v>
      </c>
      <c r="E53" t="s">
        <v>271</v>
      </c>
      <c r="F53" s="3" t="s">
        <v>272</v>
      </c>
      <c r="G53" t="s">
        <v>265</v>
      </c>
      <c r="H53" s="4">
        <v>5546199</v>
      </c>
      <c r="I53" s="4">
        <v>28485.870570107862</v>
      </c>
      <c r="J53" s="5" t="s">
        <v>2078</v>
      </c>
      <c r="K53" s="5">
        <v>13.76</v>
      </c>
      <c r="L53" s="4">
        <v>1675.59</v>
      </c>
      <c r="M53">
        <v>2070</v>
      </c>
      <c r="N53" t="s">
        <v>245</v>
      </c>
      <c r="O53">
        <v>17</v>
      </c>
      <c r="P53" s="6">
        <v>500</v>
      </c>
      <c r="Q53" t="s">
        <v>31</v>
      </c>
      <c r="R53" t="s">
        <v>32</v>
      </c>
      <c r="S53" s="2" t="str">
        <f>HYPERLINK("https://yandex.ru/maps/?&amp;text=55.515273, 47.503137", "55.515273, 47.503137")</f>
        <v>55.515273, 47.503137</v>
      </c>
      <c r="T53" s="2" t="str">
        <f>HYPERLINK("D:\venv_torgi\env\cache\objs_in_district/55.515273_47.503137.json", "55.515273_47.503137.json")</f>
        <v>55.515273_47.503137.json</v>
      </c>
      <c r="U53" t="s">
        <v>266</v>
      </c>
      <c r="V53" s="7" t="s">
        <v>34</v>
      </c>
      <c r="W53" s="19">
        <v>10661.45189182739</v>
      </c>
      <c r="X53" s="20">
        <v>-17824.418678280472</v>
      </c>
      <c r="Y53">
        <v>0</v>
      </c>
    </row>
    <row r="54" spans="1:25">
      <c r="A54" s="8">
        <v>52</v>
      </c>
      <c r="B54">
        <v>21</v>
      </c>
      <c r="C54" s="1">
        <v>126.2</v>
      </c>
      <c r="D54" s="2" t="str">
        <f>HYPERLINK("https://torgi.gov.ru/new/public/lots/lot/21000025550000000040_9/(lotInfo:info)", "21000025550000000040_9")</f>
        <v>21000025550000000040_9</v>
      </c>
      <c r="E54" t="s">
        <v>273</v>
      </c>
      <c r="F54" s="3" t="s">
        <v>274</v>
      </c>
      <c r="G54" t="s">
        <v>275</v>
      </c>
      <c r="H54" s="4">
        <v>4785467</v>
      </c>
      <c r="I54" s="4">
        <v>37919.706814580029</v>
      </c>
      <c r="J54" s="5" t="s">
        <v>29</v>
      </c>
      <c r="K54" s="5">
        <v>4.5199999999999996</v>
      </c>
      <c r="L54" s="4">
        <v>1223.19</v>
      </c>
      <c r="M54">
        <v>8385</v>
      </c>
      <c r="N54" t="s">
        <v>240</v>
      </c>
      <c r="O54">
        <v>31</v>
      </c>
      <c r="P54" s="6">
        <v>200</v>
      </c>
      <c r="Q54" t="s">
        <v>31</v>
      </c>
      <c r="R54" t="s">
        <v>51</v>
      </c>
      <c r="S54" s="2" t="str">
        <f>HYPERLINK("https://yandex.ru/maps/?&amp;text=56.108337, 47.288547", "56.108337, 47.288547")</f>
        <v>56.108337, 47.288547</v>
      </c>
      <c r="T54" s="2" t="str">
        <f>HYPERLINK("D:\venv_torgi\env\cache\objs_in_district/56.108337_47.288547.json", "56.108337_47.288547.json")</f>
        <v>56.108337_47.288547.json</v>
      </c>
      <c r="U54" t="s">
        <v>276</v>
      </c>
      <c r="W54" s="19">
        <v>28791.780206219712</v>
      </c>
      <c r="X54" s="20">
        <v>-9127.9266083603179</v>
      </c>
      <c r="Y54">
        <v>0</v>
      </c>
    </row>
    <row r="55" spans="1:25">
      <c r="A55" s="8">
        <v>53</v>
      </c>
      <c r="B55">
        <v>21</v>
      </c>
      <c r="C55" s="1">
        <v>108.6</v>
      </c>
      <c r="D55" s="2" t="str">
        <f>HYPERLINK("https://torgi.gov.ru/new/public/lots/lot/21000010370000000033_1/(lotInfo:info)", "21000010370000000033_1")</f>
        <v>21000010370000000033_1</v>
      </c>
      <c r="E55" t="s">
        <v>277</v>
      </c>
      <c r="F55" s="3" t="s">
        <v>215</v>
      </c>
      <c r="G55" t="s">
        <v>278</v>
      </c>
      <c r="H55" s="4">
        <v>4502700</v>
      </c>
      <c r="I55" s="4">
        <v>41461.325966850833</v>
      </c>
      <c r="J55" s="5" t="s">
        <v>29</v>
      </c>
      <c r="K55" s="5">
        <v>5.03</v>
      </c>
      <c r="L55" s="4">
        <v>1184.5999999999999</v>
      </c>
      <c r="M55">
        <v>8235</v>
      </c>
      <c r="N55" t="s">
        <v>240</v>
      </c>
      <c r="O55">
        <v>35</v>
      </c>
      <c r="P55" s="6">
        <v>700</v>
      </c>
      <c r="Q55" t="s">
        <v>40</v>
      </c>
      <c r="R55" t="s">
        <v>32</v>
      </c>
      <c r="S55" s="2" t="str">
        <f>HYPERLINK("https://yandex.ru/maps/?&amp;text=56.10183, 47.294243", "56.10183, 47.294243")</f>
        <v>56.10183, 47.294243</v>
      </c>
      <c r="T55" s="2" t="str">
        <f>HYPERLINK("D:\venv_torgi\env\cache\objs_in_district/56.10183_47.294243.json", "56.10183_47.294243.json")</f>
        <v>56.10183_47.294243.json</v>
      </c>
      <c r="U55" t="s">
        <v>279</v>
      </c>
      <c r="V55" s="7" t="s">
        <v>34</v>
      </c>
      <c r="W55" s="19">
        <v>28791.780206219712</v>
      </c>
      <c r="X55" s="20">
        <v>-12669.545760631119</v>
      </c>
      <c r="Y55">
        <v>0</v>
      </c>
    </row>
    <row r="56" spans="1:25">
      <c r="A56" s="8">
        <v>54</v>
      </c>
      <c r="B56">
        <v>21</v>
      </c>
      <c r="C56" s="1">
        <v>59.9</v>
      </c>
      <c r="D56" s="2" t="str">
        <f>HYPERLINK("https://torgi.gov.ru/new/public/lots/lot/22000053090000000003_3/(lotInfo:info)", "22000053090000000003_3")</f>
        <v>22000053090000000003_3</v>
      </c>
      <c r="E56" t="s">
        <v>280</v>
      </c>
      <c r="F56" s="3" t="s">
        <v>243</v>
      </c>
      <c r="G56" t="s">
        <v>281</v>
      </c>
      <c r="H56" s="4">
        <v>2607975</v>
      </c>
      <c r="I56" s="4">
        <v>43538.814691151922</v>
      </c>
      <c r="J56" s="5" t="s">
        <v>29</v>
      </c>
      <c r="K56" s="5">
        <v>9.66</v>
      </c>
      <c r="L56" s="4">
        <v>649.82000000000005</v>
      </c>
      <c r="M56">
        <v>4509</v>
      </c>
      <c r="N56" t="s">
        <v>245</v>
      </c>
      <c r="O56">
        <v>67</v>
      </c>
      <c r="Q56" t="s">
        <v>31</v>
      </c>
      <c r="R56" t="s">
        <v>32</v>
      </c>
      <c r="S56" s="2" t="str">
        <f>HYPERLINK("https://yandex.ru/maps/?&amp;text=55.510136, 47.502068", "55.510136, 47.502068")</f>
        <v>55.510136, 47.502068</v>
      </c>
      <c r="T56" s="2" t="str">
        <f>HYPERLINK("D:\venv_torgi\env\cache\objs_in_district/55.510136_47.502068.json", "55.510136_47.502068.json")</f>
        <v>55.510136_47.502068.json</v>
      </c>
      <c r="U56" t="s">
        <v>282</v>
      </c>
      <c r="W56" s="19">
        <v>25005.921007216992</v>
      </c>
      <c r="X56" s="20">
        <v>-18532.89368393493</v>
      </c>
      <c r="Y56">
        <v>0</v>
      </c>
    </row>
    <row r="57" spans="1:25">
      <c r="A57" s="8">
        <v>55</v>
      </c>
      <c r="B57">
        <v>21</v>
      </c>
      <c r="C57" s="1">
        <v>154.6</v>
      </c>
      <c r="D57" s="2" t="str">
        <f>HYPERLINK("https://torgi.gov.ru/new/public/lots/lot/21000025550000000040_6/(lotInfo:info)", "21000025550000000040_6")</f>
        <v>21000025550000000040_6</v>
      </c>
      <c r="E57" t="s">
        <v>283</v>
      </c>
      <c r="F57" s="3" t="s">
        <v>274</v>
      </c>
      <c r="G57" t="s">
        <v>284</v>
      </c>
      <c r="H57" s="4">
        <v>7195267</v>
      </c>
      <c r="I57" s="4">
        <v>46541.183699870628</v>
      </c>
      <c r="J57" s="5" t="s">
        <v>29</v>
      </c>
      <c r="K57" s="5">
        <v>5.89</v>
      </c>
      <c r="L57" s="4">
        <v>1604.86</v>
      </c>
      <c r="M57">
        <v>7905</v>
      </c>
      <c r="N57" t="s">
        <v>240</v>
      </c>
      <c r="O57">
        <v>29</v>
      </c>
      <c r="P57" s="6">
        <v>300</v>
      </c>
      <c r="Q57" t="s">
        <v>31</v>
      </c>
      <c r="R57" t="s">
        <v>51</v>
      </c>
      <c r="S57" s="2" t="str">
        <f>HYPERLINK("https://yandex.ru/maps/?&amp;text=56.108422, 47.289508", "56.108422, 47.289508")</f>
        <v>56.108422, 47.289508</v>
      </c>
      <c r="T57" s="2" t="str">
        <f>HYPERLINK("D:\venv_torgi\env\cache\objs_in_district/56.108422_47.289508.json", "56.108422_47.289508.json")</f>
        <v>56.108422_47.289508.json</v>
      </c>
      <c r="U57" t="s">
        <v>285</v>
      </c>
      <c r="W57" s="19">
        <v>28791.780206219712</v>
      </c>
      <c r="X57" s="20">
        <v>-17749.40349365092</v>
      </c>
      <c r="Y57">
        <v>0</v>
      </c>
    </row>
    <row r="58" spans="1:25">
      <c r="A58" s="8">
        <v>56</v>
      </c>
      <c r="B58">
        <v>21</v>
      </c>
      <c r="C58" s="1">
        <v>143.6</v>
      </c>
      <c r="D58" s="2" t="str">
        <f>HYPERLINK("https://torgi.gov.ru/new/public/lots/lot/21000025550000000040_7/(lotInfo:info)", "21000025550000000040_7")</f>
        <v>21000025550000000040_7</v>
      </c>
      <c r="E58" t="s">
        <v>286</v>
      </c>
      <c r="F58" s="3" t="s">
        <v>274</v>
      </c>
      <c r="G58" t="s">
        <v>275</v>
      </c>
      <c r="H58" s="4">
        <v>6787133</v>
      </c>
      <c r="I58" s="4">
        <v>47264.157381615601</v>
      </c>
      <c r="J58" s="5" t="s">
        <v>29</v>
      </c>
      <c r="K58" s="5">
        <v>5.64</v>
      </c>
      <c r="L58" s="4">
        <v>1524.65</v>
      </c>
      <c r="M58">
        <v>8385</v>
      </c>
      <c r="N58" t="s">
        <v>240</v>
      </c>
      <c r="O58">
        <v>31</v>
      </c>
      <c r="P58" s="6">
        <v>200</v>
      </c>
      <c r="Q58" t="s">
        <v>31</v>
      </c>
      <c r="R58" t="s">
        <v>51</v>
      </c>
      <c r="S58" s="2" t="str">
        <f>HYPERLINK("https://yandex.ru/maps/?&amp;text=56.108337, 47.288547", "56.108337, 47.288547")</f>
        <v>56.108337, 47.288547</v>
      </c>
      <c r="T58" s="2" t="str">
        <f>HYPERLINK("D:\venv_torgi\env\cache\objs_in_district/56.108337_47.288547.json", "56.108337_47.288547.json")</f>
        <v>56.108337_47.288547.json</v>
      </c>
      <c r="U58" t="s">
        <v>287</v>
      </c>
      <c r="W58" s="19">
        <v>28791.780206219712</v>
      </c>
      <c r="X58" s="20">
        <v>-18472.37717539589</v>
      </c>
      <c r="Y58">
        <v>0</v>
      </c>
    </row>
    <row r="59" spans="1:25">
      <c r="A59" s="8">
        <v>57</v>
      </c>
      <c r="B59">
        <v>22</v>
      </c>
      <c r="C59" s="1">
        <v>491.1</v>
      </c>
      <c r="D59" s="2" t="str">
        <f>HYPERLINK("https://torgi.gov.ru/new/public/lots/lot/22000022080000000003_2/(lotInfo:info)", "22000022080000000003_2")</f>
        <v>22000022080000000003_2</v>
      </c>
      <c r="E59" t="s">
        <v>288</v>
      </c>
      <c r="F59" s="3" t="s">
        <v>289</v>
      </c>
      <c r="G59" t="s">
        <v>290</v>
      </c>
      <c r="H59" s="4">
        <v>536327.4</v>
      </c>
      <c r="I59" s="4">
        <v>1092.094074526573</v>
      </c>
      <c r="J59" s="5" t="s">
        <v>2078</v>
      </c>
      <c r="K59" s="5">
        <v>5.6</v>
      </c>
      <c r="L59" s="4">
        <v>546</v>
      </c>
      <c r="M59">
        <v>195</v>
      </c>
      <c r="N59" t="s">
        <v>291</v>
      </c>
      <c r="O59">
        <v>2</v>
      </c>
      <c r="P59" s="6">
        <v>2100</v>
      </c>
      <c r="Q59" t="s">
        <v>31</v>
      </c>
      <c r="R59" t="s">
        <v>32</v>
      </c>
      <c r="S59" s="2" t="str">
        <f>HYPERLINK("https://yandex.ru/maps/?&amp;text=51.640116, 84.329213", "51.640116, 84.329213")</f>
        <v>51.640116, 84.329213</v>
      </c>
      <c r="T59" s="2" t="str">
        <f>HYPERLINK("D:\venv_torgi\env\cache\objs_in_district/51.640116_84.329213.json", "51.640116_84.329213.json")</f>
        <v>51.640116_84.329213.json</v>
      </c>
      <c r="U59" t="s">
        <v>292</v>
      </c>
      <c r="V59" s="7" t="s">
        <v>34</v>
      </c>
      <c r="W59" s="19">
        <v>4605.2933995586654</v>
      </c>
      <c r="X59" s="21">
        <v>3513.199325032092</v>
      </c>
      <c r="Y59">
        <v>0</v>
      </c>
    </row>
    <row r="60" spans="1:25">
      <c r="A60" s="8">
        <v>58</v>
      </c>
      <c r="B60">
        <v>22</v>
      </c>
      <c r="C60" s="1">
        <v>533.22</v>
      </c>
      <c r="D60" s="2" t="str">
        <f>HYPERLINK("https://torgi.gov.ru/new/public/lots/lot/22000022080000000003_1/(lotInfo:info)", "22000022080000000003_1")</f>
        <v>22000022080000000003_1</v>
      </c>
      <c r="E60" t="s">
        <v>293</v>
      </c>
      <c r="F60" s="3" t="s">
        <v>289</v>
      </c>
      <c r="G60" t="s">
        <v>290</v>
      </c>
      <c r="H60" s="4">
        <v>803597.4</v>
      </c>
      <c r="I60" s="4">
        <v>1507.0653763924829</v>
      </c>
      <c r="J60" s="5" t="s">
        <v>2078</v>
      </c>
      <c r="K60" s="5">
        <v>7.73</v>
      </c>
      <c r="L60" s="4">
        <v>753.5</v>
      </c>
      <c r="M60">
        <v>195</v>
      </c>
      <c r="N60" t="s">
        <v>291</v>
      </c>
      <c r="O60">
        <v>2</v>
      </c>
      <c r="P60" s="6">
        <v>2100</v>
      </c>
      <c r="Q60" t="s">
        <v>31</v>
      </c>
      <c r="R60" t="s">
        <v>32</v>
      </c>
      <c r="S60" s="2" t="str">
        <f>HYPERLINK("https://yandex.ru/maps/?&amp;text=51.640116, 84.329213", "51.640116, 84.329213")</f>
        <v>51.640116, 84.329213</v>
      </c>
      <c r="T60" s="2" t="str">
        <f>HYPERLINK("D:\venv_torgi\env\cache\objs_in_district/51.640116_84.329213.json", "51.640116_84.329213.json")</f>
        <v>51.640116_84.329213.json</v>
      </c>
      <c r="U60" t="s">
        <v>294</v>
      </c>
      <c r="V60" s="7" t="s">
        <v>34</v>
      </c>
      <c r="W60" s="19">
        <v>4605.2933995586654</v>
      </c>
      <c r="X60" s="21">
        <v>3098.228023166183</v>
      </c>
      <c r="Y60">
        <v>0</v>
      </c>
    </row>
    <row r="61" spans="1:25">
      <c r="A61" s="8">
        <v>59</v>
      </c>
      <c r="B61">
        <v>22</v>
      </c>
      <c r="C61" s="1">
        <v>123.6</v>
      </c>
      <c r="D61" s="2" t="str">
        <f>HYPERLINK("https://torgi.gov.ru/new/public/lots/lot/22000098680000000005_1/(lotInfo:info)", "22000098680000000005_1")</f>
        <v>22000098680000000005_1</v>
      </c>
      <c r="E61" t="s">
        <v>295</v>
      </c>
      <c r="F61" s="3" t="s">
        <v>296</v>
      </c>
      <c r="G61" t="s">
        <v>297</v>
      </c>
      <c r="H61" s="4">
        <v>580650</v>
      </c>
      <c r="I61" s="4">
        <v>4697.8155339805826</v>
      </c>
      <c r="J61" s="5" t="s">
        <v>29</v>
      </c>
      <c r="K61" s="5">
        <v>19.02</v>
      </c>
      <c r="L61" s="4">
        <v>4697</v>
      </c>
      <c r="M61">
        <v>247</v>
      </c>
      <c r="N61" t="s">
        <v>298</v>
      </c>
      <c r="O61">
        <v>1</v>
      </c>
      <c r="P61" s="6">
        <v>1500</v>
      </c>
      <c r="Q61" t="s">
        <v>31</v>
      </c>
      <c r="R61" t="s">
        <v>32</v>
      </c>
      <c r="S61" s="2" t="str">
        <f>HYPERLINK("https://yandex.ru/maps/?&amp;text=51.954252, 85.813355", "51.954252, 85.813355")</f>
        <v>51.954252, 85.813355</v>
      </c>
      <c r="T61" s="2" t="str">
        <f>HYPERLINK("D:\venv_torgi\env\cache\objs_in_district/51.954252_85.813355.json", "51.954252_85.813355.json")</f>
        <v>51.954252_85.813355.json</v>
      </c>
      <c r="U61" t="s">
        <v>299</v>
      </c>
      <c r="V61" s="7" t="s">
        <v>34</v>
      </c>
      <c r="W61" s="19">
        <v>14930.943770233611</v>
      </c>
      <c r="X61" s="21">
        <v>10233.128236253029</v>
      </c>
      <c r="Y61">
        <v>0</v>
      </c>
    </row>
    <row r="62" spans="1:25">
      <c r="A62" s="8">
        <v>60</v>
      </c>
      <c r="B62">
        <v>22</v>
      </c>
      <c r="C62" s="1">
        <v>118.1</v>
      </c>
      <c r="D62" s="2" t="str">
        <f>HYPERLINK("https://torgi.gov.ru/new/public/lots/lot/21000016450000000002_1/(lotInfo:info)", "21000016450000000002_1")</f>
        <v>21000016450000000002_1</v>
      </c>
      <c r="E62" t="s">
        <v>300</v>
      </c>
      <c r="F62" s="3" t="s">
        <v>301</v>
      </c>
      <c r="G62" t="s">
        <v>302</v>
      </c>
      <c r="H62" s="4">
        <v>1095732</v>
      </c>
      <c r="I62" s="4">
        <v>9278.0016934801024</v>
      </c>
      <c r="J62" s="5" t="s">
        <v>29</v>
      </c>
      <c r="K62" s="5">
        <v>1.84</v>
      </c>
      <c r="L62" s="4">
        <v>618.53</v>
      </c>
      <c r="M62">
        <v>5036</v>
      </c>
      <c r="N62" t="s">
        <v>303</v>
      </c>
      <c r="O62">
        <v>15</v>
      </c>
      <c r="P62" s="6">
        <v>100</v>
      </c>
      <c r="Q62" t="s">
        <v>31</v>
      </c>
      <c r="R62" t="s">
        <v>32</v>
      </c>
      <c r="S62" s="2" t="str">
        <f>HYPERLINK("https://yandex.ru/maps/?&amp;text=51.523357, 81.22472", "51.523357, 81.22472")</f>
        <v>51.523357, 81.22472</v>
      </c>
      <c r="T62" s="2" t="str">
        <f>HYPERLINK("D:\venv_torgi\env\cache\objs_in_district/51.523357_81.22472.json", "51.523357_81.22472.json")</f>
        <v>51.523357_81.22472.json</v>
      </c>
      <c r="U62" t="s">
        <v>304</v>
      </c>
      <c r="V62" s="7" t="s">
        <v>34</v>
      </c>
      <c r="W62" s="19">
        <v>25005.921007216992</v>
      </c>
      <c r="X62" s="21">
        <v>15727.919313736889</v>
      </c>
      <c r="Y62">
        <v>0</v>
      </c>
    </row>
    <row r="63" spans="1:25">
      <c r="A63" s="8">
        <v>61</v>
      </c>
      <c r="B63">
        <v>22</v>
      </c>
      <c r="C63" s="1">
        <v>198.2</v>
      </c>
      <c r="D63" s="2" t="str">
        <f>HYPERLINK("https://torgi.gov.ru/new/public/lots/lot/21000015510000000006_1/(lotInfo:info)", "21000015510000000006_1")</f>
        <v>21000015510000000006_1</v>
      </c>
      <c r="E63" t="s">
        <v>305</v>
      </c>
      <c r="F63" s="3" t="s">
        <v>264</v>
      </c>
      <c r="G63" t="s">
        <v>306</v>
      </c>
      <c r="H63" s="4">
        <v>4880000</v>
      </c>
      <c r="I63" s="4">
        <v>24621.59434914228</v>
      </c>
      <c r="J63" s="5" t="s">
        <v>29</v>
      </c>
      <c r="K63" s="5">
        <v>5.92</v>
      </c>
      <c r="L63" s="4">
        <v>356.83</v>
      </c>
      <c r="M63">
        <v>4158</v>
      </c>
      <c r="N63" t="s">
        <v>307</v>
      </c>
      <c r="O63">
        <v>69</v>
      </c>
      <c r="P63" s="6">
        <v>200</v>
      </c>
      <c r="Q63" t="s">
        <v>31</v>
      </c>
      <c r="R63" t="s">
        <v>32</v>
      </c>
      <c r="S63" s="2" t="str">
        <f>HYPERLINK("https://yandex.ru/maps/?&amp;text=53.332577, 83.791214", "53.332577, 83.791214")</f>
        <v>53.332577, 83.791214</v>
      </c>
      <c r="T63" s="2" t="str">
        <f>HYPERLINK("D:\venv_torgi\env\cache\objs_in_district/53.332577_83.791214.json", "53.332577_83.791214.json")</f>
        <v>53.332577_83.791214.json</v>
      </c>
      <c r="U63" t="s">
        <v>308</v>
      </c>
      <c r="V63" s="7" t="s">
        <v>128</v>
      </c>
      <c r="W63" s="19">
        <v>19931.15122427437</v>
      </c>
      <c r="X63" s="20">
        <v>-4690.4431248679066</v>
      </c>
      <c r="Y63">
        <v>0</v>
      </c>
    </row>
    <row r="64" spans="1:25">
      <c r="A64" s="8">
        <v>62</v>
      </c>
      <c r="B64">
        <v>22</v>
      </c>
      <c r="C64" s="1">
        <v>121.7</v>
      </c>
      <c r="D64" s="2" t="str">
        <f>HYPERLINK("https://torgi.gov.ru/new/public/lots/lot/21000015510000000014_2/(lotInfo:info)", "21000015510000000014_2")</f>
        <v>21000015510000000014_2</v>
      </c>
      <c r="E64" t="s">
        <v>309</v>
      </c>
      <c r="F64" s="3" t="s">
        <v>310</v>
      </c>
      <c r="G64" t="s">
        <v>311</v>
      </c>
      <c r="H64" s="4">
        <v>4135000</v>
      </c>
      <c r="I64" s="4">
        <v>33976.992604765823</v>
      </c>
      <c r="J64" s="5" t="s">
        <v>29</v>
      </c>
      <c r="K64" s="5">
        <v>7.14</v>
      </c>
      <c r="L64" s="4">
        <v>2123.5</v>
      </c>
      <c r="M64">
        <v>4756</v>
      </c>
      <c r="N64" t="s">
        <v>307</v>
      </c>
      <c r="O64">
        <v>16</v>
      </c>
      <c r="Q64" t="s">
        <v>31</v>
      </c>
      <c r="R64" t="s">
        <v>32</v>
      </c>
      <c r="S64" s="2" t="str">
        <f>HYPERLINK("https://yandex.ru/maps/?&amp;text=53.344955, 83.70897", "53.344955, 83.70897")</f>
        <v>53.344955, 83.70897</v>
      </c>
      <c r="T64" s="2" t="str">
        <f>HYPERLINK("D:\venv_torgi\env\cache\objs_in_district/53.344955_83.70897.json", "53.344955_83.70897.json")</f>
        <v>53.344955_83.70897.json</v>
      </c>
      <c r="U64" t="s">
        <v>312</v>
      </c>
      <c r="V64" s="7" t="s">
        <v>34</v>
      </c>
      <c r="W64" s="19">
        <v>28791.780206219712</v>
      </c>
      <c r="X64" s="20">
        <v>-5185.2123985461112</v>
      </c>
      <c r="Y64">
        <v>0</v>
      </c>
    </row>
    <row r="65" spans="1:25">
      <c r="A65" s="8">
        <v>63</v>
      </c>
      <c r="B65">
        <v>23</v>
      </c>
      <c r="C65" s="1">
        <v>449.4</v>
      </c>
      <c r="D65" s="2" t="str">
        <f>HYPERLINK("https://torgi.gov.ru/new/public/lots/lot/22000010840000000002_1/(lotInfo:info)", "22000010840000000002_1")</f>
        <v>22000010840000000002_1</v>
      </c>
      <c r="E65" t="s">
        <v>313</v>
      </c>
      <c r="F65" s="3" t="s">
        <v>314</v>
      </c>
      <c r="G65" t="s">
        <v>315</v>
      </c>
      <c r="H65" s="4">
        <v>2037150</v>
      </c>
      <c r="I65" s="4">
        <v>4533.0440587449939</v>
      </c>
      <c r="J65" s="5" t="s">
        <v>29</v>
      </c>
      <c r="K65" s="5">
        <v>4.9800000000000004</v>
      </c>
      <c r="L65" s="4">
        <v>1511</v>
      </c>
      <c r="M65">
        <v>911</v>
      </c>
      <c r="N65" t="s">
        <v>316</v>
      </c>
      <c r="O65">
        <v>3</v>
      </c>
      <c r="P65" s="6">
        <v>100</v>
      </c>
      <c r="Q65" t="s">
        <v>31</v>
      </c>
      <c r="R65" t="s">
        <v>32</v>
      </c>
      <c r="S65" s="2" t="str">
        <f>HYPERLINK("https://yandex.ru/maps/?&amp;text=45.9165001, 40.1523854", "45.9165001, 40.1523854")</f>
        <v>45.9165001, 40.1523854</v>
      </c>
      <c r="T65" s="2" t="str">
        <f>HYPERLINK("D:\venv_torgi\env\cache\objs_in_district/45.9165001_40.1523854.json", "45.9165001_40.1523854.json")</f>
        <v>45.9165001_40.1523854.json</v>
      </c>
      <c r="U65" t="s">
        <v>317</v>
      </c>
      <c r="W65" s="19">
        <v>4605.2933995586654</v>
      </c>
      <c r="X65" s="19">
        <v>72.249340813671552</v>
      </c>
      <c r="Y65">
        <v>0</v>
      </c>
    </row>
    <row r="66" spans="1:25">
      <c r="A66" s="8">
        <v>64</v>
      </c>
      <c r="B66">
        <v>23</v>
      </c>
      <c r="C66" s="1">
        <v>96.3</v>
      </c>
      <c r="D66" s="2" t="str">
        <f>HYPERLINK("https://torgi.gov.ru/new/public/lots/lot/21000003580000000001_15/(lotInfo:info)", "21000003580000000001_15")</f>
        <v>21000003580000000001_15</v>
      </c>
      <c r="E66" t="s">
        <v>318</v>
      </c>
      <c r="F66" s="3" t="s">
        <v>319</v>
      </c>
      <c r="G66" t="s">
        <v>320</v>
      </c>
      <c r="H66" s="4">
        <v>1003000</v>
      </c>
      <c r="I66" s="4">
        <v>10415.368639667709</v>
      </c>
      <c r="J66" s="5" t="s">
        <v>29</v>
      </c>
      <c r="K66" s="5">
        <v>3.09</v>
      </c>
      <c r="L66" s="4">
        <v>801.15</v>
      </c>
      <c r="M66">
        <v>3375</v>
      </c>
      <c r="N66" t="s">
        <v>321</v>
      </c>
      <c r="O66">
        <v>13</v>
      </c>
      <c r="P66" s="6">
        <v>500</v>
      </c>
      <c r="Q66" t="s">
        <v>31</v>
      </c>
      <c r="R66" t="s">
        <v>32</v>
      </c>
      <c r="S66" s="2" t="str">
        <f>HYPERLINK("https://yandex.ru/maps/?&amp;text=44.992212, 41.105596", "44.992212, 41.105596")</f>
        <v>44.992212, 41.105596</v>
      </c>
      <c r="T66" s="2" t="str">
        <f>HYPERLINK("D:\venv_torgi\env\cache\objs_in_district/44.992212_41.105596.json", "44.992212_41.105596.json")</f>
        <v>44.992212_41.105596.json</v>
      </c>
      <c r="U66" t="s">
        <v>322</v>
      </c>
      <c r="W66" s="19">
        <v>14930.943770233611</v>
      </c>
      <c r="X66" s="21">
        <v>4515.5751305659032</v>
      </c>
      <c r="Y66">
        <v>0</v>
      </c>
    </row>
    <row r="67" spans="1:25">
      <c r="A67" s="8">
        <v>65</v>
      </c>
      <c r="B67">
        <v>23</v>
      </c>
      <c r="C67" s="1">
        <v>43.3</v>
      </c>
      <c r="D67" s="2" t="str">
        <f>HYPERLINK("https://torgi.gov.ru/new/public/lots/lot/21000024140000000001_1/(lotInfo:info)", "21000024140000000001_1")</f>
        <v>21000024140000000001_1</v>
      </c>
      <c r="E67" t="s">
        <v>323</v>
      </c>
      <c r="F67" s="3" t="s">
        <v>324</v>
      </c>
      <c r="G67" t="s">
        <v>325</v>
      </c>
      <c r="H67" s="4">
        <v>706667</v>
      </c>
      <c r="I67" s="4">
        <v>16320.254041570441</v>
      </c>
      <c r="J67" s="5" t="s">
        <v>29</v>
      </c>
      <c r="K67" s="5">
        <v>4.43</v>
      </c>
      <c r="L67" s="4">
        <v>680</v>
      </c>
      <c r="M67">
        <v>3687</v>
      </c>
      <c r="N67" t="s">
        <v>326</v>
      </c>
      <c r="O67">
        <v>24</v>
      </c>
      <c r="P67" s="6">
        <v>500</v>
      </c>
      <c r="Q67" t="s">
        <v>31</v>
      </c>
      <c r="R67" t="s">
        <v>32</v>
      </c>
      <c r="S67" s="2" t="str">
        <f>HYPERLINK("https://yandex.ru/maps/?&amp;text=45.099724, 41.049297", "45.099724, 41.049297")</f>
        <v>45.099724, 41.049297</v>
      </c>
      <c r="T67" s="2" t="str">
        <f>HYPERLINK("D:\venv_torgi\env\cache\objs_in_district/45.099724_41.049297.json", "45.099724_41.049297.json")</f>
        <v>45.099724_41.049297.json</v>
      </c>
      <c r="U67" t="s">
        <v>327</v>
      </c>
      <c r="V67" s="7" t="s">
        <v>34</v>
      </c>
      <c r="W67" s="19">
        <v>14930.943770233611</v>
      </c>
      <c r="X67" s="20">
        <v>-1389.310271336828</v>
      </c>
      <c r="Y67">
        <v>0</v>
      </c>
    </row>
    <row r="68" spans="1:25">
      <c r="A68" s="8">
        <v>66</v>
      </c>
      <c r="B68">
        <v>23</v>
      </c>
      <c r="C68" s="1">
        <v>228.3</v>
      </c>
      <c r="D68" s="2" t="str">
        <f>HYPERLINK("https://torgi.gov.ru/new/public/lots/lot/22000097040000000001_1/(lotInfo:info)", "22000097040000000001_1")</f>
        <v>22000097040000000001_1</v>
      </c>
      <c r="E68" t="s">
        <v>328</v>
      </c>
      <c r="F68" s="3" t="s">
        <v>329</v>
      </c>
      <c r="G68" t="s">
        <v>330</v>
      </c>
      <c r="H68" s="4">
        <v>4523000</v>
      </c>
      <c r="I68" s="4">
        <v>19811.651335961451</v>
      </c>
      <c r="J68" s="5" t="s">
        <v>29</v>
      </c>
      <c r="K68" s="5">
        <v>23.5</v>
      </c>
      <c r="L68" s="4">
        <v>2201.2199999999998</v>
      </c>
      <c r="M68">
        <v>843</v>
      </c>
      <c r="N68" t="s">
        <v>331</v>
      </c>
      <c r="O68">
        <v>9</v>
      </c>
      <c r="P68" s="6">
        <v>1500</v>
      </c>
      <c r="Q68" t="s">
        <v>31</v>
      </c>
      <c r="R68" t="s">
        <v>32</v>
      </c>
      <c r="S68" s="2" t="str">
        <f>HYPERLINK("https://yandex.ru/maps/?&amp;text=44.32913, 38.699252", "44.32913, 38.699252")</f>
        <v>44.32913, 38.699252</v>
      </c>
      <c r="T68" s="2" t="str">
        <f>HYPERLINK("D:\venv_torgi\env\cache\objs_in_district/44.32913_38.699252.json", "44.32913_38.699252.json")</f>
        <v>44.32913_38.699252.json</v>
      </c>
      <c r="U68" t="s">
        <v>332</v>
      </c>
      <c r="W68" s="19">
        <v>10661.45189182739</v>
      </c>
      <c r="X68" s="20">
        <v>-9150.1994441340576</v>
      </c>
      <c r="Y68">
        <v>0</v>
      </c>
    </row>
    <row r="69" spans="1:25">
      <c r="A69" s="8">
        <v>67</v>
      </c>
      <c r="B69">
        <v>23</v>
      </c>
      <c r="C69" s="1">
        <v>119.6</v>
      </c>
      <c r="D69" s="2" t="str">
        <f>HYPERLINK("https://torgi.gov.ru/new/public/lots/lot/22000007100000000022_1/(lotInfo:info)", "22000007100000000022_1")</f>
        <v>22000007100000000022_1</v>
      </c>
      <c r="E69" t="s">
        <v>333</v>
      </c>
      <c r="F69" s="3" t="s">
        <v>334</v>
      </c>
      <c r="G69" t="s">
        <v>335</v>
      </c>
      <c r="H69" s="4">
        <v>6351405</v>
      </c>
      <c r="I69" s="4">
        <v>53105.392976588628</v>
      </c>
      <c r="J69" s="5" t="s">
        <v>29</v>
      </c>
      <c r="K69" s="5">
        <v>4.08</v>
      </c>
      <c r="L69" s="4">
        <v>4085</v>
      </c>
      <c r="M69">
        <v>13018</v>
      </c>
      <c r="N69" t="s">
        <v>336</v>
      </c>
      <c r="O69">
        <v>13</v>
      </c>
      <c r="P69" s="6">
        <v>700</v>
      </c>
      <c r="Q69" t="s">
        <v>31</v>
      </c>
      <c r="R69" t="s">
        <v>32</v>
      </c>
      <c r="S69" s="2" t="str">
        <f>HYPERLINK("https://yandex.ru/maps/?&amp;text=43.62209, 39.726902", "43.62209, 39.726902")</f>
        <v>43.62209, 39.726902</v>
      </c>
      <c r="T69" s="2" t="str">
        <f>HYPERLINK("D:\venv_torgi\env\cache\objs_in_district/43.62209_39.726902.json", "43.62209_39.726902.json")</f>
        <v>43.62209_39.726902.json</v>
      </c>
      <c r="U69" t="s">
        <v>337</v>
      </c>
      <c r="V69" s="7" t="s">
        <v>39</v>
      </c>
      <c r="W69" s="19">
        <v>28791.780206219712</v>
      </c>
      <c r="X69" s="20">
        <v>-24313.61277036892</v>
      </c>
      <c r="Y69">
        <v>1</v>
      </c>
    </row>
    <row r="70" spans="1:25">
      <c r="A70" s="8">
        <v>68</v>
      </c>
      <c r="B70">
        <v>24</v>
      </c>
      <c r="C70" s="1">
        <v>360</v>
      </c>
      <c r="D70" s="2" t="str">
        <f>HYPERLINK("https://torgi.gov.ru/new/public/lots/lot/22000025720000000001_1/(lotInfo:info)", "22000025720000000001_1")</f>
        <v>22000025720000000001_1</v>
      </c>
      <c r="E70" t="s">
        <v>338</v>
      </c>
      <c r="F70" s="3" t="s">
        <v>339</v>
      </c>
      <c r="G70" t="s">
        <v>340</v>
      </c>
      <c r="H70" s="4">
        <v>690000</v>
      </c>
      <c r="I70" s="4">
        <v>1916.666666666667</v>
      </c>
      <c r="J70" s="5" t="s">
        <v>2078</v>
      </c>
      <c r="K70" s="10">
        <v>7.61</v>
      </c>
      <c r="L70" s="11"/>
      <c r="M70">
        <v>421</v>
      </c>
      <c r="N70" t="s">
        <v>341</v>
      </c>
      <c r="O70" t="s">
        <v>39</v>
      </c>
      <c r="P70" s="6">
        <v>1500</v>
      </c>
      <c r="Q70" t="s">
        <v>31</v>
      </c>
      <c r="R70" t="s">
        <v>32</v>
      </c>
      <c r="S70" s="2" t="str">
        <f>HYPERLINK("https://yandex.ru/maps/?&amp;text=57.449722, 97.310407", "57.449722, 97.310407")</f>
        <v>57.449722, 97.310407</v>
      </c>
      <c r="T70" s="12" t="str">
        <f>HYPERLINK("D:\venv_torgi\env\cache\objs_in_district/57.449722_97.310407.json", "57.449722_97.310407.json")</f>
        <v>57.449722_97.310407.json</v>
      </c>
      <c r="U70" t="s">
        <v>342</v>
      </c>
      <c r="V70" s="7" t="s">
        <v>34</v>
      </c>
      <c r="W70" s="19">
        <v>4605.2933995586654</v>
      </c>
      <c r="X70" s="21">
        <v>2688.626732891998</v>
      </c>
      <c r="Y70">
        <v>0</v>
      </c>
    </row>
    <row r="71" spans="1:25">
      <c r="A71" s="8">
        <v>69</v>
      </c>
      <c r="B71">
        <v>24</v>
      </c>
      <c r="C71" s="1">
        <v>1392</v>
      </c>
      <c r="D71" s="2" t="str">
        <f>HYPERLINK("https://torgi.gov.ru/new/public/lots/lot/22000024070000000006_5/(lotInfo:info)", "22000024070000000006_5")</f>
        <v>22000024070000000006_5</v>
      </c>
      <c r="E71" t="s">
        <v>343</v>
      </c>
      <c r="F71" s="3" t="s">
        <v>344</v>
      </c>
      <c r="G71" t="s">
        <v>345</v>
      </c>
      <c r="H71" s="4">
        <v>3748482</v>
      </c>
      <c r="I71" s="4">
        <v>2692.875</v>
      </c>
      <c r="J71" s="5" t="s">
        <v>2081</v>
      </c>
      <c r="K71" s="5">
        <v>1.02</v>
      </c>
      <c r="L71" s="4">
        <v>897.33</v>
      </c>
      <c r="M71">
        <v>2646</v>
      </c>
      <c r="N71" t="s">
        <v>346</v>
      </c>
      <c r="O71">
        <v>3</v>
      </c>
      <c r="P71" s="6">
        <v>1000</v>
      </c>
      <c r="Q71" t="s">
        <v>40</v>
      </c>
      <c r="R71" t="s">
        <v>32</v>
      </c>
      <c r="S71" s="2" t="str">
        <f>HYPERLINK("https://yandex.ru/maps/?&amp;text=56.262582, 90.48181", "56.262582, 90.48181")</f>
        <v>56.262582, 90.48181</v>
      </c>
      <c r="T71" s="2" t="str">
        <f>HYPERLINK("D:\venv_torgi\env\cache\objs_in_district/56.262582_90.48181.json", "56.262582_90.48181.json")</f>
        <v>56.262582_90.48181.json</v>
      </c>
      <c r="U71" t="s">
        <v>347</v>
      </c>
      <c r="V71" s="7" t="s">
        <v>34</v>
      </c>
      <c r="W71" s="19">
        <v>4605.2933995586654</v>
      </c>
      <c r="X71" s="21">
        <v>1912.418399558665</v>
      </c>
      <c r="Y71">
        <v>0</v>
      </c>
    </row>
    <row r="72" spans="1:25">
      <c r="A72" s="8">
        <v>70</v>
      </c>
      <c r="B72">
        <v>24</v>
      </c>
      <c r="C72" s="1">
        <v>506.8</v>
      </c>
      <c r="D72" s="2" t="str">
        <f>HYPERLINK("https://torgi.gov.ru/new/public/lots/lot/22000034760000000117_1/(lotInfo:info)", "22000034760000000117_1")</f>
        <v>22000034760000000117_1</v>
      </c>
      <c r="E72" t="s">
        <v>348</v>
      </c>
      <c r="F72" s="3" t="s">
        <v>168</v>
      </c>
      <c r="G72" t="s">
        <v>349</v>
      </c>
      <c r="H72" s="4">
        <v>4900000</v>
      </c>
      <c r="I72" s="4">
        <v>9668.5082872928178</v>
      </c>
      <c r="J72" s="5" t="s">
        <v>29</v>
      </c>
      <c r="K72" s="5">
        <v>4.0599999999999996</v>
      </c>
      <c r="L72" s="4">
        <v>1933.6</v>
      </c>
      <c r="M72">
        <v>2383</v>
      </c>
      <c r="N72" t="s">
        <v>350</v>
      </c>
      <c r="O72">
        <v>5</v>
      </c>
      <c r="P72" s="6">
        <v>100</v>
      </c>
      <c r="Q72" t="s">
        <v>31</v>
      </c>
      <c r="R72" t="s">
        <v>32</v>
      </c>
      <c r="S72" s="2" t="str">
        <f>HYPERLINK("https://yandex.ru/maps/?&amp;text=56.046383, 92.773331", "56.046383, 92.773331")</f>
        <v>56.046383, 92.773331</v>
      </c>
      <c r="T72" s="2" t="str">
        <f>HYPERLINK("D:\venv_torgi\env\cache\objs_in_district/56.046383_92.773331.json", "56.046383_92.773331.json")</f>
        <v>56.046383_92.773331.json</v>
      </c>
      <c r="U72" t="s">
        <v>351</v>
      </c>
      <c r="W72" s="19">
        <v>4605.2933995586654</v>
      </c>
      <c r="X72" s="20">
        <v>-5063.2148877341524</v>
      </c>
      <c r="Y72">
        <v>0</v>
      </c>
    </row>
    <row r="73" spans="1:25">
      <c r="A73" s="8">
        <v>71</v>
      </c>
      <c r="B73">
        <v>24</v>
      </c>
      <c r="C73" s="1">
        <v>178.9</v>
      </c>
      <c r="D73" s="2" t="str">
        <f>HYPERLINK("https://torgi.gov.ru/new/public/lots/lot/21000014890000000002_1/(lotInfo:info)", "21000014890000000002_1")</f>
        <v>21000014890000000002_1</v>
      </c>
      <c r="E73" t="s">
        <v>352</v>
      </c>
      <c r="F73" s="3" t="s">
        <v>353</v>
      </c>
      <c r="G73" t="s">
        <v>354</v>
      </c>
      <c r="H73" s="4">
        <v>3266000</v>
      </c>
      <c r="I73" s="4">
        <v>18256.008943543879</v>
      </c>
      <c r="J73" s="5" t="s">
        <v>29</v>
      </c>
      <c r="K73" s="5">
        <v>4</v>
      </c>
      <c r="L73" s="4">
        <v>3651.2</v>
      </c>
      <c r="M73">
        <v>4559</v>
      </c>
      <c r="N73" t="s">
        <v>350</v>
      </c>
      <c r="O73">
        <v>5</v>
      </c>
      <c r="P73" s="6">
        <v>300</v>
      </c>
      <c r="Q73" t="s">
        <v>31</v>
      </c>
      <c r="R73" t="s">
        <v>32</v>
      </c>
      <c r="S73" s="2" t="str">
        <f>HYPERLINK("https://yandex.ru/maps/?&amp;text=55.999943, 93.01335", "55.999943, 93.01335")</f>
        <v>55.999943, 93.01335</v>
      </c>
      <c r="T73" s="2" t="str">
        <f>HYPERLINK("D:\venv_torgi\env\cache\objs_in_district/55.999943_93.01335.json", "55.999943_93.01335.json")</f>
        <v>55.999943_93.01335.json</v>
      </c>
      <c r="U73" t="s">
        <v>355</v>
      </c>
      <c r="V73" s="7" t="s">
        <v>34</v>
      </c>
      <c r="W73" s="19">
        <v>10661.45189182739</v>
      </c>
      <c r="X73" s="20">
        <v>-7594.5570517164851</v>
      </c>
      <c r="Y73">
        <v>1</v>
      </c>
    </row>
    <row r="74" spans="1:25">
      <c r="A74" s="8">
        <v>72</v>
      </c>
      <c r="B74">
        <v>24</v>
      </c>
      <c r="C74" s="1">
        <v>164.4</v>
      </c>
      <c r="D74" s="2" t="str">
        <f>HYPERLINK("https://torgi.gov.ru/new/public/lots/lot/22000004950000000002_2/(lotInfo:info)", "22000004950000000002_2")</f>
        <v>22000004950000000002_2</v>
      </c>
      <c r="E74" t="s">
        <v>356</v>
      </c>
      <c r="F74" s="3" t="s">
        <v>357</v>
      </c>
      <c r="G74" t="s">
        <v>358</v>
      </c>
      <c r="H74" s="4">
        <v>4057490.3</v>
      </c>
      <c r="I74" s="4">
        <v>24680.597931873479</v>
      </c>
      <c r="J74" s="5" t="s">
        <v>2078</v>
      </c>
      <c r="K74" s="5">
        <v>105.02</v>
      </c>
      <c r="L74" s="4">
        <v>24680</v>
      </c>
      <c r="M74">
        <v>235</v>
      </c>
      <c r="N74" t="s">
        <v>350</v>
      </c>
      <c r="O74">
        <v>1</v>
      </c>
      <c r="P74" s="6">
        <v>1400</v>
      </c>
      <c r="Q74" t="s">
        <v>31</v>
      </c>
      <c r="R74" t="s">
        <v>32</v>
      </c>
      <c r="S74" s="2" t="str">
        <f>HYPERLINK("https://yandex.ru/maps/?&amp;text=56.053432, 92.86393", "56.053432, 92.86393")</f>
        <v>56.053432, 92.86393</v>
      </c>
      <c r="T74" s="2" t="str">
        <f>HYPERLINK("D:\venv_torgi\env\cache\objs_in_district/56.053432_92.86393.json", "56.053432_92.86393.json")</f>
        <v>56.053432_92.86393.json</v>
      </c>
      <c r="U74" t="s">
        <v>359</v>
      </c>
      <c r="W74" s="19">
        <v>28791.780206219712</v>
      </c>
      <c r="X74" s="21">
        <v>4111.1822743462326</v>
      </c>
      <c r="Y74">
        <v>0</v>
      </c>
    </row>
    <row r="75" spans="1:25">
      <c r="A75" s="8">
        <v>73</v>
      </c>
      <c r="B75">
        <v>24</v>
      </c>
      <c r="C75" s="1">
        <v>21.1</v>
      </c>
      <c r="D75" s="2" t="str">
        <f>HYPERLINK("https://torgi.gov.ru/new/public/lots/lot/22000004950000000002_1/(lotInfo:info)", "22000004950000000002_1")</f>
        <v>22000004950000000002_1</v>
      </c>
      <c r="E75" t="s">
        <v>360</v>
      </c>
      <c r="F75" s="3" t="s">
        <v>357</v>
      </c>
      <c r="G75" t="s">
        <v>361</v>
      </c>
      <c r="H75" s="4">
        <v>606452.15</v>
      </c>
      <c r="I75" s="4">
        <v>28741.80805687204</v>
      </c>
      <c r="J75" s="5" t="s">
        <v>2078</v>
      </c>
      <c r="K75" s="5">
        <v>9.69</v>
      </c>
      <c r="L75" s="4">
        <v>5748.2</v>
      </c>
      <c r="M75">
        <v>2967</v>
      </c>
      <c r="N75" t="s">
        <v>350</v>
      </c>
      <c r="O75">
        <v>5</v>
      </c>
      <c r="P75" s="6">
        <v>600</v>
      </c>
      <c r="Q75" t="s">
        <v>31</v>
      </c>
      <c r="R75" t="s">
        <v>32</v>
      </c>
      <c r="S75" s="2" t="str">
        <f>HYPERLINK("https://yandex.ru/maps/?&amp;text=56.0197094, 92.8602308", "56.0197094, 92.8602308")</f>
        <v>56.0197094, 92.8602308</v>
      </c>
      <c r="T75" s="2" t="str">
        <f>HYPERLINK("D:\venv_torgi\env\cache\objs_in_district/56.0197094_92.8602308.json", "56.0197094_92.8602308.json")</f>
        <v>56.0197094_92.8602308.json</v>
      </c>
      <c r="U75" t="s">
        <v>362</v>
      </c>
      <c r="W75" s="19">
        <v>28791.780206219712</v>
      </c>
      <c r="X75" s="19">
        <v>49.972149347671802</v>
      </c>
      <c r="Y75">
        <v>0</v>
      </c>
    </row>
    <row r="76" spans="1:25">
      <c r="A76" s="8">
        <v>74</v>
      </c>
      <c r="B76">
        <v>24</v>
      </c>
      <c r="C76" s="1">
        <v>35.200000000000003</v>
      </c>
      <c r="D76" s="2" t="str">
        <f>HYPERLINK("https://torgi.gov.ru/new/public/lots/lot/21000014890000000011_1/(lotInfo:info)", "21000014890000000011_1")</f>
        <v>21000014890000000011_1</v>
      </c>
      <c r="E76" t="s">
        <v>363</v>
      </c>
      <c r="F76" s="3" t="s">
        <v>364</v>
      </c>
      <c r="G76" t="s">
        <v>365</v>
      </c>
      <c r="H76" s="4">
        <v>1044000</v>
      </c>
      <c r="I76" s="4">
        <v>29659.090909090912</v>
      </c>
      <c r="J76" s="5" t="s">
        <v>29</v>
      </c>
      <c r="K76" s="5">
        <v>6.01</v>
      </c>
      <c r="L76" s="4">
        <v>7414.75</v>
      </c>
      <c r="M76">
        <v>4937</v>
      </c>
      <c r="N76" t="s">
        <v>350</v>
      </c>
      <c r="O76">
        <v>4</v>
      </c>
      <c r="P76" s="6">
        <v>1200</v>
      </c>
      <c r="Q76" t="s">
        <v>31</v>
      </c>
      <c r="R76" t="s">
        <v>32</v>
      </c>
      <c r="S76" s="2" t="str">
        <f>HYPERLINK("https://yandex.ru/maps/?&amp;text=55.976074, 92.886795", "55.976074, 92.886795")</f>
        <v>55.976074, 92.886795</v>
      </c>
      <c r="T76" s="2" t="str">
        <f>HYPERLINK("D:\venv_torgi\env\cache\objs_in_district/55.976074_92.886795.json", "55.976074_92.886795.json")</f>
        <v>55.976074_92.886795.json</v>
      </c>
      <c r="U76" t="s">
        <v>366</v>
      </c>
      <c r="V76" s="7" t="s">
        <v>34</v>
      </c>
      <c r="W76" s="19">
        <v>28791.780206219712</v>
      </c>
      <c r="X76" s="20">
        <v>-867.31070287120019</v>
      </c>
      <c r="Y76">
        <v>0</v>
      </c>
    </row>
    <row r="77" spans="1:25">
      <c r="A77" s="8">
        <v>75</v>
      </c>
      <c r="B77">
        <v>24</v>
      </c>
      <c r="C77" s="1">
        <v>14.4</v>
      </c>
      <c r="D77" s="2" t="str">
        <f>HYPERLINK("https://torgi.gov.ru/new/public/lots/lot/21000014890000000009_1/(lotInfo:info)", "21000014890000000009_1")</f>
        <v>21000014890000000009_1</v>
      </c>
      <c r="E77" t="s">
        <v>367</v>
      </c>
      <c r="F77" s="3" t="s">
        <v>368</v>
      </c>
      <c r="G77" t="s">
        <v>369</v>
      </c>
      <c r="H77" s="4">
        <v>526800</v>
      </c>
      <c r="I77" s="4">
        <v>36583.333333333343</v>
      </c>
      <c r="J77" s="5" t="s">
        <v>29</v>
      </c>
      <c r="K77" s="5">
        <v>4.8</v>
      </c>
      <c r="L77" s="4">
        <v>1180.0999999999999</v>
      </c>
      <c r="M77">
        <v>7614</v>
      </c>
      <c r="N77" t="s">
        <v>350</v>
      </c>
      <c r="O77">
        <v>31</v>
      </c>
      <c r="P77" s="6">
        <v>200</v>
      </c>
      <c r="Q77" t="s">
        <v>31</v>
      </c>
      <c r="R77" t="s">
        <v>32</v>
      </c>
      <c r="S77" s="2" t="str">
        <f>HYPERLINK("https://yandex.ru/maps/?&amp;text=56.066957, 92.93227", "56.066957, 92.93227")</f>
        <v>56.066957, 92.93227</v>
      </c>
      <c r="T77" s="2" t="str">
        <f>HYPERLINK("D:\venv_torgi\env\cache\objs_in_district/56.066957_92.93227.json", "56.066957_92.93227.json")</f>
        <v>56.066957_92.93227.json</v>
      </c>
      <c r="U77" t="s">
        <v>370</v>
      </c>
      <c r="V77" s="7" t="s">
        <v>34</v>
      </c>
      <c r="W77" s="19">
        <v>46084.220656344281</v>
      </c>
      <c r="X77" s="21">
        <v>9500.8873230109384</v>
      </c>
      <c r="Y77">
        <v>0</v>
      </c>
    </row>
    <row r="78" spans="1:25">
      <c r="A78" s="8">
        <v>76</v>
      </c>
      <c r="B78">
        <v>24</v>
      </c>
      <c r="C78" s="1">
        <v>10.4</v>
      </c>
      <c r="D78" s="2" t="str">
        <f>HYPERLINK("https://torgi.gov.ru/new/public/lots/lot/21000014890000000014_1/(lotInfo:info)", "21000014890000000014_1")</f>
        <v>21000014890000000014_1</v>
      </c>
      <c r="E78" t="s">
        <v>371</v>
      </c>
      <c r="F78" s="3" t="s">
        <v>364</v>
      </c>
      <c r="G78" t="s">
        <v>372</v>
      </c>
      <c r="H78" s="4">
        <v>1256750</v>
      </c>
      <c r="I78" s="4">
        <v>120841.3461538462</v>
      </c>
      <c r="J78" s="5" t="s">
        <v>29</v>
      </c>
      <c r="K78" s="5">
        <v>11.08</v>
      </c>
      <c r="L78" s="4">
        <v>3180.03</v>
      </c>
      <c r="M78">
        <v>10908</v>
      </c>
      <c r="N78" t="s">
        <v>350</v>
      </c>
      <c r="O78">
        <v>38</v>
      </c>
      <c r="P78" s="6">
        <v>300</v>
      </c>
      <c r="Q78" t="s">
        <v>31</v>
      </c>
      <c r="R78" t="s">
        <v>32</v>
      </c>
      <c r="S78" s="2" t="str">
        <f>HYPERLINK("https://yandex.ru/maps/?&amp;text=56.034843, 92.919092", "56.034843, 92.919092")</f>
        <v>56.034843, 92.919092</v>
      </c>
      <c r="T78" s="2" t="str">
        <f>HYPERLINK("D:\venv_torgi\env\cache\objs_in_district/56.034843_92.919092.json", "56.034843_92.919092.json")</f>
        <v>56.034843_92.919092.json</v>
      </c>
      <c r="U78" t="s">
        <v>373</v>
      </c>
      <c r="V78" s="7" t="s">
        <v>34</v>
      </c>
      <c r="W78" s="19">
        <v>46084.220656344281</v>
      </c>
      <c r="X78" s="20">
        <v>-74757.125497501926</v>
      </c>
      <c r="Y78">
        <v>1</v>
      </c>
    </row>
    <row r="79" spans="1:25">
      <c r="A79" s="8">
        <v>77</v>
      </c>
      <c r="B79">
        <v>25</v>
      </c>
      <c r="C79" s="1">
        <v>52.6</v>
      </c>
      <c r="D79" s="2" t="str">
        <f>HYPERLINK("https://torgi.gov.ru/new/public/lots/lot/22000033790000000004_1/(lotInfo:info)", "22000033790000000004_1")</f>
        <v>22000033790000000004_1</v>
      </c>
      <c r="E79" t="s">
        <v>374</v>
      </c>
      <c r="F79" s="3" t="s">
        <v>375</v>
      </c>
      <c r="G79" t="s">
        <v>376</v>
      </c>
      <c r="H79" s="4">
        <v>821803.99</v>
      </c>
      <c r="I79" s="4">
        <v>15623.65</v>
      </c>
      <c r="J79" s="5" t="s">
        <v>29</v>
      </c>
      <c r="K79" s="5">
        <v>5.0999999999999996</v>
      </c>
      <c r="L79" s="4">
        <v>743.95</v>
      </c>
      <c r="M79">
        <v>3066</v>
      </c>
      <c r="N79" t="s">
        <v>377</v>
      </c>
      <c r="O79">
        <v>21</v>
      </c>
      <c r="Q79" t="s">
        <v>31</v>
      </c>
      <c r="R79" t="s">
        <v>32</v>
      </c>
      <c r="S79" s="2" t="str">
        <f>HYPERLINK("https://yandex.ru/maps/?&amp;text=44.742153, 132.04353", "44.742153, 132.04353")</f>
        <v>44.742153, 132.04353</v>
      </c>
      <c r="T79" s="2" t="str">
        <f>HYPERLINK("D:\venv_torgi\env\cache\objs_in_district/44.742153_132.04353.json", "44.742153_132.04353.json")</f>
        <v>44.742153_132.04353.json</v>
      </c>
      <c r="U79" t="s">
        <v>378</v>
      </c>
      <c r="W79" s="19">
        <v>25005.921007216992</v>
      </c>
      <c r="X79" s="21">
        <v>9382.2710072169921</v>
      </c>
      <c r="Y79">
        <v>0</v>
      </c>
    </row>
    <row r="80" spans="1:25">
      <c r="A80" s="8">
        <v>78</v>
      </c>
      <c r="B80">
        <v>25</v>
      </c>
      <c r="C80" s="1">
        <v>18.5</v>
      </c>
      <c r="D80" s="2" t="str">
        <f>HYPERLINK("https://torgi.gov.ru/new/public/lots/lot/22000104060000000019_4/(lotInfo:info)", "22000104060000000019_4")</f>
        <v>22000104060000000019_4</v>
      </c>
      <c r="E80" t="s">
        <v>379</v>
      </c>
      <c r="F80" s="3" t="s">
        <v>380</v>
      </c>
      <c r="G80" t="s">
        <v>381</v>
      </c>
      <c r="H80" s="4">
        <v>542690</v>
      </c>
      <c r="I80" s="4">
        <v>29334.59459459459</v>
      </c>
      <c r="J80" s="5" t="s">
        <v>2082</v>
      </c>
      <c r="K80" s="5">
        <v>2.3199999999999998</v>
      </c>
      <c r="L80" s="4">
        <v>480.89</v>
      </c>
      <c r="M80">
        <v>12667</v>
      </c>
      <c r="N80" t="s">
        <v>382</v>
      </c>
      <c r="O80">
        <v>61</v>
      </c>
      <c r="P80" s="6">
        <v>100</v>
      </c>
      <c r="Q80" t="s">
        <v>31</v>
      </c>
      <c r="R80" t="s">
        <v>51</v>
      </c>
      <c r="S80" s="2" t="str">
        <f>HYPERLINK("https://yandex.ru/maps/?&amp;text=43.158554, 131.92978", "43.158554, 131.92978")</f>
        <v>43.158554, 131.92978</v>
      </c>
      <c r="T80" s="2" t="str">
        <f>HYPERLINK("D:\venv_torgi\env\cache\objs_in_district/43.158554_131.92978.json", "43.158554_131.92978.json")</f>
        <v>43.158554_131.92978.json</v>
      </c>
      <c r="U80" t="s">
        <v>383</v>
      </c>
      <c r="V80" s="7" t="s">
        <v>34</v>
      </c>
      <c r="W80" s="19">
        <v>28791.780206219712</v>
      </c>
      <c r="X80" s="20">
        <v>-542.81438837487804</v>
      </c>
      <c r="Y80">
        <v>0</v>
      </c>
    </row>
    <row r="81" spans="1:25">
      <c r="A81" s="8">
        <v>79</v>
      </c>
      <c r="B81">
        <v>26</v>
      </c>
      <c r="C81" s="1">
        <v>169.9</v>
      </c>
      <c r="D81" s="2" t="str">
        <f>HYPERLINK("https://torgi.gov.ru/new/public/lots/lot/21000004820000000001_5/(lotInfo:info)", "21000004820000000001_5")</f>
        <v>21000004820000000001_5</v>
      </c>
      <c r="E81" t="s">
        <v>384</v>
      </c>
      <c r="F81" s="3" t="s">
        <v>385</v>
      </c>
      <c r="G81" t="s">
        <v>386</v>
      </c>
      <c r="H81" s="4">
        <v>1219000</v>
      </c>
      <c r="I81" s="4">
        <v>7174.8087110064744</v>
      </c>
      <c r="J81" s="5" t="s">
        <v>29</v>
      </c>
      <c r="K81" s="5">
        <v>1.9</v>
      </c>
      <c r="L81" s="4">
        <v>2391.33</v>
      </c>
      <c r="M81">
        <v>3767</v>
      </c>
      <c r="N81" t="s">
        <v>387</v>
      </c>
      <c r="O81">
        <v>3</v>
      </c>
      <c r="P81" s="6">
        <v>3300</v>
      </c>
      <c r="Q81" t="s">
        <v>31</v>
      </c>
      <c r="R81" t="s">
        <v>32</v>
      </c>
      <c r="S81" s="2" t="str">
        <f>HYPERLINK("https://yandex.ru/maps/?&amp;text=44.052618, 42.983919", "44.052618, 42.983919")</f>
        <v>44.052618, 42.983919</v>
      </c>
      <c r="T81" s="2" t="str">
        <f>HYPERLINK("D:\venv_torgi\env\cache\objs_in_district/44.052618_42.983919.json", "44.052618_42.983919.json")</f>
        <v>44.052618_42.983919.json</v>
      </c>
      <c r="U81" t="s">
        <v>388</v>
      </c>
      <c r="V81" s="7" t="s">
        <v>34</v>
      </c>
      <c r="W81" s="19">
        <v>10661.45189182739</v>
      </c>
      <c r="X81" s="21">
        <v>3486.643180820919</v>
      </c>
      <c r="Y81">
        <v>0</v>
      </c>
    </row>
    <row r="82" spans="1:25">
      <c r="A82" s="8">
        <v>80</v>
      </c>
      <c r="B82">
        <v>26</v>
      </c>
      <c r="C82" s="1">
        <v>311.89999999999998</v>
      </c>
      <c r="D82" s="2" t="str">
        <f>HYPERLINK("https://torgi.gov.ru/new/public/lots/lot/21000003150000000001_4/(lotInfo:info)", "21000003150000000001_4")</f>
        <v>21000003150000000001_4</v>
      </c>
      <c r="E82" t="s">
        <v>389</v>
      </c>
      <c r="F82" s="3" t="s">
        <v>390</v>
      </c>
      <c r="G82" t="s">
        <v>391</v>
      </c>
      <c r="H82" s="4">
        <v>3329760.19</v>
      </c>
      <c r="I82" s="4">
        <v>10675.73000961847</v>
      </c>
      <c r="J82" s="5" t="s">
        <v>29</v>
      </c>
      <c r="K82" s="5">
        <v>3.8</v>
      </c>
      <c r="L82" s="4">
        <v>313.97000000000003</v>
      </c>
      <c r="M82">
        <v>2808</v>
      </c>
      <c r="N82" t="s">
        <v>392</v>
      </c>
      <c r="O82">
        <v>34</v>
      </c>
      <c r="P82" s="6">
        <v>500</v>
      </c>
      <c r="Q82" t="s">
        <v>40</v>
      </c>
      <c r="R82" t="s">
        <v>32</v>
      </c>
      <c r="S82" s="2" t="str">
        <f>HYPERLINK("https://yandex.ru/maps/?&amp;text=44.64261, 41.941593", "44.64261, 41.941593")</f>
        <v>44.64261, 41.941593</v>
      </c>
      <c r="T82" s="2" t="str">
        <f>HYPERLINK("D:\venv_torgi\env\cache\objs_in_district/44.64261_41.941593.json", "44.64261_41.941593.json")</f>
        <v>44.64261_41.941593.json</v>
      </c>
      <c r="U82" t="s">
        <v>393</v>
      </c>
      <c r="V82" s="7" t="s">
        <v>128</v>
      </c>
      <c r="W82" s="19">
        <v>7354.489883546642</v>
      </c>
      <c r="X82" s="20">
        <v>-3321.2401260718279</v>
      </c>
      <c r="Y82">
        <v>0</v>
      </c>
    </row>
    <row r="83" spans="1:25">
      <c r="A83" s="8">
        <v>81</v>
      </c>
      <c r="B83">
        <v>26</v>
      </c>
      <c r="C83" s="1">
        <v>104.8</v>
      </c>
      <c r="D83" s="2" t="str">
        <f>HYPERLINK("https://torgi.gov.ru/new/public/lots/lot/21000011380000000001_1/(lotInfo:info)", "21000011380000000001_1")</f>
        <v>21000011380000000001_1</v>
      </c>
      <c r="E83" t="s">
        <v>394</v>
      </c>
      <c r="F83" s="3" t="s">
        <v>395</v>
      </c>
      <c r="G83" t="s">
        <v>396</v>
      </c>
      <c r="H83" s="4">
        <v>1512000</v>
      </c>
      <c r="I83" s="4">
        <v>14427.48091603053</v>
      </c>
      <c r="J83" s="5" t="s">
        <v>29</v>
      </c>
      <c r="K83" s="5">
        <v>7.64</v>
      </c>
      <c r="L83" s="4">
        <v>1311.55</v>
      </c>
      <c r="M83">
        <v>1888</v>
      </c>
      <c r="N83" t="s">
        <v>397</v>
      </c>
      <c r="O83">
        <v>11</v>
      </c>
      <c r="P83" s="6">
        <v>600</v>
      </c>
      <c r="Q83" t="s">
        <v>31</v>
      </c>
      <c r="R83" t="s">
        <v>32</v>
      </c>
      <c r="S83" s="2" t="str">
        <f>HYPERLINK("https://yandex.ru/maps/?&amp;text=44.109623, 42.98381", "44.109623, 42.98381")</f>
        <v>44.109623, 42.98381</v>
      </c>
      <c r="T83" s="2" t="str">
        <f>HYPERLINK("D:\venv_torgi\env\cache\objs_in_district/44.109623_42.98381.json", "44.109623_42.98381.json")</f>
        <v>44.109623_42.98381.json</v>
      </c>
      <c r="U83" t="s">
        <v>398</v>
      </c>
      <c r="V83" s="7" t="s">
        <v>39</v>
      </c>
      <c r="W83" s="19">
        <v>14930.943770233611</v>
      </c>
      <c r="X83" s="19">
        <v>503.46285420308232</v>
      </c>
      <c r="Y83">
        <v>0</v>
      </c>
    </row>
    <row r="84" spans="1:25">
      <c r="A84" s="8">
        <v>82</v>
      </c>
      <c r="B84">
        <v>26</v>
      </c>
      <c r="C84" s="1">
        <v>81.5</v>
      </c>
      <c r="D84" s="2" t="str">
        <f>HYPERLINK("https://torgi.gov.ru/new/public/lots/lot/21000004820000000003_3/(lotInfo:info)", "21000004820000000003_3")</f>
        <v>21000004820000000003_3</v>
      </c>
      <c r="E84" t="s">
        <v>399</v>
      </c>
      <c r="F84" s="3" t="s">
        <v>400</v>
      </c>
      <c r="G84" t="s">
        <v>401</v>
      </c>
      <c r="H84" s="4">
        <v>1176000</v>
      </c>
      <c r="I84" s="4">
        <v>14429.447852760741</v>
      </c>
      <c r="J84" s="5" t="s">
        <v>29</v>
      </c>
      <c r="K84" s="5">
        <v>3.91</v>
      </c>
      <c r="L84" s="4">
        <v>335.56</v>
      </c>
      <c r="M84">
        <v>3686</v>
      </c>
      <c r="N84" t="s">
        <v>387</v>
      </c>
      <c r="O84">
        <v>43</v>
      </c>
      <c r="P84" s="6">
        <v>100</v>
      </c>
      <c r="Q84" t="s">
        <v>31</v>
      </c>
      <c r="R84" t="s">
        <v>32</v>
      </c>
      <c r="S84" s="2" t="str">
        <f>HYPERLINK("https://yandex.ru/maps/?&amp;text=44.057153, 43.066097", "44.057153, 43.066097")</f>
        <v>44.057153, 43.066097</v>
      </c>
      <c r="T84" s="2" t="str">
        <f>HYPERLINK("D:\venv_torgi\env\cache\objs_in_district/44.057153_43.066097.json", "44.057153_43.066097.json")</f>
        <v>44.057153_43.066097.json</v>
      </c>
      <c r="U84" t="s">
        <v>402</v>
      </c>
      <c r="V84" s="7" t="s">
        <v>39</v>
      </c>
      <c r="W84" s="19">
        <v>25005.921007216992</v>
      </c>
      <c r="X84" s="21">
        <v>10576.473154456249</v>
      </c>
      <c r="Y84">
        <v>0</v>
      </c>
    </row>
    <row r="85" spans="1:25">
      <c r="A85" s="8">
        <v>83</v>
      </c>
      <c r="B85">
        <v>26</v>
      </c>
      <c r="C85" s="1">
        <v>45.8</v>
      </c>
      <c r="D85" s="2" t="str">
        <f>HYPERLINK("https://torgi.gov.ru/new/public/lots/lot/21000016400000000002_14/(lotInfo:info)", "21000016400000000002_14")</f>
        <v>21000016400000000002_14</v>
      </c>
      <c r="E85" t="s">
        <v>403</v>
      </c>
      <c r="F85" s="3" t="s">
        <v>404</v>
      </c>
      <c r="G85" t="s">
        <v>405</v>
      </c>
      <c r="H85" s="4">
        <v>1174000</v>
      </c>
      <c r="I85" s="4">
        <v>25633.187772925761</v>
      </c>
      <c r="J85" s="5" t="s">
        <v>29</v>
      </c>
      <c r="K85" s="5">
        <v>23.09</v>
      </c>
      <c r="L85" s="4">
        <v>1349.11</v>
      </c>
      <c r="M85">
        <v>1110</v>
      </c>
      <c r="N85" t="s">
        <v>406</v>
      </c>
      <c r="O85">
        <v>19</v>
      </c>
      <c r="P85" s="6">
        <v>300</v>
      </c>
      <c r="Q85" t="s">
        <v>31</v>
      </c>
      <c r="R85" t="s">
        <v>32</v>
      </c>
      <c r="S85" s="2" t="str">
        <f>HYPERLINK("https://yandex.ru/maps/?&amp;text=44.134393, 43.026095", "44.134393, 43.026095")</f>
        <v>44.134393, 43.026095</v>
      </c>
      <c r="T85" s="2" t="str">
        <f>HYPERLINK("D:\venv_torgi\env\cache\objs_in_district/44.134393_43.026095.json", "44.134393_43.026095.json")</f>
        <v>44.134393_43.026095.json</v>
      </c>
      <c r="U85" t="s">
        <v>407</v>
      </c>
      <c r="V85" s="7" t="s">
        <v>34</v>
      </c>
      <c r="W85" s="19">
        <v>25005.921007216992</v>
      </c>
      <c r="X85" s="20">
        <v>-627.26676570876953</v>
      </c>
      <c r="Y85">
        <v>0</v>
      </c>
    </row>
    <row r="86" spans="1:25">
      <c r="A86" s="8">
        <v>84</v>
      </c>
      <c r="B86">
        <v>26</v>
      </c>
      <c r="C86" s="1">
        <v>67</v>
      </c>
      <c r="D86" s="2" t="str">
        <f>HYPERLINK("https://torgi.gov.ru/new/public/lots/lot/21000003150000000002_5/(lotInfo:info)", "21000003150000000002_5")</f>
        <v>21000003150000000002_5</v>
      </c>
      <c r="E86" t="s">
        <v>408</v>
      </c>
      <c r="F86" s="3" t="s">
        <v>409</v>
      </c>
      <c r="G86" t="s">
        <v>410</v>
      </c>
      <c r="H86" s="4">
        <v>2065000</v>
      </c>
      <c r="I86" s="4">
        <v>30820.895522388058</v>
      </c>
      <c r="J86" s="5" t="s">
        <v>29</v>
      </c>
      <c r="K86" s="5">
        <v>7.14</v>
      </c>
      <c r="L86" s="4">
        <v>5136.67</v>
      </c>
      <c r="M86">
        <v>4314</v>
      </c>
      <c r="N86" t="s">
        <v>392</v>
      </c>
      <c r="O86">
        <v>6</v>
      </c>
      <c r="P86" s="6">
        <v>300</v>
      </c>
      <c r="Q86" t="s">
        <v>31</v>
      </c>
      <c r="R86" t="s">
        <v>32</v>
      </c>
      <c r="S86" s="2" t="str">
        <f>HYPERLINK("https://yandex.ru/maps/?&amp;text=44.637857, 41.952402", "44.637857, 41.952402")</f>
        <v>44.637857, 41.952402</v>
      </c>
      <c r="T86" s="2" t="str">
        <f>HYPERLINK("D:\venv_torgi\env\cache\objs_in_district/44.637857_41.952402.json", "44.637857_41.952402.json")</f>
        <v>44.637857_41.952402.json</v>
      </c>
      <c r="U86" t="s">
        <v>411</v>
      </c>
      <c r="V86" s="7" t="s">
        <v>34</v>
      </c>
      <c r="W86" s="19">
        <v>25005.921007216992</v>
      </c>
      <c r="X86" s="20">
        <v>-5814.9745151710667</v>
      </c>
      <c r="Y86">
        <v>0</v>
      </c>
    </row>
    <row r="87" spans="1:25">
      <c r="A87" s="8">
        <v>85</v>
      </c>
      <c r="B87">
        <v>26</v>
      </c>
      <c r="C87" s="1">
        <v>108.1</v>
      </c>
      <c r="D87" s="2" t="str">
        <f>HYPERLINK("https://torgi.gov.ru/new/public/lots/lot/22000102650000000001_2/(lotInfo:info)", "22000102650000000001_2")</f>
        <v>22000102650000000001_2</v>
      </c>
      <c r="E87" t="s">
        <v>412</v>
      </c>
      <c r="F87" s="3" t="s">
        <v>413</v>
      </c>
      <c r="G87" t="s">
        <v>414</v>
      </c>
      <c r="H87" s="4">
        <v>9321000</v>
      </c>
      <c r="I87" s="4">
        <v>86225.71692876966</v>
      </c>
      <c r="J87" s="5" t="s">
        <v>29</v>
      </c>
      <c r="K87" s="10">
        <v>34.14</v>
      </c>
      <c r="L87" s="11">
        <v>1249.6500000000001</v>
      </c>
      <c r="M87">
        <v>3404</v>
      </c>
      <c r="N87" t="s">
        <v>415</v>
      </c>
      <c r="O87" t="s">
        <v>416</v>
      </c>
      <c r="P87" s="6">
        <v>400</v>
      </c>
      <c r="Q87" t="s">
        <v>31</v>
      </c>
      <c r="R87" t="s">
        <v>32</v>
      </c>
      <c r="S87" s="2" t="str">
        <f>HYPERLINK("https://yandex.ru/maps/?&amp;text=43.897704, 42.713787", "43.897704, 42.713787")</f>
        <v>43.897704, 42.713787</v>
      </c>
      <c r="T87" s="12" t="str">
        <f>HYPERLINK("D:\venv_torgi\env\cache\objs_in_district/43.897704_42.713787.json", "43.897704_42.713787.json")</f>
        <v>43.897704_42.713787.json</v>
      </c>
      <c r="U87" t="s">
        <v>417</v>
      </c>
      <c r="W87" s="19">
        <v>25005.921007216992</v>
      </c>
      <c r="X87" s="20">
        <v>-61219.795921552657</v>
      </c>
      <c r="Y87">
        <v>0</v>
      </c>
    </row>
    <row r="88" spans="1:25">
      <c r="A88" s="8">
        <v>86</v>
      </c>
      <c r="B88">
        <v>27</v>
      </c>
      <c r="C88" s="1">
        <v>313.3</v>
      </c>
      <c r="D88" s="2" t="str">
        <f>HYPERLINK("https://torgi.gov.ru/new/public/lots/lot/22000025880000000007_1/(lotInfo:info)", "22000025880000000007_1")</f>
        <v>22000025880000000007_1</v>
      </c>
      <c r="E88" t="s">
        <v>418</v>
      </c>
      <c r="F88" s="3" t="s">
        <v>419</v>
      </c>
      <c r="G88" t="s">
        <v>420</v>
      </c>
      <c r="H88" s="4">
        <v>2511495</v>
      </c>
      <c r="I88" s="4">
        <v>8016.2623683370566</v>
      </c>
      <c r="J88" s="5" t="s">
        <v>421</v>
      </c>
      <c r="K88" s="5">
        <v>4.8</v>
      </c>
      <c r="L88" s="4">
        <v>501</v>
      </c>
      <c r="M88">
        <v>1671</v>
      </c>
      <c r="N88" t="s">
        <v>39</v>
      </c>
      <c r="O88">
        <v>16</v>
      </c>
      <c r="P88" s="6">
        <v>100</v>
      </c>
      <c r="Q88" t="s">
        <v>31</v>
      </c>
      <c r="R88" t="s">
        <v>32</v>
      </c>
      <c r="S88" s="2" t="str">
        <f>HYPERLINK("https://yandex.ru/maps/?&amp;text=47.90069, 134.951632", "47.90069, 134.951632")</f>
        <v>47.90069, 134.951632</v>
      </c>
      <c r="T88" s="2" t="str">
        <f>HYPERLINK("D:\venv_torgi\env\cache\objs_in_district/47.90069_134.951632.json", "47.90069_134.951632.json")</f>
        <v>47.90069_134.951632.json</v>
      </c>
      <c r="U88" t="s">
        <v>422</v>
      </c>
      <c r="V88" s="7" t="s">
        <v>34</v>
      </c>
      <c r="W88" s="19">
        <v>7354.489883546642</v>
      </c>
      <c r="X88" s="20">
        <v>-661.77248479041464</v>
      </c>
      <c r="Y88">
        <v>0</v>
      </c>
    </row>
    <row r="89" spans="1:25">
      <c r="A89" s="8">
        <v>87</v>
      </c>
      <c r="B89">
        <v>27</v>
      </c>
      <c r="C89" s="1">
        <v>73.2</v>
      </c>
      <c r="D89" s="2" t="str">
        <f>HYPERLINK("https://torgi.gov.ru/new/public/lots/lot/21000032990000000005_1/(lotInfo:info)", "21000032990000000005_1")</f>
        <v>21000032990000000005_1</v>
      </c>
      <c r="E89" t="s">
        <v>423</v>
      </c>
      <c r="F89" s="3" t="s">
        <v>424</v>
      </c>
      <c r="G89" t="s">
        <v>425</v>
      </c>
      <c r="H89" s="4">
        <v>729340</v>
      </c>
      <c r="I89" s="4">
        <v>9963.6612021857927</v>
      </c>
      <c r="J89" s="5" t="s">
        <v>29</v>
      </c>
      <c r="K89" s="5">
        <v>7.17</v>
      </c>
      <c r="L89" s="4">
        <v>830.25</v>
      </c>
      <c r="M89">
        <v>1389</v>
      </c>
      <c r="N89" t="s">
        <v>426</v>
      </c>
      <c r="O89">
        <v>12</v>
      </c>
      <c r="P89" s="6">
        <v>700</v>
      </c>
      <c r="Q89" t="s">
        <v>31</v>
      </c>
      <c r="R89" t="s">
        <v>32</v>
      </c>
      <c r="S89" s="2" t="str">
        <f>HYPERLINK("https://yandex.ru/maps/?&amp;text=48.52408, 135.04886", "48.52408, 135.04886")</f>
        <v>48.52408, 135.04886</v>
      </c>
      <c r="T89" s="2" t="str">
        <f>HYPERLINK("D:\venv_torgi\env\cache\objs_in_district/48.52408_135.04886.json", "48.52408_135.04886.json")</f>
        <v>48.52408_135.04886.json</v>
      </c>
      <c r="U89" t="s">
        <v>427</v>
      </c>
      <c r="V89" s="7" t="s">
        <v>34</v>
      </c>
      <c r="W89" s="19">
        <v>28791.780206219712</v>
      </c>
      <c r="X89" s="21">
        <v>18828.119004033921</v>
      </c>
      <c r="Y89">
        <v>0</v>
      </c>
    </row>
    <row r="90" spans="1:25">
      <c r="A90" s="8">
        <v>88</v>
      </c>
      <c r="B90">
        <v>27</v>
      </c>
      <c r="C90" s="1">
        <v>324.89999999999998</v>
      </c>
      <c r="D90" s="2" t="str">
        <f>HYPERLINK("https://torgi.gov.ru/new/public/lots/lot/21000028770000000002_1/(lotInfo:info)", "21000028770000000002_1")</f>
        <v>21000028770000000002_1</v>
      </c>
      <c r="E90" t="s">
        <v>428</v>
      </c>
      <c r="F90" s="3" t="s">
        <v>429</v>
      </c>
      <c r="G90" t="s">
        <v>430</v>
      </c>
      <c r="H90" s="4">
        <v>3479169</v>
      </c>
      <c r="I90" s="4">
        <v>10708.430286241921</v>
      </c>
      <c r="J90" s="5" t="s">
        <v>29</v>
      </c>
      <c r="K90" s="5">
        <v>9.27</v>
      </c>
      <c r="L90" s="4">
        <v>486.73</v>
      </c>
      <c r="M90">
        <v>1155</v>
      </c>
      <c r="N90" t="s">
        <v>431</v>
      </c>
      <c r="O90">
        <v>22</v>
      </c>
      <c r="P90" s="6">
        <v>200</v>
      </c>
      <c r="Q90" t="s">
        <v>31</v>
      </c>
      <c r="R90" t="s">
        <v>32</v>
      </c>
      <c r="S90" s="2" t="str">
        <f>HYPERLINK("https://yandex.ru/maps/?&amp;text=51.131254, 133.037197", "51.131254, 133.037197")</f>
        <v>51.131254, 133.037197</v>
      </c>
      <c r="T90" s="2" t="str">
        <f>HYPERLINK("D:\venv_torgi\env\cache\objs_in_district/51.131254_133.037197.json", "51.131254_133.037197.json")</f>
        <v>51.131254_133.037197.json</v>
      </c>
      <c r="U90" t="s">
        <v>432</v>
      </c>
      <c r="V90" s="7" t="s">
        <v>122</v>
      </c>
      <c r="W90" s="19">
        <v>7354.489883546642</v>
      </c>
      <c r="X90" s="20">
        <v>-3353.9404026952789</v>
      </c>
      <c r="Y90">
        <v>0</v>
      </c>
    </row>
    <row r="91" spans="1:25">
      <c r="A91" s="8">
        <v>89</v>
      </c>
      <c r="B91">
        <v>27</v>
      </c>
      <c r="C91" s="1">
        <v>261.8</v>
      </c>
      <c r="D91" s="2" t="str">
        <f>HYPERLINK("https://torgi.gov.ru/new/public/lots/lot/21000019020000000011_1/(lotInfo:info)", "21000019020000000011_1")</f>
        <v>21000019020000000011_1</v>
      </c>
      <c r="E91" t="s">
        <v>433</v>
      </c>
      <c r="F91" s="3" t="s">
        <v>434</v>
      </c>
      <c r="G91" t="s">
        <v>435</v>
      </c>
      <c r="H91" s="4">
        <v>5020000</v>
      </c>
      <c r="I91" s="4">
        <v>19174.942704354471</v>
      </c>
      <c r="J91" s="5" t="s">
        <v>29</v>
      </c>
      <c r="K91" s="5">
        <v>5.73</v>
      </c>
      <c r="L91" s="4">
        <v>737.46</v>
      </c>
      <c r="M91">
        <v>3348</v>
      </c>
      <c r="N91" t="s">
        <v>436</v>
      </c>
      <c r="O91">
        <v>26</v>
      </c>
      <c r="P91" s="6">
        <v>300</v>
      </c>
      <c r="Q91" t="s">
        <v>31</v>
      </c>
      <c r="R91" t="s">
        <v>32</v>
      </c>
      <c r="S91" s="2" t="str">
        <f>HYPERLINK("https://yandex.ru/maps/?&amp;text=50.218704, 136.90366", "50.218704, 136.90366")</f>
        <v>50.218704, 136.90366</v>
      </c>
      <c r="T91" s="2" t="str">
        <f>HYPERLINK("D:\venv_torgi\env\cache\objs_in_district/50.218704_136.90366.json", "50.218704_136.90366.json")</f>
        <v>50.218704_136.90366.json</v>
      </c>
      <c r="V91" s="7" t="s">
        <v>34</v>
      </c>
      <c r="W91" s="19">
        <v>10661.45189182739</v>
      </c>
      <c r="X91" s="20">
        <v>-8513.4908125270777</v>
      </c>
      <c r="Y91">
        <v>0</v>
      </c>
    </row>
    <row r="92" spans="1:25">
      <c r="A92" s="8">
        <v>91</v>
      </c>
      <c r="B92">
        <v>27</v>
      </c>
      <c r="C92" s="1">
        <v>111.9</v>
      </c>
      <c r="D92" s="2" t="str">
        <f>HYPERLINK("https://torgi.gov.ru/new/public/lots/lot/21000005750000000037_1/(lotInfo:info)", "21000005750000000037_1")</f>
        <v>21000005750000000037_1</v>
      </c>
      <c r="E92" t="s">
        <v>438</v>
      </c>
      <c r="F92" s="3" t="s">
        <v>439</v>
      </c>
      <c r="G92" t="s">
        <v>440</v>
      </c>
      <c r="H92" s="4">
        <v>3128388</v>
      </c>
      <c r="I92" s="4">
        <v>27956.99731903485</v>
      </c>
      <c r="J92" s="5" t="s">
        <v>29</v>
      </c>
      <c r="K92" s="5">
        <v>6.45</v>
      </c>
      <c r="L92" s="4">
        <v>1471.37</v>
      </c>
      <c r="M92">
        <v>4337</v>
      </c>
      <c r="N92" t="s">
        <v>437</v>
      </c>
      <c r="O92">
        <v>19</v>
      </c>
      <c r="P92" s="6">
        <v>800</v>
      </c>
      <c r="Q92" t="s">
        <v>31</v>
      </c>
      <c r="R92" t="s">
        <v>32</v>
      </c>
      <c r="S92" s="2" t="str">
        <f>HYPERLINK("https://yandex.ru/maps/?&amp;text=50.578453, 137.05286", "50.578453, 137.05286")</f>
        <v>50.578453, 137.05286</v>
      </c>
      <c r="T92" s="2" t="str">
        <f>HYPERLINK("D:\venv_torgi\env\cache\objs_in_district/50.578453_137.05286.json", "50.578453_137.05286.json")</f>
        <v>50.578453_137.05286.json</v>
      </c>
      <c r="U92" t="s">
        <v>441</v>
      </c>
      <c r="V92" s="7" t="s">
        <v>34</v>
      </c>
      <c r="W92" s="19">
        <v>28791.780206219712</v>
      </c>
      <c r="X92" s="19">
        <v>834.78288718486147</v>
      </c>
      <c r="Y92">
        <v>0</v>
      </c>
    </row>
    <row r="93" spans="1:25">
      <c r="A93" s="8">
        <v>92</v>
      </c>
      <c r="B93">
        <v>27</v>
      </c>
      <c r="C93" s="1">
        <v>30.7</v>
      </c>
      <c r="D93" s="2" t="str">
        <f>HYPERLINK("https://torgi.gov.ru/new/public/lots/lot/21000005750000000024_1/(lotInfo:info)", "21000005750000000024_1")</f>
        <v>21000005750000000024_1</v>
      </c>
      <c r="E93" t="s">
        <v>442</v>
      </c>
      <c r="F93" s="3" t="s">
        <v>443</v>
      </c>
      <c r="G93" t="s">
        <v>444</v>
      </c>
      <c r="H93" s="4">
        <v>909795</v>
      </c>
      <c r="I93" s="4">
        <v>29635.01628664495</v>
      </c>
      <c r="J93" s="5" t="s">
        <v>445</v>
      </c>
      <c r="K93" s="5">
        <v>6.02</v>
      </c>
      <c r="L93" s="4">
        <v>1021.9</v>
      </c>
      <c r="M93">
        <v>4921</v>
      </c>
      <c r="N93" t="s">
        <v>437</v>
      </c>
      <c r="O93">
        <v>29</v>
      </c>
      <c r="P93" s="6">
        <v>500</v>
      </c>
      <c r="Q93" t="s">
        <v>31</v>
      </c>
      <c r="R93" t="s">
        <v>32</v>
      </c>
      <c r="S93" s="2" t="str">
        <f>HYPERLINK("https://yandex.ru/maps/?&amp;text=50.577845, 137.05652", "50.577845, 137.05652")</f>
        <v>50.577845, 137.05652</v>
      </c>
      <c r="T93" s="2" t="str">
        <f>HYPERLINK("D:\venv_torgi\env\cache\objs_in_district/50.577845_137.05652.json", "50.577845_137.05652.json")</f>
        <v>50.577845_137.05652.json</v>
      </c>
      <c r="U93" t="s">
        <v>446</v>
      </c>
      <c r="V93" s="7" t="s">
        <v>34</v>
      </c>
      <c r="W93" s="19">
        <v>28791.780206219712</v>
      </c>
      <c r="X93" s="20">
        <v>-843.23608042523847</v>
      </c>
      <c r="Y93">
        <v>0</v>
      </c>
    </row>
    <row r="94" spans="1:25">
      <c r="A94" s="8">
        <v>93</v>
      </c>
      <c r="B94">
        <v>28</v>
      </c>
      <c r="C94" s="1">
        <v>420.3</v>
      </c>
      <c r="D94" s="2" t="str">
        <f>HYPERLINK("https://torgi.gov.ru/new/public/lots/lot/21000034110000000003_1/(lotInfo:info)", "21000034110000000003_1")</f>
        <v>21000034110000000003_1</v>
      </c>
      <c r="E94" t="s">
        <v>447</v>
      </c>
      <c r="F94" s="3" t="s">
        <v>448</v>
      </c>
      <c r="G94" t="s">
        <v>449</v>
      </c>
      <c r="H94" s="4">
        <v>1210044</v>
      </c>
      <c r="I94" s="4">
        <v>2879.0007137758739</v>
      </c>
      <c r="J94" s="5" t="s">
        <v>29</v>
      </c>
      <c r="K94" s="5">
        <v>7.64</v>
      </c>
      <c r="L94" s="4">
        <v>479.83</v>
      </c>
      <c r="M94">
        <v>377</v>
      </c>
      <c r="N94" t="s">
        <v>450</v>
      </c>
      <c r="O94">
        <v>6</v>
      </c>
      <c r="P94" s="6">
        <v>1800</v>
      </c>
      <c r="Q94" t="s">
        <v>31</v>
      </c>
      <c r="R94" t="s">
        <v>32</v>
      </c>
      <c r="S94" s="2" t="str">
        <f>HYPERLINK("https://yandex.ru/maps/?&amp;text=49.606242, 128.005984", "49.606242, 128.005984")</f>
        <v>49.606242, 128.005984</v>
      </c>
      <c r="T94" s="2" t="str">
        <f>HYPERLINK("D:\venv_torgi\env\cache\objs_in_district/49.606242_128.005984.json", "49.606242_128.005984.json")</f>
        <v>49.606242_128.005984.json</v>
      </c>
      <c r="U94" t="s">
        <v>451</v>
      </c>
      <c r="V94" s="7" t="s">
        <v>34</v>
      </c>
      <c r="W94" s="19">
        <v>4605.2933995586654</v>
      </c>
      <c r="X94" s="21">
        <v>1726.292685782792</v>
      </c>
      <c r="Y94">
        <v>0</v>
      </c>
    </row>
    <row r="95" spans="1:25">
      <c r="A95" s="8">
        <v>94</v>
      </c>
      <c r="B95">
        <v>28</v>
      </c>
      <c r="C95" s="1">
        <v>104</v>
      </c>
      <c r="D95" s="2" t="str">
        <f>HYPERLINK("https://torgi.gov.ru/new/public/lots/lot/21000030170000000001_2/(lotInfo:info)", "21000030170000000001_2")</f>
        <v>21000030170000000001_2</v>
      </c>
      <c r="E95" t="s">
        <v>452</v>
      </c>
      <c r="F95" s="3" t="s">
        <v>453</v>
      </c>
      <c r="G95" t="s">
        <v>454</v>
      </c>
      <c r="H95" s="4">
        <v>800000</v>
      </c>
      <c r="I95" s="4">
        <v>7692.3076923076924</v>
      </c>
      <c r="J95" s="5" t="s">
        <v>29</v>
      </c>
      <c r="K95" s="10">
        <v>49.31</v>
      </c>
      <c r="L95" s="11"/>
      <c r="M95">
        <v>2543</v>
      </c>
      <c r="N95" t="s">
        <v>455</v>
      </c>
      <c r="O95" t="s">
        <v>39</v>
      </c>
      <c r="P95" s="6">
        <v>1700</v>
      </c>
      <c r="Q95" t="s">
        <v>31</v>
      </c>
      <c r="R95" t="s">
        <v>32</v>
      </c>
      <c r="S95" s="2" t="str">
        <f>HYPERLINK("https://yandex.ru/maps/?&amp;text=50.271723, 127.476907", "50.271723, 127.476907")</f>
        <v>50.271723, 127.476907</v>
      </c>
      <c r="T95" s="12" t="str">
        <f>HYPERLINK("D:\venv_torgi\env\cache\objs_in_district/50.271723_127.476907.json", "50.271723_127.476907.json")</f>
        <v>50.271723_127.476907.json</v>
      </c>
      <c r="U95" t="s">
        <v>456</v>
      </c>
      <c r="W95" s="19">
        <v>14930.943770233611</v>
      </c>
      <c r="X95" s="21">
        <v>7238.6360779259203</v>
      </c>
      <c r="Y95">
        <v>0</v>
      </c>
    </row>
    <row r="96" spans="1:25">
      <c r="A96" s="8">
        <v>95</v>
      </c>
      <c r="B96">
        <v>28</v>
      </c>
      <c r="C96" s="1">
        <v>110.6</v>
      </c>
      <c r="D96" s="2" t="str">
        <f>HYPERLINK("https://torgi.gov.ru/new/public/lots/lot/21000003100000000015_1/(lotInfo:info)", "21000003100000000015_1")</f>
        <v>21000003100000000015_1</v>
      </c>
      <c r="E96" t="s">
        <v>457</v>
      </c>
      <c r="F96" s="3" t="s">
        <v>458</v>
      </c>
      <c r="G96" t="s">
        <v>459</v>
      </c>
      <c r="H96" s="4">
        <v>3168000</v>
      </c>
      <c r="I96" s="4">
        <v>28643.761301989151</v>
      </c>
      <c r="J96" s="5" t="s">
        <v>29</v>
      </c>
      <c r="K96" s="5">
        <v>30.34</v>
      </c>
      <c r="L96" s="4">
        <v>5728.6</v>
      </c>
      <c r="M96">
        <v>944</v>
      </c>
      <c r="N96" t="s">
        <v>460</v>
      </c>
      <c r="O96">
        <v>5</v>
      </c>
      <c r="P96" s="6">
        <v>300</v>
      </c>
      <c r="Q96" t="s">
        <v>31</v>
      </c>
      <c r="R96" t="s">
        <v>32</v>
      </c>
      <c r="S96" s="2" t="str">
        <f>HYPERLINK("https://yandex.ru/maps/?&amp;text=50.912704, 128.54799", "50.912704, 128.54799")</f>
        <v>50.912704, 128.54799</v>
      </c>
      <c r="T96" s="2" t="str">
        <f>HYPERLINK("D:\venv_torgi\env\cache\objs_in_district/50.912704_128.54799.json", "50.912704_128.54799.json")</f>
        <v>50.912704_128.54799.json</v>
      </c>
      <c r="U96" t="s">
        <v>461</v>
      </c>
      <c r="W96" s="19">
        <v>25005.921007216992</v>
      </c>
      <c r="X96" s="20">
        <v>-3637.8402947721588</v>
      </c>
      <c r="Y96">
        <v>0</v>
      </c>
    </row>
    <row r="97" spans="1:25">
      <c r="A97" s="8">
        <v>96</v>
      </c>
      <c r="B97">
        <v>28</v>
      </c>
      <c r="C97" s="1">
        <v>70.099999999999994</v>
      </c>
      <c r="D97" s="2" t="str">
        <f>HYPERLINK("https://torgi.gov.ru/new/public/lots/lot/21000003100000000008_1/(lotInfo:info)", "21000003100000000008_1")</f>
        <v>21000003100000000008_1</v>
      </c>
      <c r="E97" t="s">
        <v>462</v>
      </c>
      <c r="F97" s="3" t="s">
        <v>463</v>
      </c>
      <c r="G97" t="s">
        <v>464</v>
      </c>
      <c r="H97" s="4">
        <v>3563000</v>
      </c>
      <c r="I97" s="4">
        <v>50827.389443651933</v>
      </c>
      <c r="J97" s="5" t="s">
        <v>29</v>
      </c>
      <c r="K97" s="5">
        <v>16.37</v>
      </c>
      <c r="L97" s="4">
        <v>3909.77</v>
      </c>
      <c r="M97">
        <v>3105</v>
      </c>
      <c r="N97" t="s">
        <v>460</v>
      </c>
      <c r="O97">
        <v>13</v>
      </c>
      <c r="P97" s="6">
        <v>400</v>
      </c>
      <c r="Q97" t="s">
        <v>31</v>
      </c>
      <c r="R97" t="s">
        <v>32</v>
      </c>
      <c r="S97" s="2" t="str">
        <f>HYPERLINK("https://yandex.ru/maps/?&amp;text=50.916283, 128.48146", "50.916283, 128.48146")</f>
        <v>50.916283, 128.48146</v>
      </c>
      <c r="T97" s="2" t="str">
        <f>HYPERLINK("D:\venv_torgi\env\cache\objs_in_district/50.916283_128.48146.json", "50.916283_128.48146.json")</f>
        <v>50.916283_128.48146.json</v>
      </c>
      <c r="U97" t="s">
        <v>465</v>
      </c>
      <c r="V97" s="7" t="s">
        <v>34</v>
      </c>
      <c r="W97" s="19">
        <v>25005.921007216992</v>
      </c>
      <c r="X97" s="20">
        <v>-25821.468436434941</v>
      </c>
      <c r="Y97">
        <v>0</v>
      </c>
    </row>
    <row r="98" spans="1:25">
      <c r="A98" s="8">
        <v>97</v>
      </c>
      <c r="B98">
        <v>29</v>
      </c>
      <c r="C98" s="1">
        <v>330.4</v>
      </c>
      <c r="D98" s="2" t="str">
        <f>HYPERLINK("https://torgi.gov.ru/new/public/lots/lot/21000014870000000001_1/(lotInfo:info)", "21000014870000000001_1")</f>
        <v>21000014870000000001_1</v>
      </c>
      <c r="E98" t="s">
        <v>466</v>
      </c>
      <c r="F98" s="3" t="s">
        <v>467</v>
      </c>
      <c r="G98" t="s">
        <v>468</v>
      </c>
      <c r="H98" s="4">
        <v>3240000</v>
      </c>
      <c r="I98" s="4">
        <v>9806.2953995157386</v>
      </c>
      <c r="J98" s="5" t="s">
        <v>2079</v>
      </c>
      <c r="K98" s="5">
        <v>3.59</v>
      </c>
      <c r="L98" s="4">
        <v>150.86000000000001</v>
      </c>
      <c r="M98">
        <v>2732</v>
      </c>
      <c r="N98" t="s">
        <v>469</v>
      </c>
      <c r="O98">
        <v>65</v>
      </c>
      <c r="P98" s="6">
        <v>1500</v>
      </c>
      <c r="Q98" t="s">
        <v>31</v>
      </c>
      <c r="R98" t="s">
        <v>32</v>
      </c>
      <c r="S98" s="2" t="str">
        <f>HYPERLINK("https://yandex.ru/maps/?&amp;text=61.067657, 42.103806", "61.067657, 42.103806")</f>
        <v>61.067657, 42.103806</v>
      </c>
      <c r="T98" s="2" t="str">
        <f>HYPERLINK("D:\venv_torgi\env\cache\objs_in_district/61.067657_42.103806.json", "61.067657_42.103806.json")</f>
        <v>61.067657_42.103806.json</v>
      </c>
      <c r="U98" t="s">
        <v>470</v>
      </c>
      <c r="V98" s="7" t="s">
        <v>128</v>
      </c>
      <c r="W98" s="19">
        <v>7354.489883546642</v>
      </c>
      <c r="X98" s="20">
        <v>-2451.8055159690971</v>
      </c>
      <c r="Y98">
        <v>0</v>
      </c>
    </row>
    <row r="99" spans="1:25">
      <c r="A99" s="8">
        <v>98</v>
      </c>
      <c r="B99">
        <v>29</v>
      </c>
      <c r="C99" s="1">
        <v>295.3</v>
      </c>
      <c r="D99" s="2" t="str">
        <f>HYPERLINK("https://torgi.gov.ru/new/public/lots/lot/22000037620000000002_1/(lotInfo:info)", "22000037620000000002_1")</f>
        <v>22000037620000000002_1</v>
      </c>
      <c r="E99" t="s">
        <v>471</v>
      </c>
      <c r="F99" s="3" t="s">
        <v>472</v>
      </c>
      <c r="G99" t="s">
        <v>473</v>
      </c>
      <c r="H99" s="4">
        <v>6069600</v>
      </c>
      <c r="I99" s="4">
        <v>20554.01286826955</v>
      </c>
      <c r="J99" s="5" t="s">
        <v>2078</v>
      </c>
      <c r="K99" s="5">
        <v>52.7</v>
      </c>
      <c r="L99" s="4">
        <v>1141.8900000000001</v>
      </c>
      <c r="M99">
        <v>390</v>
      </c>
      <c r="N99" t="s">
        <v>474</v>
      </c>
      <c r="O99">
        <v>18</v>
      </c>
      <c r="P99" s="6">
        <v>300</v>
      </c>
      <c r="Q99" t="s">
        <v>31</v>
      </c>
      <c r="R99" t="s">
        <v>32</v>
      </c>
      <c r="S99" s="2" t="str">
        <f>HYPERLINK("https://yandex.ru/maps/?&amp;text=61.309, 47.191269", "61.309, 47.191269")</f>
        <v>61.309, 47.191269</v>
      </c>
      <c r="T99" s="2" t="str">
        <f>HYPERLINK("D:\venv_torgi\env\cache\objs_in_district/61.309_47.191269.json", "61.309_47.191269.json")</f>
        <v>61.309_47.191269.json</v>
      </c>
      <c r="U99" t="s">
        <v>475</v>
      </c>
      <c r="V99" s="7" t="s">
        <v>128</v>
      </c>
      <c r="W99" s="19">
        <v>20554.01286826955</v>
      </c>
      <c r="X99" s="19">
        <v>0</v>
      </c>
      <c r="Y99">
        <v>0</v>
      </c>
    </row>
    <row r="100" spans="1:25">
      <c r="A100" s="8">
        <v>99</v>
      </c>
      <c r="B100">
        <v>29</v>
      </c>
      <c r="C100" s="1">
        <v>17.2</v>
      </c>
      <c r="D100" s="2" t="str">
        <f>HYPERLINK("https://torgi.gov.ru/new/public/lots/lot/21000006750000000006_2/(lotInfo:info)", "21000006750000000006_2")</f>
        <v>21000006750000000006_2</v>
      </c>
      <c r="E100" t="s">
        <v>476</v>
      </c>
      <c r="F100" s="3" t="s">
        <v>477</v>
      </c>
      <c r="G100" t="s">
        <v>478</v>
      </c>
      <c r="H100" s="4">
        <v>864000</v>
      </c>
      <c r="I100" s="4">
        <v>50232.558139534893</v>
      </c>
      <c r="J100" s="5" t="s">
        <v>29</v>
      </c>
      <c r="K100" s="5">
        <v>19.559999999999999</v>
      </c>
      <c r="L100" s="4">
        <v>2184</v>
      </c>
      <c r="M100">
        <v>2568</v>
      </c>
      <c r="N100" t="s">
        <v>479</v>
      </c>
      <c r="O100">
        <v>23</v>
      </c>
      <c r="P100" s="6">
        <v>500</v>
      </c>
      <c r="Q100" t="s">
        <v>31</v>
      </c>
      <c r="R100" t="s">
        <v>32</v>
      </c>
      <c r="S100" s="2" t="str">
        <f>HYPERLINK("https://yandex.ru/maps/?&amp;text=64.5886, 40.580044", "64.5886, 40.580044")</f>
        <v>64.5886, 40.580044</v>
      </c>
      <c r="T100" s="2" t="str">
        <f>HYPERLINK("D:\venv_torgi\env\cache\objs_in_district/64.5886_40.580044.json", "64.5886_40.580044.json")</f>
        <v>64.5886_40.580044.json</v>
      </c>
      <c r="U100" t="s">
        <v>480</v>
      </c>
      <c r="V100" s="7" t="s">
        <v>34</v>
      </c>
      <c r="W100" s="19">
        <v>46084.220656344281</v>
      </c>
      <c r="X100" s="20">
        <v>-4148.3374831906112</v>
      </c>
      <c r="Y100">
        <v>0</v>
      </c>
    </row>
    <row r="101" spans="1:25">
      <c r="A101" s="8">
        <v>100</v>
      </c>
      <c r="B101">
        <v>29</v>
      </c>
      <c r="C101" s="1">
        <v>190.6</v>
      </c>
      <c r="D101" s="2" t="str">
        <f>HYPERLINK("https://torgi.gov.ru/new/public/lots/lot/21000031630000000010_1/(lotInfo:info)", "21000031630000000010_1")</f>
        <v>21000031630000000010_1</v>
      </c>
      <c r="E101" t="s">
        <v>481</v>
      </c>
      <c r="F101" s="3" t="s">
        <v>482</v>
      </c>
      <c r="G101" t="s">
        <v>483</v>
      </c>
      <c r="H101" s="4">
        <v>9686400</v>
      </c>
      <c r="I101" s="4">
        <v>50820.566631689413</v>
      </c>
      <c r="J101" s="5" t="s">
        <v>29</v>
      </c>
      <c r="K101" s="5">
        <v>10.02</v>
      </c>
      <c r="L101" s="4">
        <v>2674.74</v>
      </c>
      <c r="M101">
        <v>5073</v>
      </c>
      <c r="N101" t="s">
        <v>484</v>
      </c>
      <c r="O101">
        <v>19</v>
      </c>
      <c r="Q101" t="s">
        <v>31</v>
      </c>
      <c r="R101" t="s">
        <v>32</v>
      </c>
      <c r="S101" s="2" t="str">
        <f>HYPERLINK("https://yandex.ru/maps/?&amp;text=64.53915, 39.799698", "64.53915, 39.799698")</f>
        <v>64.53915, 39.799698</v>
      </c>
      <c r="T101" s="2" t="str">
        <f>HYPERLINK("D:\venv_torgi\env\cache\objs_in_district/64.53915_39.799698.json", "64.53915_39.799698.json")</f>
        <v>64.53915_39.799698.json</v>
      </c>
      <c r="U101" t="s">
        <v>485</v>
      </c>
      <c r="W101" s="19">
        <v>50820.566631689413</v>
      </c>
      <c r="X101" s="19">
        <v>0</v>
      </c>
      <c r="Y101">
        <v>0</v>
      </c>
    </row>
    <row r="102" spans="1:25">
      <c r="A102" s="8">
        <v>101</v>
      </c>
      <c r="B102">
        <v>29</v>
      </c>
      <c r="C102" s="1">
        <v>66.8</v>
      </c>
      <c r="D102" s="2" t="str">
        <f>HYPERLINK("https://torgi.gov.ru/new/public/lots/lot/21000031630000000007_2/(lotInfo:info)", "21000031630000000007_2")</f>
        <v>21000031630000000007_2</v>
      </c>
      <c r="E102" t="s">
        <v>486</v>
      </c>
      <c r="F102" s="3" t="s">
        <v>487</v>
      </c>
      <c r="G102" t="s">
        <v>488</v>
      </c>
      <c r="H102" s="4">
        <v>4072800</v>
      </c>
      <c r="I102" s="4">
        <v>60970.059880239533</v>
      </c>
      <c r="J102" s="5" t="s">
        <v>29</v>
      </c>
      <c r="K102" s="5">
        <v>17.809999999999999</v>
      </c>
      <c r="L102" s="4">
        <v>1219.4000000000001</v>
      </c>
      <c r="M102">
        <v>3424</v>
      </c>
      <c r="N102" t="s">
        <v>484</v>
      </c>
      <c r="O102">
        <v>50</v>
      </c>
      <c r="P102" s="6">
        <v>400</v>
      </c>
      <c r="Q102" t="s">
        <v>31</v>
      </c>
      <c r="R102" t="s">
        <v>32</v>
      </c>
      <c r="S102" s="2" t="str">
        <f>HYPERLINK("https://yandex.ru/maps/?&amp;text=64.553811, 39.800029", "64.553811, 39.800029")</f>
        <v>64.553811, 39.800029</v>
      </c>
      <c r="T102" s="2" t="str">
        <f>HYPERLINK("D:\venv_torgi\env\cache\objs_in_district/64.553811_39.800029.json", "64.553811_39.800029.json")</f>
        <v>64.553811_39.800029.json</v>
      </c>
      <c r="U102" t="s">
        <v>489</v>
      </c>
      <c r="W102" s="19">
        <v>25005.921007216992</v>
      </c>
      <c r="X102" s="20">
        <v>-35964.138873022537</v>
      </c>
      <c r="Y102">
        <v>0</v>
      </c>
    </row>
    <row r="103" spans="1:25">
      <c r="A103" s="8">
        <v>102</v>
      </c>
      <c r="B103">
        <v>29</v>
      </c>
      <c r="C103" s="1">
        <v>17.399999999999999</v>
      </c>
      <c r="D103" s="2" t="str">
        <f>HYPERLINK("https://torgi.gov.ru/new/public/lots/lot/21000006750000000006_8/(lotInfo:info)", "21000006750000000006_8")</f>
        <v>21000006750000000006_8</v>
      </c>
      <c r="E103" t="s">
        <v>490</v>
      </c>
      <c r="F103" s="3" t="s">
        <v>477</v>
      </c>
      <c r="G103" t="s">
        <v>491</v>
      </c>
      <c r="H103" s="4">
        <v>1316000</v>
      </c>
      <c r="I103" s="4">
        <v>75632.18390804599</v>
      </c>
      <c r="J103" s="5" t="s">
        <v>29</v>
      </c>
      <c r="K103" s="5">
        <v>12.95</v>
      </c>
      <c r="L103" s="4">
        <v>487.95</v>
      </c>
      <c r="M103">
        <v>5841</v>
      </c>
      <c r="N103" t="s">
        <v>479</v>
      </c>
      <c r="O103">
        <v>155</v>
      </c>
      <c r="P103" s="6">
        <v>300</v>
      </c>
      <c r="Q103" t="s">
        <v>31</v>
      </c>
      <c r="R103" t="s">
        <v>32</v>
      </c>
      <c r="S103" s="2" t="str">
        <f>HYPERLINK("https://yandex.ru/maps/?&amp;text=64.543696, 40.5679", "64.543696, 40.5679")</f>
        <v>64.543696, 40.5679</v>
      </c>
      <c r="T103" s="2" t="str">
        <f>HYPERLINK("D:\venv_torgi\env\cache\objs_in_district/64.543696_40.5679.json", "64.543696_40.5679.json")</f>
        <v>64.543696_40.5679.json</v>
      </c>
      <c r="U103" t="s">
        <v>492</v>
      </c>
      <c r="V103" s="7" t="s">
        <v>34</v>
      </c>
      <c r="W103" s="19">
        <v>59031.555963778381</v>
      </c>
      <c r="X103" s="20">
        <v>-16600.62794426761</v>
      </c>
      <c r="Y103">
        <v>0</v>
      </c>
    </row>
    <row r="104" spans="1:25">
      <c r="A104" s="8">
        <v>103</v>
      </c>
      <c r="B104">
        <v>30</v>
      </c>
      <c r="C104" s="1">
        <v>101.6</v>
      </c>
      <c r="D104" s="2" t="str">
        <f>HYPERLINK("https://torgi.gov.ru/new/public/lots/lot/21000021980000000001_5/(lotInfo:info)", "21000021980000000001_5")</f>
        <v>21000021980000000001_5</v>
      </c>
      <c r="E104" t="s">
        <v>493</v>
      </c>
      <c r="F104" s="3" t="s">
        <v>494</v>
      </c>
      <c r="G104" t="s">
        <v>495</v>
      </c>
      <c r="H104" s="4">
        <v>1737000</v>
      </c>
      <c r="I104" s="4">
        <v>17096.456692913391</v>
      </c>
      <c r="J104" s="5" t="s">
        <v>29</v>
      </c>
      <c r="K104" s="10">
        <v>10.25</v>
      </c>
      <c r="L104" s="11">
        <v>712.35</v>
      </c>
      <c r="M104">
        <v>4350</v>
      </c>
      <c r="N104" t="s">
        <v>496</v>
      </c>
      <c r="O104" t="s">
        <v>497</v>
      </c>
      <c r="P104" s="6">
        <v>400</v>
      </c>
      <c r="Q104" t="s">
        <v>40</v>
      </c>
      <c r="R104" t="s">
        <v>32</v>
      </c>
      <c r="S104" s="2" t="str">
        <f>HYPERLINK("https://yandex.ru/maps/?&amp;text=46.344777, 48.053499", "46.344777, 48.053499")</f>
        <v>46.344777, 48.053499</v>
      </c>
      <c r="T104" s="12" t="str">
        <f>HYPERLINK("D:\venv_torgi\env\cache\objs_in_district/46.344777_48.053499.json", "46.344777_48.053499.json")</f>
        <v>46.344777_48.053499.json</v>
      </c>
      <c r="U104" t="s">
        <v>498</v>
      </c>
      <c r="V104" s="7" t="s">
        <v>39</v>
      </c>
      <c r="W104" s="19">
        <v>25005.921007216992</v>
      </c>
      <c r="X104" s="21">
        <v>7909.464314303601</v>
      </c>
      <c r="Y104">
        <v>1</v>
      </c>
    </row>
    <row r="105" spans="1:25">
      <c r="A105" s="8">
        <v>104</v>
      </c>
      <c r="B105">
        <v>31</v>
      </c>
      <c r="C105" s="1">
        <v>36.9</v>
      </c>
      <c r="D105" s="2" t="str">
        <f>HYPERLINK("https://torgi.gov.ru/new/public/lots/lot/21000026630000000004_1/(lotInfo:info)", "21000026630000000004_1")</f>
        <v>21000026630000000004_1</v>
      </c>
      <c r="E105" t="s">
        <v>499</v>
      </c>
      <c r="F105" s="3" t="s">
        <v>500</v>
      </c>
      <c r="G105" t="s">
        <v>501</v>
      </c>
      <c r="H105" s="4">
        <v>1807000</v>
      </c>
      <c r="I105" s="4">
        <v>48970.189701897019</v>
      </c>
      <c r="J105" s="5" t="s">
        <v>29</v>
      </c>
      <c r="K105" s="5">
        <v>19.5</v>
      </c>
      <c r="L105" s="4">
        <v>830</v>
      </c>
      <c r="M105">
        <v>2511</v>
      </c>
      <c r="N105" t="s">
        <v>502</v>
      </c>
      <c r="O105">
        <v>59</v>
      </c>
      <c r="P105" s="6">
        <v>300</v>
      </c>
      <c r="Q105" t="s">
        <v>31</v>
      </c>
      <c r="R105" t="s">
        <v>32</v>
      </c>
      <c r="S105" s="2" t="str">
        <f>HYPERLINK("https://yandex.ru/maps/?&amp;text=51.306128, 37.892484", "51.306128, 37.892484")</f>
        <v>51.306128, 37.892484</v>
      </c>
      <c r="T105" s="2" t="str">
        <f>HYPERLINK("D:\venv_torgi\env\cache\objs_in_district/51.306128_37.892484.json", "51.306128_37.892484.json")</f>
        <v>51.306128_37.892484.json</v>
      </c>
      <c r="U105" t="s">
        <v>503</v>
      </c>
      <c r="W105" s="19">
        <v>28791.780206219712</v>
      </c>
      <c r="X105" s="20">
        <v>-20178.409495677311</v>
      </c>
      <c r="Y105">
        <v>0</v>
      </c>
    </row>
    <row r="106" spans="1:25">
      <c r="A106" s="8">
        <v>105</v>
      </c>
      <c r="B106">
        <v>31</v>
      </c>
      <c r="C106" s="1">
        <v>14.6</v>
      </c>
      <c r="D106" s="2" t="str">
        <f>HYPERLINK("https://torgi.gov.ru/new/public/lots/lot/21000026630000000002_1/(lotInfo:info)", "21000026630000000002_1")</f>
        <v>21000026630000000002_1</v>
      </c>
      <c r="E106" t="s">
        <v>504</v>
      </c>
      <c r="F106" s="3" t="s">
        <v>500</v>
      </c>
      <c r="G106" t="s">
        <v>505</v>
      </c>
      <c r="H106" s="4">
        <v>787800</v>
      </c>
      <c r="I106" s="4">
        <v>53958.904109589042</v>
      </c>
      <c r="J106" s="5" t="s">
        <v>29</v>
      </c>
      <c r="K106" s="5">
        <v>31.95</v>
      </c>
      <c r="L106" s="4">
        <v>1798.6</v>
      </c>
      <c r="M106">
        <v>1689</v>
      </c>
      <c r="N106" t="s">
        <v>502</v>
      </c>
      <c r="O106">
        <v>30</v>
      </c>
      <c r="P106" s="6">
        <v>100</v>
      </c>
      <c r="Q106" t="s">
        <v>31</v>
      </c>
      <c r="R106" t="s">
        <v>32</v>
      </c>
      <c r="S106" s="2" t="str">
        <f>HYPERLINK("https://yandex.ru/maps/?&amp;text=51.303886, 37.888603", "51.303886, 37.888603")</f>
        <v>51.303886, 37.888603</v>
      </c>
      <c r="T106" s="2" t="str">
        <f>HYPERLINK("D:\venv_torgi\env\cache\objs_in_district/51.303886_37.888603.json", "51.303886_37.888603.json")</f>
        <v>51.303886_37.888603.json</v>
      </c>
      <c r="U106" t="s">
        <v>506</v>
      </c>
      <c r="W106" s="19">
        <v>46084.220656344281</v>
      </c>
      <c r="X106" s="20">
        <v>-7874.683453244761</v>
      </c>
      <c r="Y106">
        <v>0</v>
      </c>
    </row>
    <row r="107" spans="1:25">
      <c r="A107" s="8">
        <v>106</v>
      </c>
      <c r="B107">
        <v>32</v>
      </c>
      <c r="C107" s="1">
        <v>1092.5</v>
      </c>
      <c r="D107" s="2" t="str">
        <f>HYPERLINK("https://torgi.gov.ru/new/public/lots/lot/21000030690000000016_2/(lotInfo:info)", "21000030690000000016_2")</f>
        <v>21000030690000000016_2</v>
      </c>
      <c r="E107" t="s">
        <v>507</v>
      </c>
      <c r="F107" s="3" t="s">
        <v>508</v>
      </c>
      <c r="G107" t="s">
        <v>509</v>
      </c>
      <c r="H107" s="4">
        <v>1140290</v>
      </c>
      <c r="I107" s="4">
        <v>1043.743707093822</v>
      </c>
      <c r="J107" s="5" t="s">
        <v>2078</v>
      </c>
      <c r="K107" s="10"/>
      <c r="L107" s="11"/>
      <c r="M107">
        <v>181</v>
      </c>
      <c r="N107" t="s">
        <v>39</v>
      </c>
      <c r="O107" t="s">
        <v>39</v>
      </c>
      <c r="Q107" t="s">
        <v>31</v>
      </c>
      <c r="R107" t="s">
        <v>51</v>
      </c>
      <c r="S107" s="2" t="str">
        <f>HYPERLINK("https://yandex.ru/maps/?&amp;text=53.051819, 32.084606", "53.051819, 32.084606")</f>
        <v>53.051819, 32.084606</v>
      </c>
      <c r="T107" s="12" t="str">
        <f>HYPERLINK("D:\venv_torgi\env\cache\objs_in_district/53.051819_32.084606.json", "53.051819_32.084606.json")</f>
        <v>53.051819_32.084606.json</v>
      </c>
      <c r="V107" s="7" t="s">
        <v>128</v>
      </c>
      <c r="W107" s="19">
        <v>4605.2933995586654</v>
      </c>
      <c r="X107" s="21">
        <v>3561.5496924648428</v>
      </c>
      <c r="Y107">
        <v>0</v>
      </c>
    </row>
    <row r="108" spans="1:25">
      <c r="A108" s="8">
        <v>107</v>
      </c>
      <c r="B108">
        <v>32</v>
      </c>
      <c r="C108" s="1">
        <v>1033.7</v>
      </c>
      <c r="D108" s="2" t="str">
        <f>HYPERLINK("https://torgi.gov.ru/new/public/lots/lot/21000030690000000016_1/(lotInfo:info)", "21000030690000000016_1")</f>
        <v>21000030690000000016_1</v>
      </c>
      <c r="E108" t="s">
        <v>510</v>
      </c>
      <c r="F108" s="3" t="s">
        <v>508</v>
      </c>
      <c r="G108" t="s">
        <v>511</v>
      </c>
      <c r="H108" s="4">
        <v>1146350</v>
      </c>
      <c r="I108" s="4">
        <v>1108.977459611106</v>
      </c>
      <c r="J108" s="5" t="s">
        <v>2078</v>
      </c>
      <c r="K108" s="10"/>
      <c r="L108" s="11"/>
      <c r="M108">
        <v>239</v>
      </c>
      <c r="N108" t="s">
        <v>39</v>
      </c>
      <c r="O108" t="s">
        <v>39</v>
      </c>
      <c r="P108" s="6">
        <v>500</v>
      </c>
      <c r="Q108" t="s">
        <v>31</v>
      </c>
      <c r="R108" t="s">
        <v>51</v>
      </c>
      <c r="S108" s="2" t="str">
        <f>HYPERLINK("https://yandex.ru/maps/?&amp;text=52.965224, 31.968822", "52.965224, 31.968822")</f>
        <v>52.965224, 31.968822</v>
      </c>
      <c r="T108" s="12" t="str">
        <f>HYPERLINK("D:\venv_torgi\env\cache\objs_in_district/52.965224_31.968822.json", "52.965224_31.968822.json")</f>
        <v>52.965224_31.968822.json</v>
      </c>
      <c r="V108" s="7" t="s">
        <v>128</v>
      </c>
      <c r="W108" s="19">
        <v>4605.2933995586654</v>
      </c>
      <c r="X108" s="21">
        <v>3496.3159399475589</v>
      </c>
      <c r="Y108">
        <v>0</v>
      </c>
    </row>
    <row r="109" spans="1:25">
      <c r="A109" s="8">
        <v>108</v>
      </c>
      <c r="B109">
        <v>32</v>
      </c>
      <c r="C109" s="1">
        <v>813.2</v>
      </c>
      <c r="D109" s="2" t="str">
        <f>HYPERLINK("https://torgi.gov.ru/new/public/lots/lot/21000030690000000016_3/(lotInfo:info)", "21000030690000000016_3")</f>
        <v>21000030690000000016_3</v>
      </c>
      <c r="E109" t="s">
        <v>512</v>
      </c>
      <c r="F109" s="3" t="s">
        <v>508</v>
      </c>
      <c r="G109" t="s">
        <v>513</v>
      </c>
      <c r="H109" s="4">
        <v>906400</v>
      </c>
      <c r="I109" s="4">
        <v>1114.6089522872601</v>
      </c>
      <c r="J109" s="5" t="s">
        <v>2078</v>
      </c>
      <c r="K109" s="10"/>
      <c r="L109" s="11"/>
      <c r="M109">
        <v>64</v>
      </c>
      <c r="N109" t="s">
        <v>39</v>
      </c>
      <c r="O109" t="s">
        <v>39</v>
      </c>
      <c r="Q109" t="s">
        <v>31</v>
      </c>
      <c r="R109" t="s">
        <v>51</v>
      </c>
      <c r="S109" s="2" t="str">
        <f>HYPERLINK("https://yandex.ru/maps/?&amp;text=52.993109, 31.955347", "52.993109, 31.955347")</f>
        <v>52.993109, 31.955347</v>
      </c>
      <c r="T109" s="12" t="str">
        <f>HYPERLINK("D:\venv_torgi\env\cache\objs_in_district/52.993109_31.955347.json", "52.993109_31.955347.json")</f>
        <v>52.993109_31.955347.json</v>
      </c>
      <c r="V109" s="7" t="s">
        <v>128</v>
      </c>
      <c r="W109" s="19">
        <v>4605.2933995586654</v>
      </c>
      <c r="X109" s="21">
        <v>3490.684447271406</v>
      </c>
      <c r="Y109">
        <v>0</v>
      </c>
    </row>
    <row r="110" spans="1:25">
      <c r="A110" s="8">
        <v>109</v>
      </c>
      <c r="B110">
        <v>32</v>
      </c>
      <c r="C110" s="1">
        <v>224</v>
      </c>
      <c r="D110" s="2" t="str">
        <f>HYPERLINK("https://torgi.gov.ru/new/public/lots/lot/21000013350000000010_1/(lotInfo:info)", "21000013350000000010_1")</f>
        <v>21000013350000000010_1</v>
      </c>
      <c r="E110" t="s">
        <v>514</v>
      </c>
      <c r="F110" s="3" t="s">
        <v>515</v>
      </c>
      <c r="G110" t="s">
        <v>516</v>
      </c>
      <c r="H110" s="4">
        <v>895000</v>
      </c>
      <c r="I110" s="4">
        <v>3995.5357142857142</v>
      </c>
      <c r="J110" s="5" t="s">
        <v>29</v>
      </c>
      <c r="K110" s="10"/>
      <c r="L110" s="11"/>
      <c r="M110">
        <v>348</v>
      </c>
      <c r="N110" t="s">
        <v>39</v>
      </c>
      <c r="O110" t="s">
        <v>39</v>
      </c>
      <c r="P110" s="6">
        <v>2300</v>
      </c>
      <c r="Q110" t="s">
        <v>31</v>
      </c>
      <c r="R110" t="s">
        <v>32</v>
      </c>
      <c r="S110" s="2" t="str">
        <f>HYPERLINK("https://yandex.ru/maps/?&amp;text=53.012044, 31.58048", "53.012044, 31.58048")</f>
        <v>53.012044, 31.58048</v>
      </c>
      <c r="T110" s="12" t="str">
        <f>HYPERLINK("D:\venv_torgi\env\cache\objs_in_district/53.012044_31.58048.json", "53.012044_31.58048.json")</f>
        <v>53.012044_31.58048.json</v>
      </c>
      <c r="U110" t="s">
        <v>517</v>
      </c>
      <c r="V110" s="7" t="s">
        <v>34</v>
      </c>
      <c r="W110" s="19">
        <v>10661.45189182739</v>
      </c>
      <c r="X110" s="21">
        <v>6665.9161775416796</v>
      </c>
      <c r="Y110">
        <v>0</v>
      </c>
    </row>
    <row r="111" spans="1:25">
      <c r="A111" s="8">
        <v>110</v>
      </c>
      <c r="B111">
        <v>32</v>
      </c>
      <c r="C111" s="1">
        <v>125.6</v>
      </c>
      <c r="D111" s="2" t="str">
        <f>HYPERLINK("https://torgi.gov.ru/new/public/lots/lot/21000013350000000020_1/(lotInfo:info)", "21000013350000000020_1")</f>
        <v>21000013350000000020_1</v>
      </c>
      <c r="E111" t="s">
        <v>518</v>
      </c>
      <c r="F111" s="3" t="s">
        <v>519</v>
      </c>
      <c r="G111" t="s">
        <v>520</v>
      </c>
      <c r="H111" s="4">
        <v>519000</v>
      </c>
      <c r="I111" s="4">
        <v>4132.1656050955417</v>
      </c>
      <c r="J111" s="5" t="s">
        <v>2078</v>
      </c>
      <c r="K111" s="10"/>
      <c r="L111" s="11"/>
      <c r="M111">
        <v>214</v>
      </c>
      <c r="N111" t="s">
        <v>39</v>
      </c>
      <c r="O111" t="s">
        <v>39</v>
      </c>
      <c r="P111" s="6">
        <v>2300</v>
      </c>
      <c r="Q111" t="s">
        <v>31</v>
      </c>
      <c r="R111" t="s">
        <v>32</v>
      </c>
      <c r="S111" s="2" t="str">
        <f>HYPERLINK("https://yandex.ru/maps/?&amp;text=52.990291, 31.621938", "52.990291, 31.621938")</f>
        <v>52.990291, 31.621938</v>
      </c>
      <c r="T111" s="12" t="str">
        <f>HYPERLINK("D:\venv_torgi\env\cache\objs_in_district/52.990291_31.621938.json", "52.990291_31.621938.json")</f>
        <v>52.990291_31.621938.json</v>
      </c>
      <c r="U111" t="s">
        <v>521</v>
      </c>
      <c r="V111" s="7" t="s">
        <v>34</v>
      </c>
      <c r="W111" s="19">
        <v>14930.943770233611</v>
      </c>
      <c r="X111" s="21">
        <v>10798.77816513807</v>
      </c>
      <c r="Y111">
        <v>0</v>
      </c>
    </row>
    <row r="112" spans="1:25">
      <c r="A112" s="8">
        <v>111</v>
      </c>
      <c r="B112">
        <v>32</v>
      </c>
      <c r="C112" s="1">
        <v>126.7</v>
      </c>
      <c r="D112" s="2" t="str">
        <f>HYPERLINK("https://torgi.gov.ru/new/public/lots/lot/21000013350000000014_1/(lotInfo:info)", "21000013350000000014_1")</f>
        <v>21000013350000000014_1</v>
      </c>
      <c r="E112" t="s">
        <v>522</v>
      </c>
      <c r="F112" s="3" t="s">
        <v>523</v>
      </c>
      <c r="G112" t="s">
        <v>524</v>
      </c>
      <c r="H112" s="4">
        <v>650000</v>
      </c>
      <c r="I112" s="4">
        <v>5130.2288871349647</v>
      </c>
      <c r="J112" s="5" t="s">
        <v>2078</v>
      </c>
      <c r="K112" s="10"/>
      <c r="L112" s="11"/>
      <c r="M112">
        <v>446</v>
      </c>
      <c r="N112" t="s">
        <v>39</v>
      </c>
      <c r="O112" t="s">
        <v>39</v>
      </c>
      <c r="P112" s="6">
        <v>1900</v>
      </c>
      <c r="Q112" t="s">
        <v>31</v>
      </c>
      <c r="R112" t="s">
        <v>32</v>
      </c>
      <c r="S112" s="2" t="str">
        <f>HYPERLINK("https://yandex.ru/maps/?&amp;text=53.013468, 31.58578", "53.013468, 31.58578")</f>
        <v>53.013468, 31.58578</v>
      </c>
      <c r="T112" s="12" t="str">
        <f>HYPERLINK("D:\venv_torgi\env\cache\objs_in_district/53.013468_31.58578.json", "53.013468_31.58578.json")</f>
        <v>53.013468_31.58578.json</v>
      </c>
      <c r="U112" t="s">
        <v>525</v>
      </c>
      <c r="V112" s="7" t="s">
        <v>34</v>
      </c>
      <c r="W112" s="19">
        <v>14930.943770233611</v>
      </c>
      <c r="X112" s="21">
        <v>9800.714883098648</v>
      </c>
      <c r="Y112">
        <v>0</v>
      </c>
    </row>
    <row r="113" spans="1:26">
      <c r="A113" s="8">
        <v>112</v>
      </c>
      <c r="B113">
        <v>32</v>
      </c>
      <c r="C113" s="1">
        <v>100.9</v>
      </c>
      <c r="D113" s="2" t="str">
        <f>HYPERLINK("https://torgi.gov.ru/new/public/lots/lot/21000008500000000009_1/(lotInfo:info)", "21000008500000000009_1")</f>
        <v>21000008500000000009_1</v>
      </c>
      <c r="E113" t="s">
        <v>526</v>
      </c>
      <c r="F113" s="3" t="s">
        <v>527</v>
      </c>
      <c r="G113" t="s">
        <v>528</v>
      </c>
      <c r="H113" s="4">
        <v>1440000</v>
      </c>
      <c r="I113" s="4">
        <v>14271.55599603568</v>
      </c>
      <c r="J113" s="5" t="s">
        <v>29</v>
      </c>
      <c r="K113" s="5">
        <v>5.77</v>
      </c>
      <c r="L113" s="4">
        <v>648.67999999999995</v>
      </c>
      <c r="M113">
        <v>2472</v>
      </c>
      <c r="N113" t="s">
        <v>529</v>
      </c>
      <c r="O113">
        <v>22</v>
      </c>
      <c r="Q113" t="s">
        <v>31</v>
      </c>
      <c r="R113" t="s">
        <v>32</v>
      </c>
      <c r="S113" s="2" t="str">
        <f>HYPERLINK("https://yandex.ru/maps/?&amp;text=53.25897, 34.442783", "53.25897, 34.442783")</f>
        <v>53.25897, 34.442783</v>
      </c>
      <c r="T113" s="2" t="str">
        <f>HYPERLINK("D:\venv_torgi\env\cache\objs_in_district/53.25897_34.442783.json", "53.25897_34.442783.json")</f>
        <v>53.25897_34.442783.json</v>
      </c>
      <c r="U113" t="s">
        <v>530</v>
      </c>
      <c r="V113" s="7" t="s">
        <v>34</v>
      </c>
      <c r="W113" s="19">
        <v>28791.780206219712</v>
      </c>
      <c r="X113" s="21">
        <v>14520.224210184029</v>
      </c>
      <c r="Y113">
        <v>0</v>
      </c>
    </row>
    <row r="114" spans="1:26">
      <c r="A114" s="8">
        <v>113</v>
      </c>
      <c r="B114">
        <v>32</v>
      </c>
      <c r="C114" s="1">
        <v>105.3</v>
      </c>
      <c r="D114" s="2" t="str">
        <f>HYPERLINK("https://torgi.gov.ru/new/public/lots/lot/21000008500000000063_1/(lotInfo:info)", "21000008500000000063_1")</f>
        <v>21000008500000000063_1</v>
      </c>
      <c r="E114" t="s">
        <v>531</v>
      </c>
      <c r="F114" s="3" t="s">
        <v>532</v>
      </c>
      <c r="G114" t="s">
        <v>533</v>
      </c>
      <c r="H114" s="4">
        <v>1650000</v>
      </c>
      <c r="I114" s="4">
        <v>15669.515669515669</v>
      </c>
      <c r="J114" s="5" t="s">
        <v>29</v>
      </c>
      <c r="K114" s="5">
        <v>2.27</v>
      </c>
      <c r="L114" s="4">
        <v>1205.31</v>
      </c>
      <c r="M114">
        <v>6891</v>
      </c>
      <c r="N114" t="s">
        <v>529</v>
      </c>
      <c r="O114">
        <v>13</v>
      </c>
      <c r="P114" s="6">
        <v>300</v>
      </c>
      <c r="Q114" t="s">
        <v>31</v>
      </c>
      <c r="R114" t="s">
        <v>32</v>
      </c>
      <c r="S114" s="2" t="str">
        <f>HYPERLINK("https://yandex.ru/maps/?&amp;text=53.304996, 34.2944", "53.304996, 34.2944")</f>
        <v>53.304996, 34.2944</v>
      </c>
      <c r="T114" s="2" t="str">
        <f>HYPERLINK("D:\venv_torgi\env\cache\objs_in_district/53.304996_34.2944.json", "53.304996_34.2944.json")</f>
        <v>53.304996_34.2944.json</v>
      </c>
      <c r="U114" t="s">
        <v>534</v>
      </c>
      <c r="V114" s="7" t="s">
        <v>34</v>
      </c>
      <c r="W114" s="19">
        <v>28791.780206219712</v>
      </c>
      <c r="X114" s="21">
        <v>13122.26453670404</v>
      </c>
      <c r="Y114">
        <v>0</v>
      </c>
    </row>
    <row r="115" spans="1:26">
      <c r="A115" s="8">
        <v>114</v>
      </c>
      <c r="B115">
        <v>32</v>
      </c>
      <c r="C115" s="1">
        <v>54</v>
      </c>
      <c r="D115" s="2" t="str">
        <f>HYPERLINK("https://torgi.gov.ru/new/public/lots/lot/21000008500000000043_1/(lotInfo:info)", "21000008500000000043_1")</f>
        <v>21000008500000000043_1</v>
      </c>
      <c r="E115" t="s">
        <v>535</v>
      </c>
      <c r="F115" s="3" t="s">
        <v>536</v>
      </c>
      <c r="G115" t="s">
        <v>537</v>
      </c>
      <c r="H115" s="4">
        <v>1344000</v>
      </c>
      <c r="I115" s="4">
        <v>24888.888888888891</v>
      </c>
      <c r="J115" s="5" t="s">
        <v>29</v>
      </c>
      <c r="K115" s="5">
        <v>6.86</v>
      </c>
      <c r="L115" s="4">
        <v>1082.0899999999999</v>
      </c>
      <c r="M115">
        <v>3630</v>
      </c>
      <c r="N115" t="s">
        <v>529</v>
      </c>
      <c r="O115">
        <v>23</v>
      </c>
      <c r="P115" s="6">
        <v>900</v>
      </c>
      <c r="Q115" t="s">
        <v>31</v>
      </c>
      <c r="R115" t="s">
        <v>32</v>
      </c>
      <c r="S115" s="2" t="str">
        <f>HYPERLINK("https://yandex.ru/maps/?&amp;text=53.248675, 34.448226", "53.248675, 34.448226")</f>
        <v>53.248675, 34.448226</v>
      </c>
      <c r="T115" s="2" t="str">
        <f>HYPERLINK("D:\venv_torgi\env\cache\objs_in_district/53.248675_34.448226.json", "53.248675_34.448226.json")</f>
        <v>53.248675_34.448226.json</v>
      </c>
      <c r="U115" t="s">
        <v>538</v>
      </c>
      <c r="V115" s="7" t="s">
        <v>34</v>
      </c>
      <c r="W115" s="19">
        <v>28791.780206219712</v>
      </c>
      <c r="X115" s="21">
        <v>3902.891317330821</v>
      </c>
      <c r="Y115">
        <v>0</v>
      </c>
    </row>
    <row r="116" spans="1:26">
      <c r="A116" s="8">
        <v>115</v>
      </c>
      <c r="B116">
        <v>32</v>
      </c>
      <c r="C116" s="1">
        <v>37.6</v>
      </c>
      <c r="D116" s="2" t="str">
        <f>HYPERLINK("https://torgi.gov.ru/new/public/lots/lot/21000008500000000083_1/(lotInfo:info)", "21000008500000000083_1")</f>
        <v>21000008500000000083_1</v>
      </c>
      <c r="E116" t="s">
        <v>539</v>
      </c>
      <c r="F116" s="3" t="s">
        <v>540</v>
      </c>
      <c r="G116" t="s">
        <v>541</v>
      </c>
      <c r="H116" s="4">
        <v>980000</v>
      </c>
      <c r="I116" s="4">
        <v>26063.829787234041</v>
      </c>
      <c r="J116" s="5" t="s">
        <v>29</v>
      </c>
      <c r="K116" s="5">
        <v>2.68</v>
      </c>
      <c r="L116" s="4">
        <v>1737.53</v>
      </c>
      <c r="M116">
        <v>9737</v>
      </c>
      <c r="N116" t="s">
        <v>529</v>
      </c>
      <c r="O116">
        <v>15</v>
      </c>
      <c r="Q116" t="s">
        <v>31</v>
      </c>
      <c r="R116" t="s">
        <v>32</v>
      </c>
      <c r="S116" s="2" t="str">
        <f>HYPERLINK("https://yandex.ru/maps/?&amp;text=53.301632, 34.29324", "53.301632, 34.29324")</f>
        <v>53.301632, 34.29324</v>
      </c>
      <c r="T116" s="2" t="str">
        <f>HYPERLINK("D:\venv_torgi\env\cache\objs_in_district/53.301632_34.29324.json", "53.301632_34.29324.json")</f>
        <v>53.301632_34.29324.json</v>
      </c>
      <c r="U116" t="s">
        <v>542</v>
      </c>
      <c r="V116" s="7" t="s">
        <v>34</v>
      </c>
      <c r="W116" s="19">
        <v>28791.780206219712</v>
      </c>
      <c r="X116" s="21">
        <v>2727.9504189856711</v>
      </c>
      <c r="Y116">
        <v>0</v>
      </c>
    </row>
    <row r="117" spans="1:26">
      <c r="A117" s="8">
        <v>116</v>
      </c>
      <c r="B117">
        <v>32</v>
      </c>
      <c r="C117" s="1">
        <v>69</v>
      </c>
      <c r="D117" s="2" t="str">
        <f>HYPERLINK("https://torgi.gov.ru/new/public/lots/lot/21000008500000000006_1/(lotInfo:info)", "21000008500000000006_1")</f>
        <v>21000008500000000006_1</v>
      </c>
      <c r="E117" t="s">
        <v>543</v>
      </c>
      <c r="F117" s="3" t="s">
        <v>527</v>
      </c>
      <c r="G117" t="s">
        <v>544</v>
      </c>
      <c r="H117" s="4">
        <v>2577000</v>
      </c>
      <c r="I117" s="4">
        <v>37347.82608695652</v>
      </c>
      <c r="J117" s="5" t="s">
        <v>29</v>
      </c>
      <c r="K117" s="5">
        <v>6.64</v>
      </c>
      <c r="L117" s="4">
        <v>1204.74</v>
      </c>
      <c r="M117">
        <v>5625</v>
      </c>
      <c r="N117" t="s">
        <v>529</v>
      </c>
      <c r="O117">
        <v>31</v>
      </c>
      <c r="P117" s="6">
        <v>700</v>
      </c>
      <c r="Q117" t="s">
        <v>31</v>
      </c>
      <c r="R117" t="s">
        <v>32</v>
      </c>
      <c r="S117" s="2" t="str">
        <f>HYPERLINK("https://yandex.ru/maps/?&amp;text=53.2517967, 34.4422385", "53.2517967, 34.4422385")</f>
        <v>53.2517967, 34.4422385</v>
      </c>
      <c r="T117" s="2" t="str">
        <f>HYPERLINK("D:\venv_torgi\env\cache\objs_in_district/53.2517967_34.4422385.json", "53.2517967_34.4422385.json")</f>
        <v>53.2517967_34.4422385.json</v>
      </c>
      <c r="U117" t="s">
        <v>545</v>
      </c>
      <c r="V117" s="7" t="s">
        <v>34</v>
      </c>
      <c r="W117" s="19">
        <v>28791.780206219712</v>
      </c>
      <c r="X117" s="20">
        <v>-8556.0458807368086</v>
      </c>
      <c r="Y117">
        <v>0</v>
      </c>
    </row>
    <row r="118" spans="1:26">
      <c r="A118" s="8">
        <v>117</v>
      </c>
      <c r="B118">
        <v>33</v>
      </c>
      <c r="C118" s="1">
        <v>758.4</v>
      </c>
      <c r="D118" s="2" t="str">
        <f>HYPERLINK("https://torgi.gov.ru/new/public/lots/lot/21000001470000000002_1/(lotInfo:info)", "21000001470000000002_1")</f>
        <v>21000001470000000002_1</v>
      </c>
      <c r="E118" t="s">
        <v>546</v>
      </c>
      <c r="F118" s="3" t="s">
        <v>547</v>
      </c>
      <c r="G118" t="s">
        <v>548</v>
      </c>
      <c r="H118" s="4">
        <v>2002500</v>
      </c>
      <c r="I118" s="4">
        <v>2640.427215189874</v>
      </c>
      <c r="J118" s="5" t="s">
        <v>2082</v>
      </c>
      <c r="K118" s="5">
        <v>1.92</v>
      </c>
      <c r="L118" s="4">
        <v>64.39</v>
      </c>
      <c r="M118">
        <v>1377</v>
      </c>
      <c r="N118" t="s">
        <v>549</v>
      </c>
      <c r="O118">
        <v>41</v>
      </c>
      <c r="P118" s="6">
        <v>100</v>
      </c>
      <c r="Q118" t="s">
        <v>40</v>
      </c>
      <c r="R118" t="s">
        <v>32</v>
      </c>
      <c r="S118" s="2" t="str">
        <f>HYPERLINK("https://yandex.ru/maps/?&amp;text=56.29895, 39.37774", "56.29895, 39.37774")</f>
        <v>56.29895, 39.37774</v>
      </c>
      <c r="T118" s="2" t="str">
        <f>HYPERLINK("D:\venv_torgi\env\cache\objs_in_district/56.29895_39.37774.json", "56.29895_39.37774.json")</f>
        <v>56.29895_39.37774.json</v>
      </c>
      <c r="U118" t="s">
        <v>550</v>
      </c>
      <c r="W118" s="19">
        <v>7354.489883546642</v>
      </c>
      <c r="X118" s="21">
        <v>4714.062668356768</v>
      </c>
      <c r="Y118">
        <v>1</v>
      </c>
    </row>
    <row r="119" spans="1:26">
      <c r="A119" s="8">
        <v>118</v>
      </c>
      <c r="B119">
        <v>33</v>
      </c>
      <c r="C119" s="1">
        <v>467.8</v>
      </c>
      <c r="D119" s="2" t="str">
        <f>HYPERLINK("https://torgi.gov.ru/new/public/lots/lot/22000112030000000001_1/(lotInfo:info)", "22000112030000000001_1")</f>
        <v>22000112030000000001_1</v>
      </c>
      <c r="E119" t="s">
        <v>551</v>
      </c>
      <c r="F119" s="3" t="s">
        <v>248</v>
      </c>
      <c r="G119" t="s">
        <v>552</v>
      </c>
      <c r="H119" s="4">
        <v>1600000</v>
      </c>
      <c r="I119" s="4">
        <v>3420.2650705429669</v>
      </c>
      <c r="J119" s="5" t="s">
        <v>29</v>
      </c>
      <c r="K119" s="5">
        <v>1</v>
      </c>
      <c r="L119" s="4">
        <v>190</v>
      </c>
      <c r="M119">
        <v>3414</v>
      </c>
      <c r="N119" t="s">
        <v>553</v>
      </c>
      <c r="O119">
        <v>18</v>
      </c>
      <c r="P119" s="6">
        <v>200</v>
      </c>
      <c r="Q119" t="s">
        <v>31</v>
      </c>
      <c r="R119" t="s">
        <v>32</v>
      </c>
      <c r="S119" s="2" t="str">
        <f>HYPERLINK("https://yandex.ru/maps/?&amp;text=56.34432, 41.295544", "56.34432, 41.295544")</f>
        <v>56.34432, 41.295544</v>
      </c>
      <c r="T119" s="2" t="str">
        <f>HYPERLINK("D:\venv_torgi\env\cache\objs_in_district/56.34432_41.295544.json", "56.34432_41.295544.json")</f>
        <v>56.34432_41.295544.json</v>
      </c>
      <c r="U119" t="s">
        <v>554</v>
      </c>
      <c r="W119" s="19">
        <v>7354.489883546642</v>
      </c>
      <c r="X119" s="21">
        <v>3934.2248130036751</v>
      </c>
      <c r="Y119">
        <v>0</v>
      </c>
    </row>
    <row r="120" spans="1:26">
      <c r="A120" s="8">
        <v>119</v>
      </c>
      <c r="B120">
        <v>33</v>
      </c>
      <c r="C120" s="1">
        <v>271.60000000000002</v>
      </c>
      <c r="D120" s="2" t="str">
        <f>HYPERLINK("https://torgi.gov.ru/new/public/lots/lot/22000010510000000002_1/(lotInfo:info)", "22000010510000000002_1")</f>
        <v>22000010510000000002_1</v>
      </c>
      <c r="E120" t="s">
        <v>555</v>
      </c>
      <c r="F120" s="3" t="s">
        <v>556</v>
      </c>
      <c r="G120" t="s">
        <v>557</v>
      </c>
      <c r="H120" s="4">
        <v>3290957</v>
      </c>
      <c r="I120" s="4">
        <v>12116.92562592047</v>
      </c>
      <c r="J120" s="5" t="s">
        <v>29</v>
      </c>
      <c r="K120" s="5">
        <v>13.26</v>
      </c>
      <c r="L120" s="4">
        <v>1009.67</v>
      </c>
      <c r="M120">
        <v>914</v>
      </c>
      <c r="N120" t="s">
        <v>558</v>
      </c>
      <c r="O120">
        <v>12</v>
      </c>
      <c r="P120" s="6">
        <v>200</v>
      </c>
      <c r="Q120" t="s">
        <v>31</v>
      </c>
      <c r="R120" t="s">
        <v>32</v>
      </c>
      <c r="S120" s="2" t="str">
        <f>HYPERLINK("https://yandex.ru/maps/?&amp;text=55.911198, 39.177982", "55.911198, 39.177982")</f>
        <v>55.911198, 39.177982</v>
      </c>
      <c r="T120" s="2" t="str">
        <f>HYPERLINK("D:\venv_torgi\env\cache\objs_in_district/55.911198_39.177982.json", "55.911198_39.177982.json")</f>
        <v>55.911198_39.177982.json</v>
      </c>
      <c r="U120" t="s">
        <v>559</v>
      </c>
      <c r="V120" s="7" t="s">
        <v>34</v>
      </c>
      <c r="W120" s="19">
        <v>10661.45189182739</v>
      </c>
      <c r="X120" s="20">
        <v>-1455.4737340930769</v>
      </c>
      <c r="Y120">
        <v>0</v>
      </c>
    </row>
    <row r="121" spans="1:26">
      <c r="A121" s="8">
        <v>120</v>
      </c>
      <c r="B121">
        <v>33</v>
      </c>
      <c r="C121" s="1">
        <v>168</v>
      </c>
      <c r="D121" s="2" t="str">
        <f>HYPERLINK("https://torgi.gov.ru/new/public/lots/lot/21000019300000000008_1/(lotInfo:info)", "21000019300000000008_1")</f>
        <v>21000019300000000008_1</v>
      </c>
      <c r="E121" t="s">
        <v>560</v>
      </c>
      <c r="F121" s="3" t="s">
        <v>561</v>
      </c>
      <c r="G121" t="s">
        <v>562</v>
      </c>
      <c r="H121" s="4">
        <v>4911065.8</v>
      </c>
      <c r="I121" s="4">
        <v>29232.534523809521</v>
      </c>
      <c r="J121" s="5" t="s">
        <v>2083</v>
      </c>
      <c r="K121" s="5">
        <v>10.74</v>
      </c>
      <c r="L121" s="4">
        <v>635.48</v>
      </c>
      <c r="M121">
        <v>2721</v>
      </c>
      <c r="N121" t="s">
        <v>563</v>
      </c>
      <c r="O121">
        <v>46</v>
      </c>
      <c r="P121" s="6">
        <v>700</v>
      </c>
      <c r="Q121" t="s">
        <v>40</v>
      </c>
      <c r="R121" t="s">
        <v>32</v>
      </c>
      <c r="S121" s="2" t="str">
        <f>HYPERLINK("https://yandex.ru/maps/?&amp;text=55.99076, 40.020449", "55.99076, 40.020449")</f>
        <v>55.99076, 40.020449</v>
      </c>
      <c r="T121" s="2" t="str">
        <f>HYPERLINK("D:\venv_torgi\env\cache\objs_in_district/55.99076_40.020449.json", "55.99076_40.020449.json")</f>
        <v>55.99076_40.020449.json</v>
      </c>
      <c r="U121" t="s">
        <v>564</v>
      </c>
      <c r="V121" s="7" t="s">
        <v>34</v>
      </c>
      <c r="W121" s="19">
        <v>19931.15122427437</v>
      </c>
      <c r="X121" s="20">
        <v>-9301.3832995351477</v>
      </c>
      <c r="Y121">
        <v>0</v>
      </c>
      <c r="Z121">
        <v>1</v>
      </c>
    </row>
    <row r="122" spans="1:26">
      <c r="A122" s="8">
        <v>121</v>
      </c>
      <c r="B122">
        <v>33</v>
      </c>
      <c r="C122" s="1">
        <v>21.3</v>
      </c>
      <c r="D122" s="2" t="str">
        <f>HYPERLINK("https://torgi.gov.ru/new/public/lots/lot/21000004310000000145_4/(lotInfo:info)", "21000004310000000145_4")</f>
        <v>21000004310000000145_4</v>
      </c>
      <c r="E122" t="s">
        <v>565</v>
      </c>
      <c r="F122" s="3" t="s">
        <v>566</v>
      </c>
      <c r="G122" t="s">
        <v>567</v>
      </c>
      <c r="H122" s="4">
        <v>665162</v>
      </c>
      <c r="I122" s="4">
        <v>31228.262910798119</v>
      </c>
      <c r="J122" s="5" t="s">
        <v>29</v>
      </c>
      <c r="K122" s="5">
        <v>6.68</v>
      </c>
      <c r="L122" s="4">
        <v>946.3</v>
      </c>
      <c r="M122">
        <v>4673</v>
      </c>
      <c r="N122" t="s">
        <v>568</v>
      </c>
      <c r="O122">
        <v>33</v>
      </c>
      <c r="P122" s="6">
        <v>300</v>
      </c>
      <c r="Q122" t="s">
        <v>31</v>
      </c>
      <c r="R122" t="s">
        <v>51</v>
      </c>
      <c r="S122" s="2" t="str">
        <f>HYPERLINK("https://yandex.ru/maps/?&amp;text=56.132138, 40.389944", "56.132138, 40.389944")</f>
        <v>56.132138, 40.389944</v>
      </c>
      <c r="T122" s="2" t="str">
        <f>HYPERLINK("D:\venv_torgi\env\cache\objs_in_district/56.132138_40.389944.json", "56.132138_40.389944.json")</f>
        <v>56.132138_40.389944.json</v>
      </c>
      <c r="U122" t="s">
        <v>569</v>
      </c>
      <c r="W122" s="19">
        <v>28791.780206219712</v>
      </c>
      <c r="X122" s="20">
        <v>-2436.4827045784082</v>
      </c>
      <c r="Y122">
        <v>0</v>
      </c>
    </row>
    <row r="123" spans="1:26">
      <c r="A123" s="8">
        <v>122</v>
      </c>
      <c r="B123">
        <v>34</v>
      </c>
      <c r="C123" s="1">
        <v>863.72</v>
      </c>
      <c r="D123" s="2" t="str">
        <f>HYPERLINK("https://torgi.gov.ru/new/public/lots/lot/21000004930000000009_1/(lotInfo:info)", "21000004930000000009_1")</f>
        <v>21000004930000000009_1</v>
      </c>
      <c r="E123" t="s">
        <v>570</v>
      </c>
      <c r="F123" s="3" t="s">
        <v>571</v>
      </c>
      <c r="G123" t="s">
        <v>572</v>
      </c>
      <c r="H123" s="4">
        <v>2700000</v>
      </c>
      <c r="I123" s="4">
        <v>3126.0130597878938</v>
      </c>
      <c r="J123" s="5" t="s">
        <v>2078</v>
      </c>
      <c r="K123" s="5">
        <v>4.4000000000000004</v>
      </c>
      <c r="L123" s="4">
        <v>347.33</v>
      </c>
      <c r="M123">
        <v>711</v>
      </c>
      <c r="N123" t="s">
        <v>573</v>
      </c>
      <c r="O123">
        <v>9</v>
      </c>
      <c r="P123" s="6">
        <v>1700</v>
      </c>
      <c r="Q123" t="s">
        <v>574</v>
      </c>
      <c r="R123" t="s">
        <v>32</v>
      </c>
      <c r="S123" s="2" t="str">
        <f>HYPERLINK("https://yandex.ru/maps/?&amp;text=49.066343, 44.817911", "49.066343, 44.817911")</f>
        <v>49.066343, 44.817911</v>
      </c>
      <c r="T123" s="2" t="str">
        <f>HYPERLINK("D:\venv_torgi\env\cache\objs_in_district/49.066343_44.817911.json", "49.066343_44.817911.json")</f>
        <v>49.066343_44.817911.json</v>
      </c>
      <c r="U123" t="s">
        <v>575</v>
      </c>
      <c r="W123" s="19">
        <v>4605.2933995586654</v>
      </c>
      <c r="X123" s="21">
        <v>1479.2803397707719</v>
      </c>
      <c r="Y123">
        <v>0</v>
      </c>
    </row>
    <row r="124" spans="1:26">
      <c r="A124" s="8">
        <v>123</v>
      </c>
      <c r="B124">
        <v>34</v>
      </c>
      <c r="C124" s="1">
        <v>606.5</v>
      </c>
      <c r="D124" s="2" t="str">
        <f>HYPERLINK("https://torgi.gov.ru/new/public/lots/lot/21000004930000000003_1/(lotInfo:info)", "21000004930000000003_1")</f>
        <v>21000004930000000003_1</v>
      </c>
      <c r="E124" t="s">
        <v>576</v>
      </c>
      <c r="F124" s="3" t="s">
        <v>577</v>
      </c>
      <c r="G124" t="s">
        <v>578</v>
      </c>
      <c r="H124" s="4">
        <v>2111111.11</v>
      </c>
      <c r="I124" s="4">
        <v>3480.8097444352838</v>
      </c>
      <c r="J124" s="5" t="s">
        <v>29</v>
      </c>
      <c r="K124" s="5">
        <v>0.75</v>
      </c>
      <c r="L124" s="4">
        <v>204.71</v>
      </c>
      <c r="M124">
        <v>4665</v>
      </c>
      <c r="N124" t="s">
        <v>579</v>
      </c>
      <c r="O124">
        <v>17</v>
      </c>
      <c r="P124" s="6">
        <v>1200</v>
      </c>
      <c r="Q124" t="s">
        <v>574</v>
      </c>
      <c r="R124" t="s">
        <v>32</v>
      </c>
      <c r="S124" s="2" t="str">
        <f>HYPERLINK("https://yandex.ru/maps/?&amp;text=48.807931, 44.590008", "48.807931, 44.590008")</f>
        <v>48.807931, 44.590008</v>
      </c>
      <c r="T124" s="2" t="str">
        <f>HYPERLINK("D:\venv_torgi\env\cache\objs_in_district/48.807931_44.590008.json", "48.807931_44.590008.json")</f>
        <v>48.807931_44.590008.json</v>
      </c>
      <c r="U124" t="s">
        <v>580</v>
      </c>
      <c r="W124" s="19">
        <v>7354.489883546642</v>
      </c>
      <c r="X124" s="21">
        <v>3873.6801391113581</v>
      </c>
      <c r="Y124">
        <v>0</v>
      </c>
    </row>
    <row r="125" spans="1:26">
      <c r="A125" s="8">
        <v>124</v>
      </c>
      <c r="B125">
        <v>34</v>
      </c>
      <c r="C125" s="1">
        <v>296.7</v>
      </c>
      <c r="D125" s="2" t="str">
        <f>HYPERLINK("https://torgi.gov.ru/new/public/lots/lot/21000003300000000039_3/(lotInfo:info)", "21000003300000000039_3")</f>
        <v>21000003300000000039_3</v>
      </c>
      <c r="E125" t="s">
        <v>581</v>
      </c>
      <c r="F125" s="3" t="s">
        <v>582</v>
      </c>
      <c r="G125" t="s">
        <v>583</v>
      </c>
      <c r="H125" s="4">
        <v>2888800</v>
      </c>
      <c r="I125" s="4">
        <v>9736.4341085271317</v>
      </c>
      <c r="J125" s="5" t="s">
        <v>29</v>
      </c>
      <c r="K125" s="5">
        <v>1.07</v>
      </c>
      <c r="L125" s="4">
        <v>237.46</v>
      </c>
      <c r="M125">
        <v>9130</v>
      </c>
      <c r="N125" t="s">
        <v>579</v>
      </c>
      <c r="O125">
        <v>41</v>
      </c>
      <c r="P125" s="6">
        <v>500</v>
      </c>
      <c r="Q125" t="s">
        <v>40</v>
      </c>
      <c r="R125" t="s">
        <v>32</v>
      </c>
      <c r="S125" s="2" t="str">
        <f>HYPERLINK("https://yandex.ru/maps/?&amp;text=48.76918, 44.48468", "48.76918, 44.48468")</f>
        <v>48.76918, 44.48468</v>
      </c>
      <c r="T125" s="2" t="str">
        <f>HYPERLINK("D:\venv_torgi\env\cache\objs_in_district/48.76918_44.48468.json", "48.76918_44.48468.json")</f>
        <v>48.76918_44.48468.json</v>
      </c>
      <c r="U125" t="s">
        <v>584</v>
      </c>
      <c r="V125" s="7" t="s">
        <v>39</v>
      </c>
      <c r="W125" s="19">
        <v>10661.45189182739</v>
      </c>
      <c r="X125" s="19">
        <v>925.01778330026173</v>
      </c>
      <c r="Y125">
        <v>0</v>
      </c>
    </row>
    <row r="126" spans="1:26">
      <c r="A126" s="8">
        <v>125</v>
      </c>
      <c r="B126">
        <v>34</v>
      </c>
      <c r="C126" s="1">
        <v>65.400000000000006</v>
      </c>
      <c r="D126" s="2" t="str">
        <f>HYPERLINK("https://torgi.gov.ru/new/public/lots/lot/21000029410000000004_1/(lotInfo:info)", "21000029410000000004_1")</f>
        <v>21000029410000000004_1</v>
      </c>
      <c r="E126" t="s">
        <v>585</v>
      </c>
      <c r="F126" s="3" t="s">
        <v>586</v>
      </c>
      <c r="G126" t="s">
        <v>587</v>
      </c>
      <c r="H126" s="4">
        <v>881000</v>
      </c>
      <c r="I126" s="4">
        <v>13470.948012232409</v>
      </c>
      <c r="J126" s="5" t="s">
        <v>2078</v>
      </c>
      <c r="K126" s="5">
        <v>7.63</v>
      </c>
      <c r="L126" s="4">
        <v>4490</v>
      </c>
      <c r="M126">
        <v>1766</v>
      </c>
      <c r="N126" t="s">
        <v>588</v>
      </c>
      <c r="O126">
        <v>3</v>
      </c>
      <c r="P126" s="6">
        <v>800</v>
      </c>
      <c r="Q126" t="s">
        <v>31</v>
      </c>
      <c r="R126" t="s">
        <v>32</v>
      </c>
      <c r="S126" s="2" t="str">
        <f>HYPERLINK("https://yandex.ru/maps/?&amp;text=50.049374, 43.224488", "50.049374, 43.224488")</f>
        <v>50.049374, 43.224488</v>
      </c>
      <c r="T126" s="2" t="str">
        <f>HYPERLINK("D:\venv_torgi\env\cache\objs_in_district/50.049374_43.224488.json", "50.049374_43.224488.json")</f>
        <v>50.049374_43.224488.json</v>
      </c>
      <c r="U126" t="s">
        <v>589</v>
      </c>
      <c r="V126" s="7" t="s">
        <v>34</v>
      </c>
      <c r="W126" s="19">
        <v>14930.943770233611</v>
      </c>
      <c r="X126" s="21">
        <v>1459.9957580012031</v>
      </c>
      <c r="Y126">
        <v>0</v>
      </c>
    </row>
    <row r="127" spans="1:26">
      <c r="A127" s="8">
        <v>126</v>
      </c>
      <c r="B127">
        <v>34</v>
      </c>
      <c r="C127" s="1">
        <v>259.10000000000002</v>
      </c>
      <c r="D127" s="2" t="str">
        <f>HYPERLINK("https://torgi.gov.ru/new/public/lots/lot/21000014370000000004_1/(lotInfo:info)", "21000014370000000004_1")</f>
        <v>21000014370000000004_1</v>
      </c>
      <c r="E127" t="s">
        <v>590</v>
      </c>
      <c r="F127" s="3" t="s">
        <v>591</v>
      </c>
      <c r="G127" t="s">
        <v>592</v>
      </c>
      <c r="H127" s="4">
        <v>3511800</v>
      </c>
      <c r="I127" s="4">
        <v>13553.84021613277</v>
      </c>
      <c r="J127" s="5" t="s">
        <v>29</v>
      </c>
      <c r="K127" s="10"/>
      <c r="L127" s="11"/>
      <c r="M127">
        <v>4205</v>
      </c>
      <c r="N127">
        <v>1178391</v>
      </c>
      <c r="O127" t="s">
        <v>39</v>
      </c>
      <c r="P127" s="6">
        <v>600</v>
      </c>
      <c r="Q127" t="s">
        <v>40</v>
      </c>
      <c r="R127" t="s">
        <v>32</v>
      </c>
      <c r="S127" s="2" t="str">
        <f>HYPERLINK("https://yandex.ru/maps/?&amp;text=55.039093, 73.24173", "55.039093, 73.24173")</f>
        <v>55.039093, 73.24173</v>
      </c>
      <c r="T127" s="12" t="str">
        <f>HYPERLINK("D:\venv_torgi\env\cache\objs_in_district/55.039093_73.24173.json", "55.039093_73.24173.json")</f>
        <v>55.039093_73.24173.json</v>
      </c>
      <c r="U127" t="s">
        <v>593</v>
      </c>
      <c r="V127" s="7" t="s">
        <v>39</v>
      </c>
      <c r="W127" s="19">
        <v>10661.45189182739</v>
      </c>
      <c r="X127" s="20">
        <v>-2892.388324305377</v>
      </c>
      <c r="Y127">
        <v>1</v>
      </c>
    </row>
    <row r="128" spans="1:26">
      <c r="A128" s="8">
        <v>127</v>
      </c>
      <c r="B128">
        <v>34</v>
      </c>
      <c r="C128" s="1">
        <v>61.6</v>
      </c>
      <c r="D128" s="2" t="str">
        <f>HYPERLINK("https://torgi.gov.ru/new/public/lots/lot/21000003300000000015_9/(lotInfo:info)", "21000003300000000015_9")</f>
        <v>21000003300000000015_9</v>
      </c>
      <c r="E128" t="s">
        <v>594</v>
      </c>
      <c r="F128" s="3" t="s">
        <v>595</v>
      </c>
      <c r="G128" t="s">
        <v>596</v>
      </c>
      <c r="H128" s="4">
        <v>2207500</v>
      </c>
      <c r="I128" s="4">
        <v>35836.038961038961</v>
      </c>
      <c r="J128" s="5" t="s">
        <v>29</v>
      </c>
      <c r="K128" s="5">
        <v>6.17</v>
      </c>
      <c r="L128" s="4">
        <v>1706.48</v>
      </c>
      <c r="M128">
        <v>5805</v>
      </c>
      <c r="N128" t="s">
        <v>579</v>
      </c>
      <c r="O128">
        <v>21</v>
      </c>
      <c r="P128" s="6">
        <v>300</v>
      </c>
      <c r="Q128" t="s">
        <v>31</v>
      </c>
      <c r="R128" t="s">
        <v>32</v>
      </c>
      <c r="S128" s="2" t="str">
        <f>HYPERLINK("https://yandex.ru/maps/?&amp;text=48.518396, 44.538849", "48.518396, 44.538849")</f>
        <v>48.518396, 44.538849</v>
      </c>
      <c r="T128" s="2" t="str">
        <f>HYPERLINK("D:\venv_torgi\env\cache\objs_in_district/48.518396_44.538849.json", "48.518396_44.538849.json")</f>
        <v>48.518396_44.538849.json</v>
      </c>
      <c r="U128" t="s">
        <v>597</v>
      </c>
      <c r="V128" s="7" t="s">
        <v>34</v>
      </c>
      <c r="W128" s="19">
        <v>28791.780206219712</v>
      </c>
      <c r="X128" s="20">
        <v>-7044.2587548192496</v>
      </c>
      <c r="Y128">
        <v>0</v>
      </c>
    </row>
    <row r="129" spans="1:25">
      <c r="A129" s="8">
        <v>128</v>
      </c>
      <c r="B129">
        <v>34</v>
      </c>
      <c r="C129" s="1">
        <v>45.3</v>
      </c>
      <c r="D129" s="2" t="str">
        <f>HYPERLINK("https://torgi.gov.ru/new/public/lots/lot/21000028510000000004_1/(lotInfo:info)", "21000028510000000004_1")</f>
        <v>21000028510000000004_1</v>
      </c>
      <c r="E129" t="s">
        <v>598</v>
      </c>
      <c r="F129" s="3" t="s">
        <v>599</v>
      </c>
      <c r="G129" t="s">
        <v>600</v>
      </c>
      <c r="H129" s="4">
        <v>1850349.16</v>
      </c>
      <c r="I129" s="4">
        <v>40846.559823399562</v>
      </c>
      <c r="J129" s="5" t="s">
        <v>29</v>
      </c>
      <c r="K129" s="5">
        <v>12.4</v>
      </c>
      <c r="L129" s="4">
        <v>949.91</v>
      </c>
      <c r="M129">
        <v>3293</v>
      </c>
      <c r="N129" t="s">
        <v>601</v>
      </c>
      <c r="O129">
        <v>43</v>
      </c>
      <c r="P129" s="6">
        <v>200</v>
      </c>
      <c r="Q129" t="s">
        <v>31</v>
      </c>
      <c r="R129" t="s">
        <v>32</v>
      </c>
      <c r="S129" s="2" t="str">
        <f>HYPERLINK("https://yandex.ru/maps/?&amp;text=49.767542, 43.640022", "49.767542, 43.640022")</f>
        <v>49.767542, 43.640022</v>
      </c>
      <c r="T129" s="2" t="str">
        <f>HYPERLINK("D:\venv_torgi\env\cache\objs_in_district/49.767542_43.640022.json", "49.767542_43.640022.json")</f>
        <v>49.767542_43.640022.json</v>
      </c>
      <c r="U129" t="s">
        <v>602</v>
      </c>
      <c r="W129" s="19">
        <v>25005.921007216992</v>
      </c>
      <c r="X129" s="20">
        <v>-15840.638816182571</v>
      </c>
      <c r="Y129">
        <v>0</v>
      </c>
    </row>
    <row r="130" spans="1:25">
      <c r="A130" s="8">
        <v>129</v>
      </c>
      <c r="B130">
        <v>34</v>
      </c>
      <c r="C130" s="1">
        <v>10.9</v>
      </c>
      <c r="D130" s="2" t="str">
        <f>HYPERLINK("https://torgi.gov.ru/new/public/lots/lot/21000003300000000015_8/(lotInfo:info)", "21000003300000000015_8")</f>
        <v>21000003300000000015_8</v>
      </c>
      <c r="E130" t="s">
        <v>603</v>
      </c>
      <c r="F130" s="3" t="s">
        <v>595</v>
      </c>
      <c r="G130" t="s">
        <v>604</v>
      </c>
      <c r="H130" s="4">
        <v>612000</v>
      </c>
      <c r="I130" s="4">
        <v>56146.788990825677</v>
      </c>
      <c r="J130" s="5" t="s">
        <v>29</v>
      </c>
      <c r="K130" s="5">
        <v>7.39</v>
      </c>
      <c r="L130" s="4">
        <v>1604.17</v>
      </c>
      <c r="M130">
        <v>7599</v>
      </c>
      <c r="N130" t="s">
        <v>579</v>
      </c>
      <c r="O130">
        <v>35</v>
      </c>
      <c r="Q130" t="s">
        <v>31</v>
      </c>
      <c r="R130" t="s">
        <v>32</v>
      </c>
      <c r="S130" s="2" t="str">
        <f>HYPERLINK("https://yandex.ru/maps/?&amp;text=48.51631, 44.53751", "48.51631, 44.53751")</f>
        <v>48.51631, 44.53751</v>
      </c>
      <c r="T130" s="2" t="str">
        <f>HYPERLINK("D:\venv_torgi\env\cache\objs_in_district/48.51631_44.53751.json", "48.51631_44.53751.json")</f>
        <v>48.51631_44.53751.json</v>
      </c>
      <c r="U130" t="s">
        <v>605</v>
      </c>
      <c r="V130" s="7" t="s">
        <v>34</v>
      </c>
      <c r="W130" s="19">
        <v>46084.220656344281</v>
      </c>
      <c r="X130" s="20">
        <v>-10062.568334481401</v>
      </c>
      <c r="Y130">
        <v>0</v>
      </c>
    </row>
    <row r="131" spans="1:25">
      <c r="A131" s="8">
        <v>130</v>
      </c>
      <c r="B131">
        <v>35</v>
      </c>
      <c r="C131" s="1">
        <v>213.7</v>
      </c>
      <c r="D131" s="2" t="str">
        <f>HYPERLINK("https://torgi.gov.ru/new/public/lots/lot/22000117350000000001_1/(lotInfo:info)", "22000117350000000001_1")</f>
        <v>22000117350000000001_1</v>
      </c>
      <c r="E131" t="s">
        <v>606</v>
      </c>
      <c r="F131" s="3" t="s">
        <v>607</v>
      </c>
      <c r="G131" t="s">
        <v>608</v>
      </c>
      <c r="H131" s="4">
        <v>930000</v>
      </c>
      <c r="I131" s="4">
        <v>4351.895180159102</v>
      </c>
      <c r="J131" s="5" t="s">
        <v>609</v>
      </c>
      <c r="K131" s="5">
        <v>4.5199999999999996</v>
      </c>
      <c r="L131" s="4">
        <v>271.94</v>
      </c>
      <c r="M131">
        <v>963</v>
      </c>
      <c r="N131" t="s">
        <v>610</v>
      </c>
      <c r="O131">
        <v>16</v>
      </c>
      <c r="P131" s="6">
        <v>1300</v>
      </c>
      <c r="Q131" t="s">
        <v>31</v>
      </c>
      <c r="R131" t="s">
        <v>32</v>
      </c>
      <c r="S131" s="2" t="str">
        <f>HYPERLINK("https://yandex.ru/maps/?&amp;text=58.842931, 36.428517", "58.842931, 36.428517")</f>
        <v>58.842931, 36.428517</v>
      </c>
      <c r="T131" s="2" t="str">
        <f>HYPERLINK("D:\venv_torgi\env\cache\objs_in_district/58.842931_36.428517.json", "58.842931_36.428517.json")</f>
        <v>58.842931_36.428517.json</v>
      </c>
      <c r="U131" t="s">
        <v>611</v>
      </c>
      <c r="V131" s="7" t="s">
        <v>34</v>
      </c>
      <c r="W131" s="19">
        <v>10661.45189182739</v>
      </c>
      <c r="X131" s="21">
        <v>6309.5567116682914</v>
      </c>
      <c r="Y131">
        <v>0</v>
      </c>
    </row>
    <row r="132" spans="1:25">
      <c r="A132" s="8">
        <v>131</v>
      </c>
      <c r="B132">
        <v>35</v>
      </c>
      <c r="C132" s="1">
        <v>989</v>
      </c>
      <c r="D132" s="2" t="str">
        <f>HYPERLINK("https://torgi.gov.ru/new/public/lots/lot/22000003620000000002_1/(lotInfo:info)", "22000003620000000002_1")</f>
        <v>22000003620000000002_1</v>
      </c>
      <c r="E132" t="s">
        <v>612</v>
      </c>
      <c r="F132" s="3" t="s">
        <v>613</v>
      </c>
      <c r="G132" t="s">
        <v>614</v>
      </c>
      <c r="H132" s="4">
        <v>4570000</v>
      </c>
      <c r="I132" s="4">
        <v>4620.8291203235594</v>
      </c>
      <c r="J132" s="5" t="s">
        <v>29</v>
      </c>
      <c r="K132" s="5">
        <v>7.37</v>
      </c>
      <c r="L132" s="4">
        <v>210</v>
      </c>
      <c r="M132">
        <v>627</v>
      </c>
      <c r="N132" t="s">
        <v>615</v>
      </c>
      <c r="O132">
        <v>22</v>
      </c>
      <c r="P132" s="6">
        <v>200</v>
      </c>
      <c r="Q132" t="s">
        <v>31</v>
      </c>
      <c r="R132" t="s">
        <v>32</v>
      </c>
      <c r="S132" s="2" t="str">
        <f>HYPERLINK("https://yandex.ru/maps/?&amp;text=59.386623, 35.951523", "59.386623, 35.951523")</f>
        <v>59.386623, 35.951523</v>
      </c>
      <c r="T132" s="2" t="str">
        <f>HYPERLINK("D:\venv_torgi\env\cache\objs_in_district/59.386623_35.951523.json", "59.386623_35.951523.json")</f>
        <v>59.386623_35.951523.json</v>
      </c>
      <c r="U132" t="s">
        <v>616</v>
      </c>
      <c r="V132" s="7" t="s">
        <v>34</v>
      </c>
      <c r="W132" s="19">
        <v>7354.489883546642</v>
      </c>
      <c r="X132" s="21">
        <v>2733.660763223083</v>
      </c>
      <c r="Y132">
        <v>0</v>
      </c>
    </row>
    <row r="133" spans="1:25">
      <c r="A133" s="8">
        <v>132</v>
      </c>
      <c r="B133">
        <v>35</v>
      </c>
      <c r="C133" s="1">
        <v>622.1</v>
      </c>
      <c r="D133" s="2" t="str">
        <f>HYPERLINK("https://torgi.gov.ru/new/public/lots/lot/22000036740000000002_1/(lotInfo:info)", "22000036740000000002_1")</f>
        <v>22000036740000000002_1</v>
      </c>
      <c r="E133" t="s">
        <v>617</v>
      </c>
      <c r="F133" s="3" t="s">
        <v>618</v>
      </c>
      <c r="G133" t="s">
        <v>619</v>
      </c>
      <c r="H133" s="4">
        <v>3910000</v>
      </c>
      <c r="I133" s="4">
        <v>6285.1631570487061</v>
      </c>
      <c r="J133" s="5" t="s">
        <v>29</v>
      </c>
      <c r="K133" s="10"/>
      <c r="L133" s="11"/>
      <c r="M133">
        <v>10742</v>
      </c>
      <c r="N133" t="s">
        <v>39</v>
      </c>
      <c r="O133" t="s">
        <v>39</v>
      </c>
      <c r="P133" s="6">
        <v>300</v>
      </c>
      <c r="Q133" t="s">
        <v>31</v>
      </c>
      <c r="R133" t="s">
        <v>32</v>
      </c>
      <c r="S133" s="2" t="str">
        <f>HYPERLINK("https://yandex.ru/maps/?&amp;text=55.793571, 37.489284", "55.793571, 37.489284")</f>
        <v>55.793571, 37.489284</v>
      </c>
      <c r="T133" s="12" t="str">
        <f>HYPERLINK("D:\venv_torgi\env\cache\objs_in_district/55.793571_37.489284.json", "55.793571_37.489284.json")</f>
        <v>55.793571_37.489284.json</v>
      </c>
      <c r="U133" t="s">
        <v>620</v>
      </c>
      <c r="V133" s="7" t="s">
        <v>34</v>
      </c>
      <c r="W133" s="19">
        <v>4605.2933995586654</v>
      </c>
      <c r="X133" s="20">
        <v>-1679.8697574900409</v>
      </c>
      <c r="Y133">
        <v>0</v>
      </c>
    </row>
    <row r="134" spans="1:25">
      <c r="A134" s="8">
        <v>133</v>
      </c>
      <c r="B134">
        <v>35</v>
      </c>
      <c r="C134" s="1">
        <v>295.2</v>
      </c>
      <c r="D134" s="2" t="str">
        <f>HYPERLINK("https://torgi.gov.ru/new/public/lots/lot/21000012620000000002_1/(lotInfo:info)", "21000012620000000002_1")</f>
        <v>21000012620000000002_1</v>
      </c>
      <c r="E134" t="s">
        <v>621</v>
      </c>
      <c r="F134" s="3" t="s">
        <v>622</v>
      </c>
      <c r="G134" t="s">
        <v>623</v>
      </c>
      <c r="H134" s="4">
        <v>3762000</v>
      </c>
      <c r="I134" s="4">
        <v>12743.90243902439</v>
      </c>
      <c r="J134" s="5" t="s">
        <v>2079</v>
      </c>
      <c r="K134" s="5">
        <v>5.12</v>
      </c>
      <c r="L134" s="4">
        <v>1415.89</v>
      </c>
      <c r="M134">
        <v>2490</v>
      </c>
      <c r="N134" t="s">
        <v>624</v>
      </c>
      <c r="O134">
        <v>9</v>
      </c>
      <c r="P134" s="6">
        <v>100</v>
      </c>
      <c r="Q134" t="s">
        <v>31</v>
      </c>
      <c r="R134" t="s">
        <v>32</v>
      </c>
      <c r="S134" s="2" t="str">
        <f>HYPERLINK("https://yandex.ru/maps/?&amp;text=59.472735, 40.09535", "59.472735, 40.09535")</f>
        <v>59.472735, 40.09535</v>
      </c>
      <c r="T134" s="2" t="str">
        <f>HYPERLINK("D:\venv_torgi\env\cache\objs_in_district/59.472735_40.09535.json", "59.472735_40.09535.json")</f>
        <v>59.472735_40.09535.json</v>
      </c>
      <c r="U134" t="s">
        <v>625</v>
      </c>
      <c r="V134" s="7" t="s">
        <v>626</v>
      </c>
      <c r="W134" s="19">
        <v>10661.45189182739</v>
      </c>
      <c r="X134" s="20">
        <v>-2082.4505471969969</v>
      </c>
      <c r="Y134">
        <v>0</v>
      </c>
    </row>
    <row r="135" spans="1:25">
      <c r="A135" s="8">
        <v>134</v>
      </c>
      <c r="B135">
        <v>35</v>
      </c>
      <c r="C135" s="1">
        <v>23.9</v>
      </c>
      <c r="D135" s="2" t="str">
        <f>HYPERLINK("https://torgi.gov.ru/new/public/lots/lot/21000002750000000019_1/(lotInfo:info)", "21000002750000000019_1")</f>
        <v>21000002750000000019_1</v>
      </c>
      <c r="E135" t="s">
        <v>627</v>
      </c>
      <c r="F135" s="3" t="s">
        <v>628</v>
      </c>
      <c r="G135" t="s">
        <v>629</v>
      </c>
      <c r="H135" s="4">
        <v>679800</v>
      </c>
      <c r="I135" s="4">
        <v>28443.514644351471</v>
      </c>
      <c r="J135" s="5" t="s">
        <v>29</v>
      </c>
      <c r="K135" s="5">
        <v>4.18</v>
      </c>
      <c r="L135" s="4">
        <v>1580.17</v>
      </c>
      <c r="M135">
        <v>6804</v>
      </c>
      <c r="N135" t="s">
        <v>630</v>
      </c>
      <c r="O135">
        <v>18</v>
      </c>
      <c r="P135" s="6">
        <v>400</v>
      </c>
      <c r="Q135" t="s">
        <v>31</v>
      </c>
      <c r="R135" t="s">
        <v>32</v>
      </c>
      <c r="S135" s="2" t="str">
        <f>HYPERLINK("https://yandex.ru/maps/?&amp;text=59.223835, 39.936528", "59.223835, 39.936528")</f>
        <v>59.223835, 39.936528</v>
      </c>
      <c r="T135" s="2" t="str">
        <f>HYPERLINK("D:\venv_torgi\env\cache\objs_in_district/59.223835_39.936528.json", "59.223835_39.936528.json")</f>
        <v>59.223835_39.936528.json</v>
      </c>
      <c r="U135" t="s">
        <v>631</v>
      </c>
      <c r="W135" s="19">
        <v>28791.780206219712</v>
      </c>
      <c r="X135" s="19">
        <v>348.26556186824018</v>
      </c>
      <c r="Y135">
        <v>0</v>
      </c>
    </row>
    <row r="136" spans="1:25">
      <c r="A136" s="8">
        <v>135</v>
      </c>
      <c r="B136">
        <v>35</v>
      </c>
      <c r="C136" s="1">
        <v>32.9</v>
      </c>
      <c r="D136" s="2" t="str">
        <f>HYPERLINK("https://torgi.gov.ru/new/public/lots/lot/21000002750000000022_1/(lotInfo:info)", "21000002750000000022_1")</f>
        <v>21000002750000000022_1</v>
      </c>
      <c r="E136" t="s">
        <v>632</v>
      </c>
      <c r="F136" s="3" t="s">
        <v>633</v>
      </c>
      <c r="G136" t="s">
        <v>634</v>
      </c>
      <c r="H136" s="4">
        <v>1854000</v>
      </c>
      <c r="I136" s="4">
        <v>56352.58358662614</v>
      </c>
      <c r="J136" s="5" t="s">
        <v>29</v>
      </c>
      <c r="K136" s="5">
        <v>16.510000000000002</v>
      </c>
      <c r="L136" s="4">
        <v>3314.82</v>
      </c>
      <c r="M136">
        <v>3414</v>
      </c>
      <c r="N136" t="s">
        <v>630</v>
      </c>
      <c r="O136">
        <v>17</v>
      </c>
      <c r="P136" s="6">
        <v>1000</v>
      </c>
      <c r="Q136" t="s">
        <v>31</v>
      </c>
      <c r="R136" t="s">
        <v>32</v>
      </c>
      <c r="S136" s="2" t="str">
        <f>HYPERLINK("https://yandex.ru/maps/?&amp;text=59.204586, 39.843536", "59.204586, 39.843536")</f>
        <v>59.204586, 39.843536</v>
      </c>
      <c r="T136" s="2" t="str">
        <f>HYPERLINK("D:\venv_torgi\env\cache\objs_in_district/59.204586_39.843536.json", "59.204586_39.843536.json")</f>
        <v>59.204586_39.843536.json</v>
      </c>
      <c r="U136" t="s">
        <v>635</v>
      </c>
      <c r="W136" s="19">
        <v>28791.780206219712</v>
      </c>
      <c r="X136" s="20">
        <v>-27560.803380406429</v>
      </c>
      <c r="Y136">
        <v>0</v>
      </c>
    </row>
    <row r="137" spans="1:25">
      <c r="A137" s="8">
        <v>136</v>
      </c>
      <c r="B137">
        <v>36</v>
      </c>
      <c r="C137" s="1">
        <v>485</v>
      </c>
      <c r="D137" s="2" t="str">
        <f>HYPERLINK("https://torgi.gov.ru/new/public/lots/lot/22000022930000000009_1/(lotInfo:info)", "22000022930000000009_1")</f>
        <v>22000022930000000009_1</v>
      </c>
      <c r="E137" t="s">
        <v>636</v>
      </c>
      <c r="F137" s="3" t="s">
        <v>637</v>
      </c>
      <c r="G137" t="s">
        <v>638</v>
      </c>
      <c r="H137" s="4">
        <v>3200000</v>
      </c>
      <c r="I137" s="4">
        <v>6597.9381443298971</v>
      </c>
      <c r="J137" s="5" t="s">
        <v>29</v>
      </c>
      <c r="K137" s="5">
        <v>0.87</v>
      </c>
      <c r="L137" s="4">
        <v>66.64</v>
      </c>
      <c r="M137">
        <v>7590</v>
      </c>
      <c r="N137" t="s">
        <v>639</v>
      </c>
      <c r="O137">
        <v>99</v>
      </c>
      <c r="P137" s="6">
        <v>300</v>
      </c>
      <c r="Q137" t="s">
        <v>574</v>
      </c>
      <c r="R137" t="s">
        <v>32</v>
      </c>
      <c r="S137" s="2" t="str">
        <f>HYPERLINK("https://yandex.ru/maps/?&amp;text=51.703472, 39.161947", "51.703472, 39.161947")</f>
        <v>51.703472, 39.161947</v>
      </c>
      <c r="T137" s="2" t="str">
        <f>HYPERLINK("D:\venv_torgi\env\cache\objs_in_district/51.703472_39.161947.json", "51.703472_39.161947.json")</f>
        <v>51.703472_39.161947.json</v>
      </c>
      <c r="U137" t="s">
        <v>640</v>
      </c>
      <c r="V137" s="7" t="s">
        <v>39</v>
      </c>
      <c r="W137" s="19">
        <v>7354.489883546642</v>
      </c>
      <c r="X137" s="19">
        <v>756.55173921674486</v>
      </c>
      <c r="Y137">
        <v>0</v>
      </c>
    </row>
    <row r="138" spans="1:25">
      <c r="A138" s="8">
        <v>137</v>
      </c>
      <c r="B138">
        <v>36</v>
      </c>
      <c r="C138" s="1">
        <v>66.5</v>
      </c>
      <c r="D138" s="2" t="str">
        <f>HYPERLINK("https://torgi.gov.ru/new/public/lots/lot/21000031780000000003_1/(lotInfo:info)", "21000031780000000003_1")</f>
        <v>21000031780000000003_1</v>
      </c>
      <c r="E138" t="s">
        <v>641</v>
      </c>
      <c r="F138" s="3" t="s">
        <v>642</v>
      </c>
      <c r="G138" t="s">
        <v>643</v>
      </c>
      <c r="H138" s="4">
        <v>612000</v>
      </c>
      <c r="I138" s="4">
        <v>9203.0075187969924</v>
      </c>
      <c r="J138" s="5" t="s">
        <v>29</v>
      </c>
      <c r="K138" s="5">
        <v>9.6999999999999993</v>
      </c>
      <c r="L138" s="4">
        <v>184.06</v>
      </c>
      <c r="M138">
        <v>949</v>
      </c>
      <c r="N138" t="s">
        <v>644</v>
      </c>
      <c r="O138">
        <v>50</v>
      </c>
      <c r="P138" s="6">
        <v>500</v>
      </c>
      <c r="Q138" t="s">
        <v>574</v>
      </c>
      <c r="R138" t="s">
        <v>32</v>
      </c>
      <c r="S138" s="2" t="str">
        <f>HYPERLINK("https://yandex.ru/maps/?&amp;text=50.712498, 39.43391", "50.712498, 39.43391")</f>
        <v>50.712498, 39.43391</v>
      </c>
      <c r="T138" s="2" t="str">
        <f>HYPERLINK("D:\venv_torgi\env\cache\objs_in_district/50.712498_39.43391.json", "50.712498_39.43391.json")</f>
        <v>50.712498_39.43391.json</v>
      </c>
      <c r="U138" t="s">
        <v>645</v>
      </c>
      <c r="V138" s="7" t="s">
        <v>34</v>
      </c>
      <c r="W138" s="19">
        <v>14930.943770233611</v>
      </c>
      <c r="X138" s="21">
        <v>5727.9362514366203</v>
      </c>
      <c r="Y138">
        <v>0</v>
      </c>
    </row>
    <row r="139" spans="1:25">
      <c r="A139" s="8">
        <v>138</v>
      </c>
      <c r="B139">
        <v>36</v>
      </c>
      <c r="C139" s="1">
        <v>262.10000000000002</v>
      </c>
      <c r="D139" s="2" t="str">
        <f>HYPERLINK("https://torgi.gov.ru/new/public/lots/lot/21000023350000000002_1/(lotInfo:info)", "21000023350000000002_1")</f>
        <v>21000023350000000002_1</v>
      </c>
      <c r="E139" t="s">
        <v>646</v>
      </c>
      <c r="F139" s="3" t="s">
        <v>647</v>
      </c>
      <c r="G139" t="s">
        <v>648</v>
      </c>
      <c r="H139" s="4">
        <v>3802056.12</v>
      </c>
      <c r="I139" s="4">
        <v>14506.12789011827</v>
      </c>
      <c r="J139" s="5" t="s">
        <v>29</v>
      </c>
      <c r="K139" s="5">
        <v>4.03</v>
      </c>
      <c r="L139" s="4">
        <v>183.62</v>
      </c>
      <c r="M139">
        <v>3602</v>
      </c>
      <c r="N139" t="s">
        <v>649</v>
      </c>
      <c r="O139">
        <v>79</v>
      </c>
      <c r="P139" s="6">
        <v>900</v>
      </c>
      <c r="Q139" t="s">
        <v>31</v>
      </c>
      <c r="R139" t="s">
        <v>32</v>
      </c>
      <c r="S139" s="2" t="str">
        <f>HYPERLINK("https://yandex.ru/maps/?&amp;text=50.196065, 39.573052", "50.196065, 39.573052")</f>
        <v>50.196065, 39.573052</v>
      </c>
      <c r="T139" s="2" t="str">
        <f>HYPERLINK("D:\venv_torgi\env\cache\objs_in_district/50.196065_39.573052.json", "50.196065_39.573052.json")</f>
        <v>50.196065_39.573052.json</v>
      </c>
      <c r="U139" t="s">
        <v>650</v>
      </c>
      <c r="V139" s="7" t="s">
        <v>128</v>
      </c>
      <c r="W139" s="19">
        <v>19931.15122427437</v>
      </c>
      <c r="X139" s="21">
        <v>5425.0233341561034</v>
      </c>
      <c r="Y139">
        <v>0</v>
      </c>
    </row>
    <row r="140" spans="1:25">
      <c r="A140" s="8">
        <v>139</v>
      </c>
      <c r="B140">
        <v>36</v>
      </c>
      <c r="C140" s="1">
        <v>30.2</v>
      </c>
      <c r="D140" s="2" t="str">
        <f>HYPERLINK("https://torgi.gov.ru/new/public/lots/lot/22000008510000000003_1/(lotInfo:info)", "22000008510000000003_1")</f>
        <v>22000008510000000003_1</v>
      </c>
      <c r="E140" t="s">
        <v>651</v>
      </c>
      <c r="F140" s="3" t="s">
        <v>652</v>
      </c>
      <c r="G140" t="s">
        <v>653</v>
      </c>
      <c r="H140" s="4">
        <v>500000</v>
      </c>
      <c r="I140" s="4">
        <v>16556.291390728478</v>
      </c>
      <c r="J140" s="5" t="s">
        <v>29</v>
      </c>
      <c r="K140" s="5">
        <v>11.3</v>
      </c>
      <c r="L140" s="4">
        <v>367.91</v>
      </c>
      <c r="M140">
        <v>1465</v>
      </c>
      <c r="N140" t="s">
        <v>654</v>
      </c>
      <c r="O140">
        <v>45</v>
      </c>
      <c r="P140" s="6">
        <v>200</v>
      </c>
      <c r="Q140" t="s">
        <v>31</v>
      </c>
      <c r="R140" t="s">
        <v>32</v>
      </c>
      <c r="S140" s="2" t="str">
        <f>HYPERLINK("https://yandex.ru/maps/?&amp;text=51.095874, 40.039853", "51.095874, 40.039853")</f>
        <v>51.095874, 40.039853</v>
      </c>
      <c r="T140" s="2" t="str">
        <f>HYPERLINK("D:\venv_torgi\env\cache\objs_in_district/51.095874_40.039853.json", "51.095874_40.039853.json")</f>
        <v>51.095874_40.039853.json</v>
      </c>
      <c r="U140" t="s">
        <v>655</v>
      </c>
      <c r="V140" s="7" t="s">
        <v>34</v>
      </c>
      <c r="W140" s="19">
        <v>25005.921007216992</v>
      </c>
      <c r="X140" s="21">
        <v>8449.6296164885134</v>
      </c>
      <c r="Y140">
        <v>0</v>
      </c>
    </row>
    <row r="141" spans="1:25">
      <c r="A141" s="8">
        <v>140</v>
      </c>
      <c r="B141">
        <v>36</v>
      </c>
      <c r="C141" s="1">
        <v>34.200000000000003</v>
      </c>
      <c r="D141" s="2" t="str">
        <f>HYPERLINK("https://torgi.gov.ru/new/public/lots/lot/22000008510000000002_1/(lotInfo:info)", "22000008510000000002_1")</f>
        <v>22000008510000000002_1</v>
      </c>
      <c r="E141" t="s">
        <v>656</v>
      </c>
      <c r="F141" s="3" t="s">
        <v>652</v>
      </c>
      <c r="G141" t="s">
        <v>653</v>
      </c>
      <c r="H141" s="4">
        <v>600000</v>
      </c>
      <c r="I141" s="4">
        <v>17543.859649122809</v>
      </c>
      <c r="J141" s="5" t="s">
        <v>29</v>
      </c>
      <c r="K141" s="5">
        <v>11.97</v>
      </c>
      <c r="L141" s="4">
        <v>389.84</v>
      </c>
      <c r="M141">
        <v>1465</v>
      </c>
      <c r="N141" t="s">
        <v>654</v>
      </c>
      <c r="O141">
        <v>45</v>
      </c>
      <c r="P141" s="6">
        <v>200</v>
      </c>
      <c r="Q141" t="s">
        <v>31</v>
      </c>
      <c r="R141" t="s">
        <v>32</v>
      </c>
      <c r="S141" s="2" t="str">
        <f>HYPERLINK("https://yandex.ru/maps/?&amp;text=51.095874, 40.039853", "51.095874, 40.039853")</f>
        <v>51.095874, 40.039853</v>
      </c>
      <c r="T141" s="2" t="str">
        <f>HYPERLINK("D:\venv_torgi\env\cache\objs_in_district/51.095874_40.039853.json", "51.095874_40.039853.json")</f>
        <v>51.095874_40.039853.json</v>
      </c>
      <c r="U141" t="s">
        <v>657</v>
      </c>
      <c r="V141" s="7" t="s">
        <v>34</v>
      </c>
      <c r="W141" s="19">
        <v>25005.921007216992</v>
      </c>
      <c r="X141" s="21">
        <v>7462.0613580941827</v>
      </c>
      <c r="Y141">
        <v>0</v>
      </c>
    </row>
    <row r="142" spans="1:25">
      <c r="A142" s="8">
        <v>141</v>
      </c>
      <c r="B142">
        <v>36</v>
      </c>
      <c r="C142" s="1">
        <v>79.599999999999994</v>
      </c>
      <c r="D142" s="2" t="str">
        <f>HYPERLINK("https://torgi.gov.ru/new/public/lots/lot/21000023350000000001_1/(lotInfo:info)", "21000023350000000001_1")</f>
        <v>21000023350000000001_1</v>
      </c>
      <c r="E142" t="s">
        <v>658</v>
      </c>
      <c r="F142" s="3" t="s">
        <v>647</v>
      </c>
      <c r="G142" t="s">
        <v>648</v>
      </c>
      <c r="H142" s="4">
        <v>1548963.27</v>
      </c>
      <c r="I142" s="4">
        <v>19459.337562814071</v>
      </c>
      <c r="J142" s="5" t="s">
        <v>29</v>
      </c>
      <c r="K142" s="5">
        <v>5.4</v>
      </c>
      <c r="L142" s="4">
        <v>246.32</v>
      </c>
      <c r="M142">
        <v>3602</v>
      </c>
      <c r="N142" t="s">
        <v>649</v>
      </c>
      <c r="O142">
        <v>79</v>
      </c>
      <c r="P142" s="6">
        <v>900</v>
      </c>
      <c r="Q142" t="s">
        <v>31</v>
      </c>
      <c r="R142" t="s">
        <v>32</v>
      </c>
      <c r="S142" s="2" t="str">
        <f>HYPERLINK("https://yandex.ru/maps/?&amp;text=50.196065, 39.573052", "50.196065, 39.573052")</f>
        <v>50.196065, 39.573052</v>
      </c>
      <c r="T142" s="2" t="str">
        <f>HYPERLINK("D:\venv_torgi\env\cache\objs_in_district/50.196065_39.573052.json", "50.196065_39.573052.json")</f>
        <v>50.196065_39.573052.json</v>
      </c>
      <c r="U142" t="s">
        <v>659</v>
      </c>
      <c r="V142" s="7" t="s">
        <v>34</v>
      </c>
      <c r="W142" s="19">
        <v>14930.943770233611</v>
      </c>
      <c r="X142" s="20">
        <v>-4528.3937925804576</v>
      </c>
      <c r="Y142">
        <v>0</v>
      </c>
    </row>
    <row r="143" spans="1:25">
      <c r="A143" s="8">
        <v>142</v>
      </c>
      <c r="B143">
        <v>36</v>
      </c>
      <c r="C143" s="1">
        <v>105.8</v>
      </c>
      <c r="D143" s="2" t="str">
        <f>HYPERLINK("https://torgi.gov.ru/new/public/lots/lot/21000035130000000005_1/(lotInfo:info)", "21000035130000000005_1")</f>
        <v>21000035130000000005_1</v>
      </c>
      <c r="E143" t="s">
        <v>660</v>
      </c>
      <c r="F143" s="3" t="s">
        <v>339</v>
      </c>
      <c r="G143" t="s">
        <v>661</v>
      </c>
      <c r="H143" s="4">
        <v>2708820</v>
      </c>
      <c r="I143" s="4">
        <v>25603.213610586012</v>
      </c>
      <c r="J143" s="5" t="s">
        <v>29</v>
      </c>
      <c r="K143" s="5">
        <v>16.829999999999998</v>
      </c>
      <c r="L143" s="4">
        <v>2844.78</v>
      </c>
      <c r="M143">
        <v>1521</v>
      </c>
      <c r="N143" t="s">
        <v>662</v>
      </c>
      <c r="O143">
        <v>9</v>
      </c>
      <c r="Q143" t="s">
        <v>31</v>
      </c>
      <c r="R143" t="s">
        <v>32</v>
      </c>
      <c r="S143" s="2" t="str">
        <f>HYPERLINK("https://yandex.ru/maps/?&amp;text=51.348079, 42.131122", "51.348079, 42.131122")</f>
        <v>51.348079, 42.131122</v>
      </c>
      <c r="T143" s="2" t="str">
        <f>HYPERLINK("D:\venv_torgi\env\cache\objs_in_district/51.348079_42.131122.json", "51.348079_42.131122.json")</f>
        <v>51.348079_42.131122.json</v>
      </c>
      <c r="U143" t="s">
        <v>663</v>
      </c>
      <c r="W143" s="19">
        <v>14930.943770233611</v>
      </c>
      <c r="X143" s="20">
        <v>-10672.269840352399</v>
      </c>
      <c r="Y143">
        <v>0</v>
      </c>
    </row>
    <row r="144" spans="1:25">
      <c r="A144" s="8">
        <v>143</v>
      </c>
      <c r="B144">
        <v>36</v>
      </c>
      <c r="C144" s="1">
        <v>28.7</v>
      </c>
      <c r="D144" s="2" t="str">
        <f>HYPERLINK("https://torgi.gov.ru/new/public/lots/lot/22000022930000000029_10/(lotInfo:info)", "22000022930000000029_10")</f>
        <v>22000022930000000029_10</v>
      </c>
      <c r="E144" t="s">
        <v>664</v>
      </c>
      <c r="F144" s="3" t="s">
        <v>665</v>
      </c>
      <c r="G144" t="s">
        <v>666</v>
      </c>
      <c r="H144" s="4">
        <v>770833</v>
      </c>
      <c r="I144" s="4">
        <v>26858.292682926829</v>
      </c>
      <c r="J144" s="5" t="s">
        <v>29</v>
      </c>
      <c r="K144" s="5">
        <v>2.85</v>
      </c>
      <c r="L144" s="4">
        <v>282.72000000000003</v>
      </c>
      <c r="M144">
        <v>9423</v>
      </c>
      <c r="N144" t="s">
        <v>639</v>
      </c>
      <c r="O144">
        <v>95</v>
      </c>
      <c r="P144" s="6">
        <v>100</v>
      </c>
      <c r="Q144" t="s">
        <v>31</v>
      </c>
      <c r="R144" t="s">
        <v>32</v>
      </c>
      <c r="S144" s="2" t="str">
        <f>HYPERLINK("https://yandex.ru/maps/?&amp;text=51.673546, 39.197495", "51.673546, 39.197495")</f>
        <v>51.673546, 39.197495</v>
      </c>
      <c r="T144" s="2" t="str">
        <f>HYPERLINK("D:\venv_torgi\env\cache\objs_in_district/51.673546_39.197495.json", "51.673546_39.197495.json")</f>
        <v>51.673546_39.197495.json</v>
      </c>
      <c r="U144" t="s">
        <v>667</v>
      </c>
      <c r="V144" s="7" t="s">
        <v>34</v>
      </c>
      <c r="W144" s="19">
        <v>28791.780206219712</v>
      </c>
      <c r="X144" s="21">
        <v>1933.487523292883</v>
      </c>
      <c r="Y144">
        <v>0</v>
      </c>
    </row>
    <row r="145" spans="1:25">
      <c r="A145" s="8">
        <v>144</v>
      </c>
      <c r="B145">
        <v>36</v>
      </c>
      <c r="C145" s="1">
        <v>161.30000000000001</v>
      </c>
      <c r="D145" s="2" t="str">
        <f>HYPERLINK("https://torgi.gov.ru/new/public/lots/lot/21000033070000000002_1/(lotInfo:info)", "21000033070000000002_1")</f>
        <v>21000033070000000002_1</v>
      </c>
      <c r="E145" t="s">
        <v>668</v>
      </c>
      <c r="F145" s="3" t="s">
        <v>669</v>
      </c>
      <c r="G145" t="s">
        <v>670</v>
      </c>
      <c r="H145" s="4">
        <v>6987500</v>
      </c>
      <c r="I145" s="4">
        <v>43319.900805951642</v>
      </c>
      <c r="J145" s="5" t="s">
        <v>29</v>
      </c>
      <c r="K145" s="5">
        <v>6.71</v>
      </c>
      <c r="L145" s="4">
        <v>364.03</v>
      </c>
      <c r="M145">
        <v>6456</v>
      </c>
      <c r="N145" t="s">
        <v>639</v>
      </c>
      <c r="O145">
        <v>119</v>
      </c>
      <c r="P145" s="6">
        <v>300</v>
      </c>
      <c r="Q145" t="s">
        <v>31</v>
      </c>
      <c r="R145" t="s">
        <v>32</v>
      </c>
      <c r="S145" s="2" t="str">
        <f>HYPERLINK("https://yandex.ru/maps/?&amp;text=51.651707, 39.170912", "51.651707, 39.170912")</f>
        <v>51.651707, 39.170912</v>
      </c>
      <c r="T145" s="2" t="str">
        <f>HYPERLINK("D:\venv_torgi\env\cache\objs_in_district/51.651707_39.170912.json", "51.651707_39.170912.json")</f>
        <v>51.651707_39.170912.json</v>
      </c>
      <c r="W145" s="19">
        <v>38444.778783778936</v>
      </c>
      <c r="X145" s="20">
        <v>-4875.1220221726981</v>
      </c>
      <c r="Y145">
        <v>0</v>
      </c>
    </row>
    <row r="146" spans="1:25">
      <c r="A146" s="8">
        <v>145</v>
      </c>
      <c r="B146">
        <v>36</v>
      </c>
      <c r="C146" s="1">
        <v>43.2</v>
      </c>
      <c r="D146" s="2" t="str">
        <f>HYPERLINK("https://torgi.gov.ru/new/public/lots/lot/21000033070000000010_1/(lotInfo:info)", "21000033070000000010_1")</f>
        <v>21000033070000000010_1</v>
      </c>
      <c r="E146" t="s">
        <v>671</v>
      </c>
      <c r="F146" s="3" t="s">
        <v>672</v>
      </c>
      <c r="G146" t="s">
        <v>673</v>
      </c>
      <c r="H146" s="4">
        <v>3055000</v>
      </c>
      <c r="I146" s="4">
        <v>70717.592592592584</v>
      </c>
      <c r="J146" s="5" t="s">
        <v>29</v>
      </c>
      <c r="K146" s="5">
        <v>8.42</v>
      </c>
      <c r="L146" s="4">
        <v>1104.95</v>
      </c>
      <c r="M146">
        <v>8400</v>
      </c>
      <c r="N146" t="s">
        <v>639</v>
      </c>
      <c r="O146">
        <v>64</v>
      </c>
      <c r="P146" s="6">
        <v>100</v>
      </c>
      <c r="Q146" t="s">
        <v>31</v>
      </c>
      <c r="R146" t="s">
        <v>32</v>
      </c>
      <c r="S146" s="2" t="str">
        <f>HYPERLINK("https://yandex.ru/maps/?&amp;text=51.67364, 39.15688", "51.67364, 39.15688")</f>
        <v>51.67364, 39.15688</v>
      </c>
      <c r="T146" s="2" t="str">
        <f>HYPERLINK("D:\venv_torgi\env\cache\objs_in_district/51.67364_39.15688.json", "51.67364_39.15688.json")</f>
        <v>51.67364_39.15688.json</v>
      </c>
      <c r="U146" t="s">
        <v>674</v>
      </c>
      <c r="W146" s="19">
        <v>28791.780206219712</v>
      </c>
      <c r="X146" s="20">
        <v>-41925.812386372869</v>
      </c>
      <c r="Y146">
        <v>0</v>
      </c>
    </row>
    <row r="147" spans="1:25">
      <c r="A147" s="8">
        <v>146</v>
      </c>
      <c r="B147">
        <v>37</v>
      </c>
      <c r="C147" s="1">
        <v>226.9</v>
      </c>
      <c r="D147" s="2" t="str">
        <f>HYPERLINK("https://torgi.gov.ru/new/public/lots/lot/21000020930000000001_1/(lotInfo:info)", "21000020930000000001_1")</f>
        <v>21000020930000000001_1</v>
      </c>
      <c r="E147" t="s">
        <v>675</v>
      </c>
      <c r="F147" s="3" t="s">
        <v>676</v>
      </c>
      <c r="G147" t="s">
        <v>677</v>
      </c>
      <c r="H147" s="4">
        <v>518700</v>
      </c>
      <c r="I147" s="4">
        <v>2286.0290877038342</v>
      </c>
      <c r="J147" s="5" t="s">
        <v>29</v>
      </c>
      <c r="K147" s="5">
        <v>1.51</v>
      </c>
      <c r="L147" s="4">
        <v>1143</v>
      </c>
      <c r="M147">
        <v>1510</v>
      </c>
      <c r="N147" t="s">
        <v>678</v>
      </c>
      <c r="O147">
        <v>2</v>
      </c>
      <c r="P147" s="6">
        <v>1200</v>
      </c>
      <c r="Q147" t="s">
        <v>31</v>
      </c>
      <c r="R147" t="s">
        <v>32</v>
      </c>
      <c r="S147" s="2" t="str">
        <f>HYPERLINK("https://yandex.ru/maps/?&amp;text=57.030015, 40.366264", "57.030015, 40.366264")</f>
        <v>57.030015, 40.366264</v>
      </c>
      <c r="T147" s="2" t="str">
        <f>HYPERLINK("D:\venv_torgi\env\cache\objs_in_district/57.030015_40.366264.json", "57.030015_40.366264.json")</f>
        <v>57.030015_40.366264.json</v>
      </c>
      <c r="U147" t="s">
        <v>679</v>
      </c>
      <c r="V147" s="7" t="s">
        <v>34</v>
      </c>
      <c r="W147" s="19">
        <v>10661.45189182739</v>
      </c>
      <c r="X147" s="21">
        <v>8375.4228041235583</v>
      </c>
      <c r="Y147">
        <v>0</v>
      </c>
    </row>
    <row r="148" spans="1:25">
      <c r="A148" s="8">
        <v>147</v>
      </c>
      <c r="B148">
        <v>37</v>
      </c>
      <c r="C148" s="1">
        <v>270</v>
      </c>
      <c r="D148" s="2" t="str">
        <f>HYPERLINK("https://torgi.gov.ru/new/public/lots/lot/22000079930000000006_1/(lotInfo:info)", "22000079930000000006_1")</f>
        <v>22000079930000000006_1</v>
      </c>
      <c r="E148" t="s">
        <v>680</v>
      </c>
      <c r="F148" s="3" t="s">
        <v>329</v>
      </c>
      <c r="G148" t="s">
        <v>681</v>
      </c>
      <c r="H148" s="4">
        <v>810000</v>
      </c>
      <c r="I148" s="4">
        <v>3000</v>
      </c>
      <c r="J148" s="5" t="s">
        <v>29</v>
      </c>
      <c r="K148" s="5">
        <v>2.64</v>
      </c>
      <c r="L148" s="4">
        <v>750</v>
      </c>
      <c r="M148">
        <v>1135</v>
      </c>
      <c r="N148" t="s">
        <v>682</v>
      </c>
      <c r="O148">
        <v>4</v>
      </c>
      <c r="P148" s="6">
        <v>500</v>
      </c>
      <c r="Q148" t="s">
        <v>31</v>
      </c>
      <c r="R148" t="s">
        <v>32</v>
      </c>
      <c r="S148" s="2" t="str">
        <f>HYPERLINK("https://yandex.ru/maps/?&amp;text=57.4741, 41.961277", "57.4741, 41.961277")</f>
        <v>57.4741, 41.961277</v>
      </c>
      <c r="T148" s="2" t="str">
        <f>HYPERLINK("D:\venv_torgi\env\cache\objs_in_district/57.4741_41.961277.json", "57.4741_41.961277.json")</f>
        <v>57.4741_41.961277.json</v>
      </c>
      <c r="U148" t="s">
        <v>683</v>
      </c>
      <c r="V148" s="7" t="s">
        <v>34</v>
      </c>
      <c r="W148" s="19">
        <v>10661.45189182739</v>
      </c>
      <c r="X148" s="21">
        <v>7661.4518918273934</v>
      </c>
      <c r="Y148">
        <v>0</v>
      </c>
    </row>
    <row r="149" spans="1:25">
      <c r="A149" s="8">
        <v>148</v>
      </c>
      <c r="B149">
        <v>37</v>
      </c>
      <c r="C149" s="1">
        <v>239.1</v>
      </c>
      <c r="D149" s="2" t="str">
        <f>HYPERLINK("https://torgi.gov.ru/new/public/lots/lot/21000007300000000003_1/(lotInfo:info)", "21000007300000000003_1")</f>
        <v>21000007300000000003_1</v>
      </c>
      <c r="E149" t="s">
        <v>684</v>
      </c>
      <c r="F149" s="3" t="s">
        <v>685</v>
      </c>
      <c r="G149" t="s">
        <v>686</v>
      </c>
      <c r="H149" s="4">
        <v>4325400</v>
      </c>
      <c r="I149" s="4">
        <v>18090.33877038896</v>
      </c>
      <c r="J149" s="5" t="s">
        <v>29</v>
      </c>
      <c r="K149" s="5">
        <v>11</v>
      </c>
      <c r="L149" s="4">
        <v>1809</v>
      </c>
      <c r="M149">
        <v>1644</v>
      </c>
      <c r="N149" t="s">
        <v>687</v>
      </c>
      <c r="O149">
        <v>10</v>
      </c>
      <c r="P149" s="6">
        <v>600</v>
      </c>
      <c r="Q149" t="s">
        <v>31</v>
      </c>
      <c r="R149" t="s">
        <v>32</v>
      </c>
      <c r="S149" s="2" t="str">
        <f>HYPERLINK("https://yandex.ru/maps/?&amp;text=56.850697, 41.369038", "56.850697, 41.369038")</f>
        <v>56.850697, 41.369038</v>
      </c>
      <c r="T149" s="2" t="str">
        <f>HYPERLINK("D:\venv_torgi\env\cache\objs_in_district/56.850697_41.369038.json", "56.850697_41.369038.json")</f>
        <v>56.850697_41.369038.json</v>
      </c>
      <c r="U149" t="s">
        <v>688</v>
      </c>
      <c r="V149" s="7" t="s">
        <v>34</v>
      </c>
      <c r="W149" s="19">
        <v>10661.45189182739</v>
      </c>
      <c r="X149" s="20">
        <v>-7428.8868785615668</v>
      </c>
      <c r="Y149">
        <v>0</v>
      </c>
    </row>
    <row r="150" spans="1:25">
      <c r="A150" s="8">
        <v>149</v>
      </c>
      <c r="B150">
        <v>37</v>
      </c>
      <c r="C150" s="1">
        <v>86</v>
      </c>
      <c r="D150" s="2" t="str">
        <f>HYPERLINK("https://torgi.gov.ru/new/public/lots/lot/22000034450000000001_1/(lotInfo:info)", "22000034450000000001_1")</f>
        <v>22000034450000000001_1</v>
      </c>
      <c r="E150" t="s">
        <v>689</v>
      </c>
      <c r="F150" s="3" t="s">
        <v>690</v>
      </c>
      <c r="G150" t="s">
        <v>691</v>
      </c>
      <c r="H150" s="4">
        <v>1575000</v>
      </c>
      <c r="I150" s="4">
        <v>18313.953488372092</v>
      </c>
      <c r="J150" s="5" t="s">
        <v>29</v>
      </c>
      <c r="K150" s="5">
        <v>6.93</v>
      </c>
      <c r="L150" s="4">
        <v>963.84</v>
      </c>
      <c r="M150">
        <v>2642</v>
      </c>
      <c r="N150" t="s">
        <v>692</v>
      </c>
      <c r="O150">
        <v>19</v>
      </c>
      <c r="P150" s="6">
        <v>500</v>
      </c>
      <c r="Q150" t="s">
        <v>31</v>
      </c>
      <c r="R150" t="s">
        <v>32</v>
      </c>
      <c r="S150" s="2" t="str">
        <f>HYPERLINK("https://yandex.ru/maps/?&amp;text=56.85279, 40.54831", "56.85279, 40.54831")</f>
        <v>56.85279, 40.54831</v>
      </c>
      <c r="T150" s="2" t="str">
        <f>HYPERLINK("D:\venv_torgi\env\cache\objs_in_district/56.85279_40.54831.json", "56.85279_40.54831.json")</f>
        <v>56.85279_40.54831.json</v>
      </c>
      <c r="U150" t="s">
        <v>693</v>
      </c>
      <c r="W150" s="19">
        <v>14930.943770233611</v>
      </c>
      <c r="X150" s="20">
        <v>-3383.009718138479</v>
      </c>
      <c r="Y150">
        <v>0</v>
      </c>
    </row>
    <row r="151" spans="1:25">
      <c r="A151" s="8">
        <v>150</v>
      </c>
      <c r="B151">
        <v>37</v>
      </c>
      <c r="C151" s="1">
        <v>63.1</v>
      </c>
      <c r="D151" s="2" t="str">
        <f>HYPERLINK("https://torgi.gov.ru/new/public/lots/lot/21000012970000000013_1/(lotInfo:info)", "21000012970000000013_1")</f>
        <v>21000012970000000013_1</v>
      </c>
      <c r="E151" t="s">
        <v>694</v>
      </c>
      <c r="F151" s="3" t="s">
        <v>695</v>
      </c>
      <c r="G151" t="s">
        <v>696</v>
      </c>
      <c r="H151" s="4">
        <v>1330000</v>
      </c>
      <c r="I151" s="4">
        <v>21077.65451664025</v>
      </c>
      <c r="J151" s="5" t="s">
        <v>29</v>
      </c>
      <c r="K151" s="5">
        <v>11.61</v>
      </c>
      <c r="L151" s="4">
        <v>780.63</v>
      </c>
      <c r="M151">
        <v>1816</v>
      </c>
      <c r="N151" t="s">
        <v>687</v>
      </c>
      <c r="O151">
        <v>27</v>
      </c>
      <c r="P151" s="6">
        <v>100</v>
      </c>
      <c r="Q151" t="s">
        <v>40</v>
      </c>
      <c r="R151" t="s">
        <v>32</v>
      </c>
      <c r="S151" s="2" t="str">
        <f>HYPERLINK("https://yandex.ru/maps/?&amp;text=56.849915, 41.356064", "56.849915, 41.356064")</f>
        <v>56.849915, 41.356064</v>
      </c>
      <c r="T151" s="2" t="str">
        <f>HYPERLINK("D:\venv_torgi\env\cache\objs_in_district/56.849915_41.356064.json", "56.849915_41.356064.json")</f>
        <v>56.849915_41.356064.json</v>
      </c>
      <c r="U151" t="s">
        <v>697</v>
      </c>
      <c r="V151" s="7" t="s">
        <v>34</v>
      </c>
      <c r="W151" s="19">
        <v>25005.921007216992</v>
      </c>
      <c r="X151" s="21">
        <v>3928.266490576741</v>
      </c>
      <c r="Y151">
        <v>0</v>
      </c>
    </row>
    <row r="152" spans="1:25">
      <c r="A152" s="8">
        <v>151</v>
      </c>
      <c r="B152">
        <v>37</v>
      </c>
      <c r="C152" s="1">
        <v>120.8</v>
      </c>
      <c r="D152" s="2" t="str">
        <f>HYPERLINK("https://torgi.gov.ru/new/public/lots/lot/21000010870000000002_3/(lotInfo:info)", "21000010870000000002_3")</f>
        <v>21000010870000000002_3</v>
      </c>
      <c r="E152" t="s">
        <v>698</v>
      </c>
      <c r="F152" s="3" t="s">
        <v>699</v>
      </c>
      <c r="G152" t="s">
        <v>700</v>
      </c>
      <c r="H152" s="4">
        <v>3820000</v>
      </c>
      <c r="I152" s="4">
        <v>31622.51655629139</v>
      </c>
      <c r="J152" s="5" t="s">
        <v>29</v>
      </c>
      <c r="K152" s="5">
        <v>4.9800000000000004</v>
      </c>
      <c r="L152" s="4">
        <v>3952.75</v>
      </c>
      <c r="M152">
        <v>6354</v>
      </c>
      <c r="N152" t="s">
        <v>701</v>
      </c>
      <c r="O152">
        <v>8</v>
      </c>
      <c r="P152" s="6">
        <v>200</v>
      </c>
      <c r="Q152" t="s">
        <v>31</v>
      </c>
      <c r="R152" t="s">
        <v>32</v>
      </c>
      <c r="S152" s="2" t="str">
        <f>HYPERLINK("https://yandex.ru/maps/?&amp;text=56.991302, 40.931529", "56.991302, 40.931529")</f>
        <v>56.991302, 40.931529</v>
      </c>
      <c r="T152" s="2" t="str">
        <f>HYPERLINK("D:\venv_torgi\env\cache\objs_in_district/56.991302_40.931529.json", "56.991302_40.931529.json")</f>
        <v>56.991302_40.931529.json</v>
      </c>
      <c r="U152" t="s">
        <v>702</v>
      </c>
      <c r="W152" s="19">
        <v>28791.780206219712</v>
      </c>
      <c r="X152" s="20">
        <v>-2830.7363500716779</v>
      </c>
      <c r="Y152">
        <v>0</v>
      </c>
    </row>
    <row r="153" spans="1:25">
      <c r="A153" s="8">
        <v>152</v>
      </c>
      <c r="B153">
        <v>38</v>
      </c>
      <c r="C153" s="1">
        <v>64.599999999999994</v>
      </c>
      <c r="D153" s="2" t="str">
        <f>HYPERLINK("https://torgi.gov.ru/new/public/lots/lot/21000013280000000002_1/(lotInfo:info)", "21000013280000000002_1")</f>
        <v>21000013280000000002_1</v>
      </c>
      <c r="E153" t="s">
        <v>703</v>
      </c>
      <c r="F153" s="3" t="s">
        <v>704</v>
      </c>
      <c r="G153" t="s">
        <v>705</v>
      </c>
      <c r="H153" s="4">
        <v>603750</v>
      </c>
      <c r="I153" s="4">
        <v>9345.9752321981432</v>
      </c>
      <c r="J153" s="5" t="s">
        <v>2079</v>
      </c>
      <c r="K153" s="5">
        <v>4.95</v>
      </c>
      <c r="L153" s="4">
        <v>4672.5</v>
      </c>
      <c r="M153">
        <v>1886</v>
      </c>
      <c r="N153" t="s">
        <v>706</v>
      </c>
      <c r="O153">
        <v>2</v>
      </c>
      <c r="P153" s="6">
        <v>1100</v>
      </c>
      <c r="Q153" t="s">
        <v>31</v>
      </c>
      <c r="R153" t="s">
        <v>32</v>
      </c>
      <c r="S153" s="2" t="str">
        <f>HYPERLINK("https://yandex.ru/maps/?&amp;text=52.741243, 103.650824", "52.741243, 103.650824")</f>
        <v>52.741243, 103.650824</v>
      </c>
      <c r="T153" s="2" t="str">
        <f>HYPERLINK("D:\venv_torgi\env\cache\objs_in_district/52.741243_103.650824.json", "52.741243_103.650824.json")</f>
        <v>52.741243_103.650824.json</v>
      </c>
      <c r="U153" t="s">
        <v>707</v>
      </c>
      <c r="V153" s="7" t="s">
        <v>34</v>
      </c>
      <c r="W153" s="19">
        <v>14930.943770233611</v>
      </c>
      <c r="X153" s="21">
        <v>5584.9685380354686</v>
      </c>
      <c r="Y153">
        <v>0</v>
      </c>
    </row>
    <row r="154" spans="1:25">
      <c r="A154" s="8">
        <v>153</v>
      </c>
      <c r="B154">
        <v>38</v>
      </c>
      <c r="C154" s="1">
        <v>404.5</v>
      </c>
      <c r="D154" s="2" t="str">
        <f>HYPERLINK("https://torgi.gov.ru/new/public/lots/lot/21000007110000000005_1/(lotInfo:info)", "21000007110000000005_1")</f>
        <v>21000007110000000005_1</v>
      </c>
      <c r="E154" t="s">
        <v>708</v>
      </c>
      <c r="F154" s="3" t="s">
        <v>709</v>
      </c>
      <c r="G154" t="s">
        <v>710</v>
      </c>
      <c r="H154" s="4">
        <v>4586000</v>
      </c>
      <c r="I154" s="4">
        <v>11337.45364647713</v>
      </c>
      <c r="J154" s="5" t="s">
        <v>29</v>
      </c>
      <c r="K154" s="10">
        <v>1.5</v>
      </c>
      <c r="L154" s="11">
        <v>241.22</v>
      </c>
      <c r="M154">
        <v>7573</v>
      </c>
      <c r="N154" t="s">
        <v>711</v>
      </c>
      <c r="O154" t="s">
        <v>712</v>
      </c>
      <c r="Q154" t="s">
        <v>40</v>
      </c>
      <c r="R154" t="s">
        <v>32</v>
      </c>
      <c r="S154" s="2" t="str">
        <f>HYPERLINK("https://yandex.ru/maps/?&amp;text=52.514314, 103.87296", "52.514314, 103.87296")</f>
        <v>52.514314, 103.87296</v>
      </c>
      <c r="T154" s="12" t="str">
        <f>HYPERLINK("D:\venv_torgi\env\cache\objs_in_district/52.514314_103.87296.json", "52.514314_103.87296.json")</f>
        <v>52.514314_103.87296.json</v>
      </c>
      <c r="U154" t="s">
        <v>713</v>
      </c>
      <c r="W154" s="19">
        <v>11337.45364647713</v>
      </c>
      <c r="X154" s="19">
        <v>0</v>
      </c>
      <c r="Y154">
        <v>0</v>
      </c>
    </row>
    <row r="155" spans="1:25">
      <c r="A155" s="8">
        <v>154</v>
      </c>
      <c r="B155">
        <v>38</v>
      </c>
      <c r="C155" s="1">
        <v>233.5</v>
      </c>
      <c r="D155" s="2" t="str">
        <f>HYPERLINK("https://torgi.gov.ru/new/public/lots/lot/22000061890000000001_1/(lotInfo:info)", "22000061890000000001_1")</f>
        <v>22000061890000000001_1</v>
      </c>
      <c r="E155" t="s">
        <v>714</v>
      </c>
      <c r="F155" s="3" t="s">
        <v>715</v>
      </c>
      <c r="G155" t="s">
        <v>716</v>
      </c>
      <c r="H155" s="4">
        <v>2811000</v>
      </c>
      <c r="I155" s="4">
        <v>12038.54389721627</v>
      </c>
      <c r="J155" s="5" t="s">
        <v>29</v>
      </c>
      <c r="K155" s="5">
        <v>4.88</v>
      </c>
      <c r="L155" s="4">
        <v>3009.5</v>
      </c>
      <c r="M155">
        <v>2466</v>
      </c>
      <c r="N155" t="s">
        <v>717</v>
      </c>
      <c r="O155">
        <v>4</v>
      </c>
      <c r="P155" s="6">
        <v>600</v>
      </c>
      <c r="Q155" t="s">
        <v>31</v>
      </c>
      <c r="R155" t="s">
        <v>32</v>
      </c>
      <c r="S155" s="2" t="str">
        <f>HYPERLINK("https://yandex.ru/maps/?&amp;text=53.075596, 103.34048", "53.075596, 103.34048")</f>
        <v>53.075596, 103.34048</v>
      </c>
      <c r="T155" s="2" t="str">
        <f>HYPERLINK("D:\venv_torgi\env\cache\objs_in_district/53.075596_103.34048.json", "53.075596_103.34048.json")</f>
        <v>53.075596_103.34048.json</v>
      </c>
      <c r="U155" t="s">
        <v>718</v>
      </c>
      <c r="V155" s="7" t="s">
        <v>34</v>
      </c>
      <c r="W155" s="19">
        <v>10661.45189182739</v>
      </c>
      <c r="X155" s="20">
        <v>-1377.0920053888769</v>
      </c>
      <c r="Y155">
        <v>0</v>
      </c>
    </row>
    <row r="156" spans="1:25">
      <c r="A156" s="8">
        <v>155</v>
      </c>
      <c r="B156">
        <v>38</v>
      </c>
      <c r="C156" s="1">
        <v>52</v>
      </c>
      <c r="D156" s="2" t="str">
        <f>HYPERLINK("https://torgi.gov.ru/new/public/lots/lot/21000007110000000014_3/(lotInfo:info)", "21000007110000000014_3")</f>
        <v>21000007110000000014_3</v>
      </c>
      <c r="E156" t="s">
        <v>719</v>
      </c>
      <c r="F156" s="3" t="s">
        <v>720</v>
      </c>
      <c r="G156" t="s">
        <v>721</v>
      </c>
      <c r="H156" s="4">
        <v>950000</v>
      </c>
      <c r="I156" s="4">
        <v>18269.23076923077</v>
      </c>
      <c r="J156" s="5" t="s">
        <v>29</v>
      </c>
      <c r="K156" s="5">
        <v>2.87</v>
      </c>
      <c r="L156" s="4">
        <v>468.44</v>
      </c>
      <c r="M156">
        <v>6365</v>
      </c>
      <c r="N156" t="s">
        <v>722</v>
      </c>
      <c r="O156">
        <v>39</v>
      </c>
      <c r="Q156" t="s">
        <v>31</v>
      </c>
      <c r="R156" t="s">
        <v>32</v>
      </c>
      <c r="S156" s="2" t="str">
        <f>HYPERLINK("https://yandex.ru/maps/?&amp;text=52.51086, 103.838234", "52.51086, 103.838234")</f>
        <v>52.51086, 103.838234</v>
      </c>
      <c r="T156" s="2" t="str">
        <f>HYPERLINK("D:\venv_torgi\env\cache\objs_in_district/52.51086_103.838234.json", "52.51086_103.838234.json")</f>
        <v>52.51086_103.838234.json</v>
      </c>
      <c r="U156" t="s">
        <v>723</v>
      </c>
      <c r="W156" s="19">
        <v>25005.921007216992</v>
      </c>
      <c r="X156" s="21">
        <v>6736.6902379862222</v>
      </c>
      <c r="Y156">
        <v>0</v>
      </c>
    </row>
    <row r="157" spans="1:25">
      <c r="A157" s="8">
        <v>156</v>
      </c>
      <c r="B157">
        <v>38</v>
      </c>
      <c r="C157" s="1">
        <v>40</v>
      </c>
      <c r="D157" s="2" t="str">
        <f>HYPERLINK("https://torgi.gov.ru/new/public/lots/lot/21000019000000000003_1/(lotInfo:info)", "21000019000000000003_1")</f>
        <v>21000019000000000003_1</v>
      </c>
      <c r="E157" t="s">
        <v>724</v>
      </c>
      <c r="F157" s="3" t="s">
        <v>725</v>
      </c>
      <c r="G157" t="s">
        <v>726</v>
      </c>
      <c r="H157" s="4">
        <v>760000</v>
      </c>
      <c r="I157" s="4">
        <v>19000</v>
      </c>
      <c r="J157" s="5" t="s">
        <v>727</v>
      </c>
      <c r="K157" s="5">
        <v>6.9</v>
      </c>
      <c r="L157" s="4">
        <v>2375</v>
      </c>
      <c r="M157">
        <v>2753</v>
      </c>
      <c r="N157" t="s">
        <v>728</v>
      </c>
      <c r="O157">
        <v>8</v>
      </c>
      <c r="P157" s="6">
        <v>400</v>
      </c>
      <c r="Q157" t="s">
        <v>31</v>
      </c>
      <c r="R157" t="s">
        <v>32</v>
      </c>
      <c r="S157" s="2" t="str">
        <f>HYPERLINK("https://yandex.ru/maps/?&amp;text=52.36115, 104.21175", "52.36115, 104.21175")</f>
        <v>52.36115, 104.21175</v>
      </c>
      <c r="T157" s="2" t="str">
        <f>HYPERLINK("D:\venv_torgi\env\cache\objs_in_district/52.36115_104.21175.json", "52.36115_104.21175.json")</f>
        <v>52.36115_104.21175.json</v>
      </c>
      <c r="U157" t="s">
        <v>729</v>
      </c>
      <c r="V157" s="7" t="s">
        <v>34</v>
      </c>
      <c r="W157" s="19">
        <v>28791.780206219712</v>
      </c>
      <c r="X157" s="21">
        <v>9791.7802062197115</v>
      </c>
      <c r="Y157">
        <v>0</v>
      </c>
    </row>
    <row r="158" spans="1:25">
      <c r="A158" s="8">
        <v>157</v>
      </c>
      <c r="B158">
        <v>38</v>
      </c>
      <c r="C158" s="1">
        <v>128.9</v>
      </c>
      <c r="D158" s="2" t="str">
        <f>HYPERLINK("https://torgi.gov.ru/new/public/lots/lot/21000007110000000006_3/(lotInfo:info)", "21000007110000000006_3")</f>
        <v>21000007110000000006_3</v>
      </c>
      <c r="E158" t="s">
        <v>730</v>
      </c>
      <c r="F158" s="3" t="s">
        <v>709</v>
      </c>
      <c r="G158" t="s">
        <v>731</v>
      </c>
      <c r="H158" s="4">
        <v>2598200</v>
      </c>
      <c r="I158" s="4">
        <v>20156.710628394099</v>
      </c>
      <c r="J158" s="5" t="s">
        <v>29</v>
      </c>
      <c r="K158" s="5">
        <v>3.55</v>
      </c>
      <c r="L158" s="4">
        <v>366.47</v>
      </c>
      <c r="M158">
        <v>5682</v>
      </c>
      <c r="N158" t="s">
        <v>722</v>
      </c>
      <c r="O158">
        <v>55</v>
      </c>
      <c r="P158" s="6">
        <v>400</v>
      </c>
      <c r="Q158" t="s">
        <v>31</v>
      </c>
      <c r="R158" t="s">
        <v>32</v>
      </c>
      <c r="S158" s="2" t="str">
        <f>HYPERLINK("https://yandex.ru/maps/?&amp;text=52.53228, 103.89681", "52.53228, 103.89681")</f>
        <v>52.53228, 103.89681</v>
      </c>
      <c r="T158" s="2" t="str">
        <f>HYPERLINK("D:\venv_torgi\env\cache\objs_in_district/52.53228_103.89681.json", "52.53228_103.89681.json")</f>
        <v>52.53228_103.89681.json</v>
      </c>
      <c r="U158" t="s">
        <v>732</v>
      </c>
      <c r="W158" s="19">
        <v>25005.921007216992</v>
      </c>
      <c r="X158" s="21">
        <v>4849.2103788228924</v>
      </c>
      <c r="Y158">
        <v>0</v>
      </c>
    </row>
    <row r="159" spans="1:25">
      <c r="A159" s="8">
        <v>158</v>
      </c>
      <c r="B159">
        <v>38</v>
      </c>
      <c r="C159" s="1">
        <v>396.5</v>
      </c>
      <c r="D159" s="2" t="str">
        <f>HYPERLINK("https://torgi.gov.ru/new/public/lots/lot/21000007110000000014_2/(lotInfo:info)", "21000007110000000014_2")</f>
        <v>21000007110000000014_2</v>
      </c>
      <c r="E159" t="s">
        <v>733</v>
      </c>
      <c r="F159" s="3" t="s">
        <v>720</v>
      </c>
      <c r="G159" t="s">
        <v>734</v>
      </c>
      <c r="H159" s="4">
        <v>8027000</v>
      </c>
      <c r="I159" s="4">
        <v>20244.640605296339</v>
      </c>
      <c r="J159" s="5" t="s">
        <v>29</v>
      </c>
      <c r="K159" s="5">
        <v>2.91</v>
      </c>
      <c r="L159" s="4">
        <v>266.37</v>
      </c>
      <c r="M159">
        <v>6951</v>
      </c>
      <c r="N159" t="s">
        <v>722</v>
      </c>
      <c r="O159">
        <v>76</v>
      </c>
      <c r="P159" s="6">
        <v>100</v>
      </c>
      <c r="Q159" t="s">
        <v>31</v>
      </c>
      <c r="R159" t="s">
        <v>32</v>
      </c>
      <c r="S159" s="2" t="str">
        <f>HYPERLINK("https://yandex.ru/maps/?&amp;text=52.516818, 103.87481", "52.516818, 103.87481")</f>
        <v>52.516818, 103.87481</v>
      </c>
      <c r="T159" s="2" t="str">
        <f>HYPERLINK("D:\venv_torgi\env\cache\objs_in_district/52.516818_103.87481.json", "52.516818_103.87481.json")</f>
        <v>52.516818_103.87481.json</v>
      </c>
      <c r="U159" t="s">
        <v>735</v>
      </c>
      <c r="W159" s="19">
        <v>20244.640605296339</v>
      </c>
      <c r="X159" s="19">
        <v>0</v>
      </c>
      <c r="Y159">
        <v>0</v>
      </c>
    </row>
    <row r="160" spans="1:25">
      <c r="A160" s="8">
        <v>159</v>
      </c>
      <c r="B160">
        <v>38</v>
      </c>
      <c r="C160" s="1">
        <v>99.2</v>
      </c>
      <c r="D160" s="2" t="str">
        <f>HYPERLINK("https://torgi.gov.ru/new/public/lots/lot/21000030270000000003_1/(lotInfo:info)", "21000030270000000003_1")</f>
        <v>21000030270000000003_1</v>
      </c>
      <c r="E160" t="s">
        <v>736</v>
      </c>
      <c r="F160" s="3" t="s">
        <v>737</v>
      </c>
      <c r="G160" t="s">
        <v>738</v>
      </c>
      <c r="H160" s="4">
        <v>2029766</v>
      </c>
      <c r="I160" s="4">
        <v>20461.35080645161</v>
      </c>
      <c r="J160" s="5" t="s">
        <v>29</v>
      </c>
      <c r="K160" s="5">
        <v>2.04</v>
      </c>
      <c r="L160" s="4">
        <v>314.77999999999997</v>
      </c>
      <c r="M160">
        <v>10021</v>
      </c>
      <c r="N160" t="s">
        <v>739</v>
      </c>
      <c r="O160">
        <v>65</v>
      </c>
      <c r="P160" s="6">
        <v>300</v>
      </c>
      <c r="Q160" t="s">
        <v>31</v>
      </c>
      <c r="R160" t="s">
        <v>32</v>
      </c>
      <c r="S160" s="2" t="str">
        <f>HYPERLINK("https://yandex.ru/maps/?&amp;text=57.848919, 114.19763", "57.848919, 114.19763")</f>
        <v>57.848919, 114.19763</v>
      </c>
      <c r="T160" s="2" t="str">
        <f>HYPERLINK("D:\venv_torgi\env\cache\objs_in_district/57.848919_114.19763.json", "57.848919_114.19763.json")</f>
        <v>57.848919_114.19763.json</v>
      </c>
      <c r="U160" t="s">
        <v>740</v>
      </c>
      <c r="V160" s="7" t="s">
        <v>39</v>
      </c>
      <c r="W160" s="19">
        <v>25005.921007216992</v>
      </c>
      <c r="X160" s="21">
        <v>4544.5702007653817</v>
      </c>
      <c r="Y160">
        <v>0</v>
      </c>
    </row>
    <row r="161" spans="1:26">
      <c r="A161" s="8">
        <v>160</v>
      </c>
      <c r="B161">
        <v>38</v>
      </c>
      <c r="C161" s="1">
        <v>49.7</v>
      </c>
      <c r="D161" s="2" t="str">
        <f>HYPERLINK("https://torgi.gov.ru/new/public/lots/lot/22000092900000000001_1/(lotInfo:info)", "22000092900000000001_1")</f>
        <v>22000092900000000001_1</v>
      </c>
      <c r="E161" t="s">
        <v>741</v>
      </c>
      <c r="F161" s="3" t="s">
        <v>124</v>
      </c>
      <c r="G161" t="s">
        <v>742</v>
      </c>
      <c r="H161" s="4">
        <v>6750040</v>
      </c>
      <c r="I161" s="4">
        <v>135815.69416498989</v>
      </c>
      <c r="J161" s="5" t="s">
        <v>29</v>
      </c>
      <c r="K161" s="5">
        <v>577.94000000000005</v>
      </c>
      <c r="L161" s="4">
        <v>45271.67</v>
      </c>
      <c r="M161">
        <v>235</v>
      </c>
      <c r="N161" t="s">
        <v>743</v>
      </c>
      <c r="O161">
        <v>3</v>
      </c>
      <c r="P161" s="6">
        <v>2100</v>
      </c>
      <c r="Q161" t="s">
        <v>31</v>
      </c>
      <c r="R161" t="s">
        <v>32</v>
      </c>
      <c r="S161" s="2" t="str">
        <f>HYPERLINK("https://yandex.ru/maps/?&amp;text=52.308495, 104.176096", "52.308495, 104.176096")</f>
        <v>52.308495, 104.176096</v>
      </c>
      <c r="T161" s="2" t="str">
        <f>HYPERLINK("D:\venv_torgi\env\cache\objs_in_district/52.308495_104.176096.json", "52.308495_104.176096.json")</f>
        <v>52.308495_104.176096.json</v>
      </c>
      <c r="U161" t="s">
        <v>744</v>
      </c>
      <c r="V161" s="7" t="s">
        <v>34</v>
      </c>
      <c r="W161" s="19">
        <v>14930.943770233611</v>
      </c>
      <c r="X161" s="20">
        <v>-120884.75039475629</v>
      </c>
      <c r="Y161">
        <v>0</v>
      </c>
    </row>
    <row r="162" spans="1:26">
      <c r="A162" s="8">
        <v>161</v>
      </c>
      <c r="B162">
        <v>39</v>
      </c>
      <c r="C162" s="1">
        <v>194.2</v>
      </c>
      <c r="D162" s="2" t="str">
        <f>HYPERLINK("https://torgi.gov.ru/new/public/lots/lot/22000054080000000004_1/(lotInfo:info)", "22000054080000000004_1")</f>
        <v>22000054080000000004_1</v>
      </c>
      <c r="E162" t="s">
        <v>745</v>
      </c>
      <c r="F162" s="3" t="s">
        <v>746</v>
      </c>
      <c r="G162" t="s">
        <v>747</v>
      </c>
      <c r="H162" s="4">
        <v>787600</v>
      </c>
      <c r="I162" s="4">
        <v>4055.6127703398561</v>
      </c>
      <c r="J162" s="5" t="s">
        <v>29</v>
      </c>
      <c r="K162" s="5">
        <v>3.74</v>
      </c>
      <c r="L162" s="4">
        <v>311.92</v>
      </c>
      <c r="M162">
        <v>1084</v>
      </c>
      <c r="N162" t="s">
        <v>748</v>
      </c>
      <c r="O162">
        <v>13</v>
      </c>
      <c r="P162" s="6">
        <v>300</v>
      </c>
      <c r="Q162" t="s">
        <v>31</v>
      </c>
      <c r="R162" t="s">
        <v>32</v>
      </c>
      <c r="S162" s="2" t="str">
        <f>HYPERLINK("https://yandex.ru/maps/?&amp;text=54.446863, 21.017658", "54.446863, 21.017658")</f>
        <v>54.446863, 21.017658</v>
      </c>
      <c r="T162" s="2" t="str">
        <f>HYPERLINK("D:\venv_torgi\env\cache\objs_in_district/54.446863_21.017658.json", "54.446863_21.017658.json")</f>
        <v>54.446863_21.017658.json</v>
      </c>
      <c r="U162" t="s">
        <v>749</v>
      </c>
      <c r="V162" s="7" t="s">
        <v>34</v>
      </c>
      <c r="W162" s="19">
        <v>10661.45189182739</v>
      </c>
      <c r="X162" s="21">
        <v>6605.8391214875373</v>
      </c>
      <c r="Y162">
        <v>0</v>
      </c>
    </row>
    <row r="163" spans="1:26">
      <c r="A163" s="8">
        <v>162</v>
      </c>
      <c r="B163">
        <v>39</v>
      </c>
      <c r="C163" s="1">
        <v>83.8</v>
      </c>
      <c r="D163" s="2" t="str">
        <f>HYPERLINK("https://torgi.gov.ru/new/public/lots/lot/22000054080000000009_1/(lotInfo:info)", "22000054080000000009_1")</f>
        <v>22000054080000000009_1</v>
      </c>
      <c r="E163" t="s">
        <v>750</v>
      </c>
      <c r="F163" s="3" t="s">
        <v>746</v>
      </c>
      <c r="G163" t="s">
        <v>751</v>
      </c>
      <c r="H163" s="4">
        <v>1032900</v>
      </c>
      <c r="I163" s="4">
        <v>12325.77565632458</v>
      </c>
      <c r="J163" s="5" t="s">
        <v>2078</v>
      </c>
      <c r="K163" s="10">
        <v>41.09</v>
      </c>
      <c r="L163" s="11"/>
      <c r="M163">
        <v>300</v>
      </c>
      <c r="N163" t="s">
        <v>752</v>
      </c>
      <c r="O163" t="s">
        <v>39</v>
      </c>
      <c r="P163" s="6">
        <v>1400</v>
      </c>
      <c r="Q163" t="s">
        <v>31</v>
      </c>
      <c r="R163" t="s">
        <v>32</v>
      </c>
      <c r="S163" s="2" t="str">
        <f>HYPERLINK("https://yandex.ru/maps/?&amp;text=54.356088, 21.322591", "54.356088, 21.322591")</f>
        <v>54.356088, 21.322591</v>
      </c>
      <c r="T163" s="12" t="str">
        <f>HYPERLINK("D:\venv_torgi\env\cache\objs_in_district/54.356088_21.322591.json", "54.356088_21.322591.json")</f>
        <v>54.356088_21.322591.json</v>
      </c>
      <c r="U163" t="s">
        <v>753</v>
      </c>
      <c r="W163" s="19">
        <v>14930.943770233611</v>
      </c>
      <c r="X163" s="21">
        <v>2605.1681139090319</v>
      </c>
      <c r="Y163">
        <v>0</v>
      </c>
    </row>
    <row r="164" spans="1:26">
      <c r="A164" s="8">
        <v>163</v>
      </c>
      <c r="B164">
        <v>39</v>
      </c>
      <c r="C164" s="1">
        <v>21.2</v>
      </c>
      <c r="D164" s="2" t="str">
        <f>HYPERLINK("https://torgi.gov.ru/new/public/lots/lot/21000007890000000012_1/(lotInfo:info)", "21000007890000000012_1")</f>
        <v>21000007890000000012_1</v>
      </c>
      <c r="E164" t="s">
        <v>754</v>
      </c>
      <c r="F164" s="3" t="s">
        <v>755</v>
      </c>
      <c r="G164" t="s">
        <v>756</v>
      </c>
      <c r="H164" s="4">
        <v>684000</v>
      </c>
      <c r="I164" s="4">
        <v>32264.150943396231</v>
      </c>
      <c r="J164" s="5" t="s">
        <v>29</v>
      </c>
      <c r="K164" s="5">
        <v>5.72</v>
      </c>
      <c r="L164" s="4">
        <v>1194.96</v>
      </c>
      <c r="M164">
        <v>5643</v>
      </c>
      <c r="N164" t="s">
        <v>757</v>
      </c>
      <c r="O164">
        <v>27</v>
      </c>
      <c r="P164" s="6">
        <v>200</v>
      </c>
      <c r="Q164" t="s">
        <v>31</v>
      </c>
      <c r="R164" t="s">
        <v>32</v>
      </c>
      <c r="S164" s="2" t="str">
        <f>HYPERLINK("https://yandex.ru/maps/?&amp;text=54.733223, 20.524519", "54.733223, 20.524519")</f>
        <v>54.733223, 20.524519</v>
      </c>
      <c r="T164" s="2" t="str">
        <f>HYPERLINK("D:\venv_torgi\env\cache\objs_in_district/54.733223_20.524519.json", "54.733223_20.524519.json")</f>
        <v>54.733223_20.524519.json</v>
      </c>
      <c r="U164" t="s">
        <v>758</v>
      </c>
      <c r="V164" s="7" t="s">
        <v>34</v>
      </c>
      <c r="W164" s="19">
        <v>28791.780206219712</v>
      </c>
      <c r="X164" s="20">
        <v>-3472.370737176519</v>
      </c>
      <c r="Y164">
        <v>0</v>
      </c>
    </row>
    <row r="165" spans="1:26">
      <c r="A165" s="8">
        <v>164</v>
      </c>
      <c r="B165">
        <v>39</v>
      </c>
      <c r="C165" s="1">
        <v>121.8</v>
      </c>
      <c r="D165" s="2" t="str">
        <f>HYPERLINK("https://torgi.gov.ru/new/public/lots/lot/21000029430000000015_16/(lotInfo:info)", "21000029430000000015_16")</f>
        <v>21000029430000000015_16</v>
      </c>
      <c r="E165" t="s">
        <v>759</v>
      </c>
      <c r="F165" s="3" t="s">
        <v>395</v>
      </c>
      <c r="G165" t="s">
        <v>760</v>
      </c>
      <c r="H165" s="4">
        <v>4071092</v>
      </c>
      <c r="I165" s="4">
        <v>33424.400656814447</v>
      </c>
      <c r="J165" s="5" t="s">
        <v>29</v>
      </c>
      <c r="K165" s="5">
        <v>5.42</v>
      </c>
      <c r="L165" s="4">
        <v>1966.12</v>
      </c>
      <c r="M165">
        <v>6162</v>
      </c>
      <c r="N165" t="s">
        <v>757</v>
      </c>
      <c r="O165">
        <v>17</v>
      </c>
      <c r="P165" s="6">
        <v>300</v>
      </c>
      <c r="Q165" t="s">
        <v>31</v>
      </c>
      <c r="R165" t="s">
        <v>51</v>
      </c>
      <c r="S165" s="2" t="str">
        <f>HYPERLINK("https://yandex.ru/maps/?&amp;text=54.711868, 20.58202", "54.711868, 20.58202")</f>
        <v>54.711868, 20.58202</v>
      </c>
      <c r="T165" s="2" t="str">
        <f>HYPERLINK("D:\venv_torgi\env\cache\objs_in_district/54.711868_20.58202.json", "54.711868_20.58202.json")</f>
        <v>54.711868_20.58202.json</v>
      </c>
      <c r="U165" t="s">
        <v>761</v>
      </c>
      <c r="V165" s="7" t="s">
        <v>34</v>
      </c>
      <c r="W165" s="19">
        <v>28791.780206219712</v>
      </c>
      <c r="X165" s="20">
        <v>-4632.6204505947353</v>
      </c>
      <c r="Y165">
        <v>0</v>
      </c>
    </row>
    <row r="166" spans="1:26">
      <c r="A166" s="8">
        <v>165</v>
      </c>
      <c r="B166">
        <v>40</v>
      </c>
      <c r="C166" s="1">
        <v>41.5</v>
      </c>
      <c r="D166" s="2" t="str">
        <f>HYPERLINK("https://torgi.gov.ru/new/public/lots/lot/22000014810000000003_1/(lotInfo:info)", "22000014810000000003_1")</f>
        <v>22000014810000000003_1</v>
      </c>
      <c r="E166" t="s">
        <v>762</v>
      </c>
      <c r="F166" s="3" t="s">
        <v>763</v>
      </c>
      <c r="G166" t="s">
        <v>764</v>
      </c>
      <c r="H166" s="4">
        <v>1450050</v>
      </c>
      <c r="I166" s="4">
        <v>34940.963855421687</v>
      </c>
      <c r="J166" s="5" t="s">
        <v>29</v>
      </c>
      <c r="K166" s="5">
        <v>8.32</v>
      </c>
      <c r="L166" s="4">
        <v>1588.18</v>
      </c>
      <c r="M166">
        <v>4201</v>
      </c>
      <c r="N166" t="s">
        <v>765</v>
      </c>
      <c r="O166">
        <v>22</v>
      </c>
      <c r="P166" s="6">
        <v>600</v>
      </c>
      <c r="Q166" t="s">
        <v>31</v>
      </c>
      <c r="R166" t="s">
        <v>32</v>
      </c>
      <c r="S166" s="2" t="str">
        <f>HYPERLINK("https://yandex.ru/maps/?&amp;text=54.552807, 36.29545", "54.552807, 36.29545")</f>
        <v>54.552807, 36.29545</v>
      </c>
      <c r="T166" s="2" t="str">
        <f>HYPERLINK("D:\venv_torgi\env\cache\objs_in_district/54.552807_36.29545.json", "54.552807_36.29545.json")</f>
        <v>54.552807_36.29545.json</v>
      </c>
      <c r="U166" t="s">
        <v>766</v>
      </c>
      <c r="V166" s="7" t="s">
        <v>34</v>
      </c>
      <c r="W166" s="19">
        <v>28791.780206219712</v>
      </c>
      <c r="X166" s="20">
        <v>-6149.1836492019756</v>
      </c>
      <c r="Y166">
        <v>0</v>
      </c>
    </row>
    <row r="167" spans="1:26">
      <c r="A167" s="8">
        <v>166</v>
      </c>
      <c r="B167">
        <v>40</v>
      </c>
      <c r="C167" s="1">
        <v>55.5</v>
      </c>
      <c r="D167" s="2" t="str">
        <f>HYPERLINK("https://torgi.gov.ru/new/public/lots/lot/22000014810000000024_1/(lotInfo:info)", "22000014810000000024_1")</f>
        <v>22000014810000000024_1</v>
      </c>
      <c r="E167" t="s">
        <v>767</v>
      </c>
      <c r="F167" s="3" t="s">
        <v>768</v>
      </c>
      <c r="G167" t="s">
        <v>769</v>
      </c>
      <c r="H167" s="4">
        <v>4443600</v>
      </c>
      <c r="I167" s="4">
        <v>80064.864864864867</v>
      </c>
      <c r="J167" s="5" t="s">
        <v>29</v>
      </c>
      <c r="K167" s="5">
        <v>6.46</v>
      </c>
      <c r="L167" s="4">
        <v>432.78</v>
      </c>
      <c r="M167">
        <v>12396</v>
      </c>
      <c r="N167" t="s">
        <v>765</v>
      </c>
      <c r="O167">
        <v>185</v>
      </c>
      <c r="P167" s="6">
        <v>300</v>
      </c>
      <c r="Q167" t="s">
        <v>31</v>
      </c>
      <c r="R167" t="s">
        <v>32</v>
      </c>
      <c r="S167" s="2" t="str">
        <f>HYPERLINK("https://yandex.ru/maps/?&amp;text=54.518732, 36.259922", "54.518732, 36.259922")</f>
        <v>54.518732, 36.259922</v>
      </c>
      <c r="T167" s="2" t="str">
        <f>HYPERLINK("D:\venv_torgi\env\cache\objs_in_district/54.518732_36.259922.json", "54.518732_36.259922.json")</f>
        <v>54.518732_36.259922.json</v>
      </c>
      <c r="U167" t="s">
        <v>770</v>
      </c>
      <c r="V167" s="7" t="s">
        <v>34</v>
      </c>
      <c r="W167" s="19">
        <v>59031.555963778381</v>
      </c>
      <c r="X167" s="20">
        <v>-21033.30890108649</v>
      </c>
      <c r="Y167">
        <v>0</v>
      </c>
      <c r="Z167">
        <v>1</v>
      </c>
    </row>
    <row r="168" spans="1:26">
      <c r="A168" s="8">
        <v>167</v>
      </c>
      <c r="B168">
        <v>41</v>
      </c>
      <c r="C168" s="1">
        <v>375.5</v>
      </c>
      <c r="D168" s="2" t="str">
        <f>HYPERLINK("https://torgi.gov.ru/new/public/lots/lot/21000029740000000018_1/(lotInfo:info)", "21000029740000000018_1")</f>
        <v>21000029740000000018_1</v>
      </c>
      <c r="E168" t="s">
        <v>771</v>
      </c>
      <c r="F168" s="3" t="s">
        <v>772</v>
      </c>
      <c r="G168" t="s">
        <v>773</v>
      </c>
      <c r="H168" s="4">
        <v>1942300</v>
      </c>
      <c r="I168" s="4">
        <v>5172.5699067909454</v>
      </c>
      <c r="J168" s="5" t="s">
        <v>2080</v>
      </c>
      <c r="K168" s="10">
        <v>45.37</v>
      </c>
      <c r="L168" s="11"/>
      <c r="M168">
        <v>538</v>
      </c>
      <c r="N168" t="s">
        <v>774</v>
      </c>
      <c r="O168" t="s">
        <v>39</v>
      </c>
      <c r="P168" s="6">
        <v>700</v>
      </c>
      <c r="Q168" t="s">
        <v>31</v>
      </c>
      <c r="R168" t="s">
        <v>51</v>
      </c>
      <c r="S168" s="2" t="str">
        <f>HYPERLINK("https://yandex.ru/maps/?&amp;text=53.063845, 158.553465", "53.063845, 158.553465")</f>
        <v>53.063845, 158.553465</v>
      </c>
      <c r="T168" s="12" t="str">
        <f>HYPERLINK("D:\venv_torgi\env\cache\objs_in_district/53.063845_158.553465.json", "53.063845_158.553465.json")</f>
        <v>53.063845_158.553465.json</v>
      </c>
      <c r="U168" t="s">
        <v>775</v>
      </c>
      <c r="W168" s="19">
        <v>4605.2933995586654</v>
      </c>
      <c r="X168" s="20">
        <v>-567.27650723227998</v>
      </c>
      <c r="Y168">
        <v>0</v>
      </c>
    </row>
    <row r="169" spans="1:26">
      <c r="A169" s="8">
        <v>168</v>
      </c>
      <c r="B169">
        <v>41</v>
      </c>
      <c r="C169" s="1">
        <v>334.1</v>
      </c>
      <c r="D169" s="2" t="str">
        <f>HYPERLINK("https://torgi.gov.ru/new/public/lots/lot/21000034040000000002_1/(lotInfo:info)", "21000034040000000002_1")</f>
        <v>21000034040000000002_1</v>
      </c>
      <c r="E169" t="s">
        <v>776</v>
      </c>
      <c r="F169" s="3" t="s">
        <v>777</v>
      </c>
      <c r="G169" t="s">
        <v>778</v>
      </c>
      <c r="H169" s="4">
        <v>1990000</v>
      </c>
      <c r="I169" s="4">
        <v>5956.3005088296914</v>
      </c>
      <c r="J169" s="5" t="s">
        <v>29</v>
      </c>
      <c r="K169" s="5">
        <v>180.48</v>
      </c>
      <c r="L169" s="4">
        <v>5956</v>
      </c>
      <c r="M169">
        <v>33</v>
      </c>
      <c r="N169" t="s">
        <v>779</v>
      </c>
      <c r="O169">
        <v>1</v>
      </c>
      <c r="Q169" t="s">
        <v>40</v>
      </c>
      <c r="R169" t="s">
        <v>32</v>
      </c>
      <c r="S169" s="2" t="str">
        <f>HYPERLINK("https://yandex.ru/maps/?&amp;text=53.122253, 157.74729", "53.122253, 157.74729")</f>
        <v>53.122253, 157.74729</v>
      </c>
      <c r="T169" s="2" t="str">
        <f>HYPERLINK("D:\venv_torgi\env\cache\objs_in_district/53.122253_157.74729.json", "53.122253_157.74729.json")</f>
        <v>53.122253_157.74729.json</v>
      </c>
      <c r="U169" t="s">
        <v>780</v>
      </c>
      <c r="V169" s="7" t="s">
        <v>34</v>
      </c>
      <c r="W169" s="19">
        <v>4605.2933995586654</v>
      </c>
      <c r="X169" s="20">
        <v>-1351.0071092710259</v>
      </c>
      <c r="Y169">
        <v>0</v>
      </c>
    </row>
    <row r="170" spans="1:26">
      <c r="A170" s="8">
        <v>169</v>
      </c>
      <c r="B170">
        <v>42</v>
      </c>
      <c r="C170" s="1">
        <v>125.7</v>
      </c>
      <c r="D170" s="2" t="str">
        <f>HYPERLINK("https://torgi.gov.ru/new/public/lots/lot/21000002310000000037_1/(lotInfo:info)", "21000002310000000037_1")</f>
        <v>21000002310000000037_1</v>
      </c>
      <c r="E170" t="s">
        <v>781</v>
      </c>
      <c r="F170" s="3" t="s">
        <v>782</v>
      </c>
      <c r="G170" t="s">
        <v>783</v>
      </c>
      <c r="H170" s="4">
        <v>718000.8</v>
      </c>
      <c r="I170" s="4">
        <v>5712.0190930787594</v>
      </c>
      <c r="J170" s="5" t="s">
        <v>29</v>
      </c>
      <c r="K170" s="5">
        <v>4.03</v>
      </c>
      <c r="L170" s="4">
        <v>357</v>
      </c>
      <c r="M170">
        <v>1418</v>
      </c>
      <c r="N170" t="s">
        <v>784</v>
      </c>
      <c r="O170">
        <v>16</v>
      </c>
      <c r="Q170" t="s">
        <v>40</v>
      </c>
      <c r="R170" t="s">
        <v>32</v>
      </c>
      <c r="S170" s="2" t="str">
        <f>HYPERLINK("https://yandex.ru/maps/?&amp;text=55.281672, 85.627242", "55.281672, 85.627242")</f>
        <v>55.281672, 85.627242</v>
      </c>
      <c r="T170" s="2" t="str">
        <f>HYPERLINK("D:\venv_torgi\env\cache\objs_in_district/55.281672_85.627242.json", "55.281672_85.627242.json")</f>
        <v>55.281672_85.627242.json</v>
      </c>
      <c r="U170" t="s">
        <v>785</v>
      </c>
      <c r="W170" s="19">
        <v>14930.943770233611</v>
      </c>
      <c r="X170" s="21">
        <v>9218.9246771548533</v>
      </c>
      <c r="Y170">
        <v>0</v>
      </c>
    </row>
    <row r="171" spans="1:26">
      <c r="A171" s="8">
        <v>170</v>
      </c>
      <c r="B171">
        <v>42</v>
      </c>
      <c r="C171" s="1">
        <v>202.7</v>
      </c>
      <c r="D171" s="2" t="str">
        <f>HYPERLINK("https://torgi.gov.ru/new/public/lots/lot/22000017180000000001_9/(lotInfo:info)", "22000017180000000001_9")</f>
        <v>22000017180000000001_9</v>
      </c>
      <c r="E171" t="s">
        <v>786</v>
      </c>
      <c r="F171" s="3" t="s">
        <v>787</v>
      </c>
      <c r="G171" t="s">
        <v>788</v>
      </c>
      <c r="H171" s="4">
        <v>1305000</v>
      </c>
      <c r="I171" s="4">
        <v>6438.0858411445488</v>
      </c>
      <c r="J171" s="5" t="s">
        <v>29</v>
      </c>
      <c r="K171" s="5">
        <v>2.46</v>
      </c>
      <c r="L171" s="4">
        <v>715.33</v>
      </c>
      <c r="M171">
        <v>2614</v>
      </c>
      <c r="N171" t="s">
        <v>789</v>
      </c>
      <c r="O171">
        <v>9</v>
      </c>
      <c r="P171" s="6">
        <v>800</v>
      </c>
      <c r="Q171" t="s">
        <v>40</v>
      </c>
      <c r="R171" t="s">
        <v>32</v>
      </c>
      <c r="S171" s="2" t="str">
        <f>HYPERLINK("https://yandex.ru/maps/?&amp;text=55.397415, 86.00817", "55.397415, 86.00817")</f>
        <v>55.397415, 86.00817</v>
      </c>
      <c r="T171" s="2" t="str">
        <f>HYPERLINK("D:\venv_torgi\env\cache\objs_in_district/55.397415_86.00817.json", "55.397415_86.00817.json")</f>
        <v>55.397415_86.00817.json</v>
      </c>
      <c r="U171" t="s">
        <v>790</v>
      </c>
      <c r="W171" s="19">
        <v>10661.45189182739</v>
      </c>
      <c r="X171" s="21">
        <v>4223.3660506828446</v>
      </c>
      <c r="Y171">
        <v>0</v>
      </c>
    </row>
    <row r="172" spans="1:26">
      <c r="A172" s="8">
        <v>171</v>
      </c>
      <c r="B172">
        <v>42</v>
      </c>
      <c r="C172" s="1">
        <v>483.3</v>
      </c>
      <c r="D172" s="2" t="str">
        <f>HYPERLINK("https://torgi.gov.ru/new/public/lots/lot/21000000010000000002_1/(lotInfo:info)", "21000000010000000002_1")</f>
        <v>21000000010000000002_1</v>
      </c>
      <c r="E172" t="s">
        <v>791</v>
      </c>
      <c r="F172" s="3" t="s">
        <v>792</v>
      </c>
      <c r="G172" t="s">
        <v>793</v>
      </c>
      <c r="H172" s="4">
        <v>3178000</v>
      </c>
      <c r="I172" s="4">
        <v>6575.6259052348432</v>
      </c>
      <c r="J172" s="5" t="s">
        <v>29</v>
      </c>
      <c r="K172" s="5">
        <v>3.41</v>
      </c>
      <c r="L172" s="4">
        <v>2191.67</v>
      </c>
      <c r="M172">
        <v>1927</v>
      </c>
      <c r="N172" t="s">
        <v>794</v>
      </c>
      <c r="O172">
        <v>3</v>
      </c>
      <c r="P172" s="6">
        <v>600</v>
      </c>
      <c r="Q172" t="s">
        <v>31</v>
      </c>
      <c r="R172" t="s">
        <v>32</v>
      </c>
      <c r="S172" s="2" t="str">
        <f>HYPERLINK("https://yandex.ru/maps/?&amp;text=53.86843, 86.75309", "53.86843, 86.75309")</f>
        <v>53.86843, 86.75309</v>
      </c>
      <c r="T172" s="2" t="str">
        <f>HYPERLINK("D:\venv_torgi\env\cache\objs_in_district/53.86843_86.75309.json", "53.86843_86.75309.json")</f>
        <v>53.86843_86.75309.json</v>
      </c>
      <c r="U172" t="s">
        <v>795</v>
      </c>
      <c r="W172" s="19">
        <v>4605.2933995586654</v>
      </c>
      <c r="X172" s="20">
        <v>-1970.332505676178</v>
      </c>
      <c r="Y172">
        <v>0</v>
      </c>
    </row>
    <row r="173" spans="1:26">
      <c r="A173" s="8">
        <v>172</v>
      </c>
      <c r="B173">
        <v>42</v>
      </c>
      <c r="C173" s="1">
        <v>321.89999999999998</v>
      </c>
      <c r="D173" s="2" t="str">
        <f>HYPERLINK("https://torgi.gov.ru/new/public/lots/lot/21000000010000000003_10/(lotInfo:info)", "21000000010000000003_10")</f>
        <v>21000000010000000003_10</v>
      </c>
      <c r="E173" t="s">
        <v>796</v>
      </c>
      <c r="F173" s="3" t="s">
        <v>797</v>
      </c>
      <c r="G173" t="s">
        <v>798</v>
      </c>
      <c r="H173" s="4">
        <v>2153900</v>
      </c>
      <c r="I173" s="4">
        <v>6691.2084498291397</v>
      </c>
      <c r="J173" s="5" t="s">
        <v>29</v>
      </c>
      <c r="K173" s="5">
        <v>6.24</v>
      </c>
      <c r="L173" s="4">
        <v>371.72</v>
      </c>
      <c r="M173">
        <v>1072</v>
      </c>
      <c r="N173" t="s">
        <v>799</v>
      </c>
      <c r="O173">
        <v>18</v>
      </c>
      <c r="P173" s="6">
        <v>400</v>
      </c>
      <c r="Q173" t="s">
        <v>31</v>
      </c>
      <c r="R173" t="s">
        <v>32</v>
      </c>
      <c r="S173" s="2" t="str">
        <f>HYPERLINK("https://yandex.ru/maps/?&amp;text=54.004427, 86.638467", "54.004427, 86.638467")</f>
        <v>54.004427, 86.638467</v>
      </c>
      <c r="T173" s="2" t="str">
        <f>HYPERLINK("D:\venv_torgi\env\cache\objs_in_district/54.004427_86.638467.json", "54.004427_86.638467.json")</f>
        <v>54.004427_86.638467.json</v>
      </c>
      <c r="U173" t="s">
        <v>800</v>
      </c>
      <c r="W173" s="19">
        <v>7354.489883546642</v>
      </c>
      <c r="X173" s="19">
        <v>663.2814337175023</v>
      </c>
      <c r="Y173">
        <v>0</v>
      </c>
    </row>
    <row r="174" spans="1:26">
      <c r="A174" s="8">
        <v>173</v>
      </c>
      <c r="B174">
        <v>42</v>
      </c>
      <c r="C174" s="1">
        <v>310.39999999999998</v>
      </c>
      <c r="D174" s="2" t="str">
        <f>HYPERLINK("https://torgi.gov.ru/new/public/lots/lot/22000014620000000002_1/(lotInfo:info)", "22000014620000000002_1")</f>
        <v>22000014620000000002_1</v>
      </c>
      <c r="E174" t="s">
        <v>801</v>
      </c>
      <c r="F174" s="3" t="s">
        <v>802</v>
      </c>
      <c r="G174" t="s">
        <v>803</v>
      </c>
      <c r="H174" s="4">
        <v>4105700</v>
      </c>
      <c r="I174" s="4">
        <v>13227.126288659791</v>
      </c>
      <c r="J174" s="5" t="s">
        <v>29</v>
      </c>
      <c r="K174" s="5">
        <v>4.76</v>
      </c>
      <c r="L174" s="4">
        <v>696.16</v>
      </c>
      <c r="M174">
        <v>2781</v>
      </c>
      <c r="N174" t="s">
        <v>804</v>
      </c>
      <c r="O174">
        <v>19</v>
      </c>
      <c r="P174" s="6">
        <v>200</v>
      </c>
      <c r="Q174" t="s">
        <v>40</v>
      </c>
      <c r="R174" t="s">
        <v>32</v>
      </c>
      <c r="S174" s="2" t="str">
        <f>HYPERLINK("https://yandex.ru/maps/?&amp;text=55.66111, 86.266852", "55.66111, 86.266852")</f>
        <v>55.66111, 86.266852</v>
      </c>
      <c r="T174" s="2" t="str">
        <f>HYPERLINK("D:\venv_torgi\env\cache\objs_in_district/55.66111_86.266852.json", "55.66111_86.266852.json")</f>
        <v>55.66111_86.266852.json</v>
      </c>
      <c r="U174" t="s">
        <v>805</v>
      </c>
      <c r="V174" s="7" t="s">
        <v>128</v>
      </c>
      <c r="W174" s="19">
        <v>7354.489883546642</v>
      </c>
      <c r="X174" s="20">
        <v>-5872.6364051131486</v>
      </c>
      <c r="Y174">
        <v>0</v>
      </c>
    </row>
    <row r="175" spans="1:26">
      <c r="A175" s="8">
        <v>174</v>
      </c>
      <c r="B175">
        <v>42</v>
      </c>
      <c r="C175" s="1">
        <v>493.1</v>
      </c>
      <c r="D175" s="2" t="str">
        <f>HYPERLINK("https://torgi.gov.ru/new/public/lots/lot/21000000010000000003_12/(lotInfo:info)", "21000000010000000003_12")</f>
        <v>21000000010000000003_12</v>
      </c>
      <c r="E175" t="s">
        <v>806</v>
      </c>
      <c r="F175" s="3" t="s">
        <v>797</v>
      </c>
      <c r="G175" t="s">
        <v>807</v>
      </c>
      <c r="H175" s="4">
        <v>7352800</v>
      </c>
      <c r="I175" s="4">
        <v>14911.37700263638</v>
      </c>
      <c r="J175" s="5" t="s">
        <v>29</v>
      </c>
      <c r="K175" s="5">
        <v>11.7</v>
      </c>
      <c r="L175" s="4">
        <v>931.94</v>
      </c>
      <c r="M175">
        <v>1274</v>
      </c>
      <c r="N175" t="s">
        <v>789</v>
      </c>
      <c r="O175">
        <v>16</v>
      </c>
      <c r="P175" s="6">
        <v>200</v>
      </c>
      <c r="Q175" t="s">
        <v>31</v>
      </c>
      <c r="R175" t="s">
        <v>32</v>
      </c>
      <c r="S175" s="2" t="str">
        <f>HYPERLINK("https://yandex.ru/maps/?&amp;text=55.41167, 86.05477", "55.41167, 86.05477")</f>
        <v>55.41167, 86.05477</v>
      </c>
      <c r="T175" s="2" t="str">
        <f>HYPERLINK("D:\venv_torgi\env\cache\objs_in_district/55.41167_86.05477.json", "55.41167_86.05477.json")</f>
        <v>55.41167_86.05477.json</v>
      </c>
      <c r="U175" t="s">
        <v>808</v>
      </c>
      <c r="W175" s="19">
        <v>7354.489883546642</v>
      </c>
      <c r="X175" s="20">
        <v>-7556.887119089738</v>
      </c>
      <c r="Y175">
        <v>0</v>
      </c>
    </row>
    <row r="176" spans="1:26">
      <c r="A176" s="8">
        <v>175</v>
      </c>
      <c r="B176">
        <v>42</v>
      </c>
      <c r="C176" s="1">
        <v>67</v>
      </c>
      <c r="D176" s="2" t="str">
        <f>HYPERLINK("https://torgi.gov.ru/new/public/lots/lot/21000000010000000003_4/(lotInfo:info)", "21000000010000000003_4")</f>
        <v>21000000010000000003_4</v>
      </c>
      <c r="E176" t="s">
        <v>809</v>
      </c>
      <c r="F176" s="3" t="s">
        <v>797</v>
      </c>
      <c r="G176" t="s">
        <v>810</v>
      </c>
      <c r="H176" s="4">
        <v>1247400</v>
      </c>
      <c r="I176" s="4">
        <v>18617.910447761191</v>
      </c>
      <c r="J176" s="5" t="s">
        <v>29</v>
      </c>
      <c r="K176" s="5">
        <v>4.4800000000000004</v>
      </c>
      <c r="L176" s="4">
        <v>3723.4</v>
      </c>
      <c r="M176">
        <v>4152</v>
      </c>
      <c r="N176" t="s">
        <v>811</v>
      </c>
      <c r="O176">
        <v>5</v>
      </c>
      <c r="P176" s="6">
        <v>400</v>
      </c>
      <c r="Q176" t="s">
        <v>31</v>
      </c>
      <c r="R176" t="s">
        <v>32</v>
      </c>
      <c r="S176" s="2" t="str">
        <f>HYPERLINK("https://yandex.ru/maps/?&amp;text=56.078564, 86.013824", "56.078564, 86.013824")</f>
        <v>56.078564, 86.013824</v>
      </c>
      <c r="T176" s="2" t="str">
        <f>HYPERLINK("D:\venv_torgi\env\cache\objs_in_district/56.078564_86.013824.json", "56.078564_86.013824.json")</f>
        <v>56.078564_86.013824.json</v>
      </c>
      <c r="U176" t="s">
        <v>812</v>
      </c>
      <c r="W176" s="19">
        <v>25005.921007216992</v>
      </c>
      <c r="X176" s="21">
        <v>6388.0105594558008</v>
      </c>
      <c r="Y176">
        <v>0</v>
      </c>
    </row>
    <row r="177" spans="1:25">
      <c r="A177" s="8">
        <v>176</v>
      </c>
      <c r="B177">
        <v>42</v>
      </c>
      <c r="C177" s="1">
        <v>104.2</v>
      </c>
      <c r="D177" s="2" t="str">
        <f>HYPERLINK("https://torgi.gov.ru/new/public/lots/lot/21000033300000000011_8/(lotInfo:info)", "21000033300000000011_8")</f>
        <v>21000033300000000011_8</v>
      </c>
      <c r="E177" t="s">
        <v>813</v>
      </c>
      <c r="F177" s="3" t="s">
        <v>814</v>
      </c>
      <c r="G177" t="s">
        <v>815</v>
      </c>
      <c r="H177" s="4">
        <v>2214500</v>
      </c>
      <c r="I177" s="4">
        <v>21252.39923224568</v>
      </c>
      <c r="J177" s="5" t="s">
        <v>29</v>
      </c>
      <c r="K177" s="5">
        <v>6.48</v>
      </c>
      <c r="L177" s="4">
        <v>966</v>
      </c>
      <c r="M177">
        <v>3282</v>
      </c>
      <c r="N177" t="s">
        <v>794</v>
      </c>
      <c r="O177">
        <v>22</v>
      </c>
      <c r="P177" s="6">
        <v>300</v>
      </c>
      <c r="Q177" t="s">
        <v>31</v>
      </c>
      <c r="R177" t="s">
        <v>32</v>
      </c>
      <c r="S177" s="2" t="str">
        <f>HYPERLINK("https://yandex.ru/maps/?&amp;text=53.879721, 86.611293", "53.879721, 86.611293")</f>
        <v>53.879721, 86.611293</v>
      </c>
      <c r="T177" s="2" t="str">
        <f>HYPERLINK("D:\venv_torgi\env\cache\objs_in_district/53.879721_86.611293.json", "53.879721_86.611293.json")</f>
        <v>53.879721_86.611293.json</v>
      </c>
      <c r="U177" t="s">
        <v>816</v>
      </c>
      <c r="W177" s="19">
        <v>25005.921007216992</v>
      </c>
      <c r="X177" s="21">
        <v>3753.521774971312</v>
      </c>
      <c r="Y177">
        <v>0</v>
      </c>
    </row>
    <row r="178" spans="1:25">
      <c r="A178" s="8">
        <v>177</v>
      </c>
      <c r="B178">
        <v>42</v>
      </c>
      <c r="C178" s="1">
        <v>26</v>
      </c>
      <c r="D178" s="2" t="str">
        <f>HYPERLINK("https://torgi.gov.ru/new/public/lots/lot/21000000010000000002_2/(lotInfo:info)", "21000000010000000002_2")</f>
        <v>21000000010000000002_2</v>
      </c>
      <c r="E178" t="s">
        <v>817</v>
      </c>
      <c r="F178" s="3" t="s">
        <v>792</v>
      </c>
      <c r="G178" t="s">
        <v>818</v>
      </c>
      <c r="H178" s="4">
        <v>565600</v>
      </c>
      <c r="I178" s="4">
        <v>21753.846153846149</v>
      </c>
      <c r="J178" s="5" t="s">
        <v>29</v>
      </c>
      <c r="K178" s="5">
        <v>9.77</v>
      </c>
      <c r="L178" s="4">
        <v>2719.12</v>
      </c>
      <c r="M178">
        <v>2226</v>
      </c>
      <c r="N178" t="s">
        <v>794</v>
      </c>
      <c r="O178">
        <v>8</v>
      </c>
      <c r="P178" s="6">
        <v>600</v>
      </c>
      <c r="Q178" t="s">
        <v>31</v>
      </c>
      <c r="R178" t="s">
        <v>32</v>
      </c>
      <c r="S178" s="2" t="str">
        <f>HYPERLINK("https://yandex.ru/maps/?&amp;text=53.908273, 86.789662", "53.908273, 86.789662")</f>
        <v>53.908273, 86.789662</v>
      </c>
      <c r="T178" s="2" t="str">
        <f>HYPERLINK("D:\venv_torgi\env\cache\objs_in_district/53.908273_86.789662.json", "53.908273_86.789662.json")</f>
        <v>53.908273_86.789662.json</v>
      </c>
      <c r="U178" t="s">
        <v>819</v>
      </c>
      <c r="W178" s="19">
        <v>14930.943770233611</v>
      </c>
      <c r="X178" s="20">
        <v>-6822.9023836125361</v>
      </c>
      <c r="Y178">
        <v>0</v>
      </c>
    </row>
    <row r="179" spans="1:25">
      <c r="A179" s="8">
        <v>178</v>
      </c>
      <c r="B179">
        <v>42</v>
      </c>
      <c r="C179" s="1">
        <v>39.1</v>
      </c>
      <c r="D179" s="2" t="str">
        <f>HYPERLINK("https://torgi.gov.ru/new/public/lots/lot/21000000010000000002_4/(lotInfo:info)", "21000000010000000002_4")</f>
        <v>21000000010000000002_4</v>
      </c>
      <c r="E179" t="s">
        <v>820</v>
      </c>
      <c r="F179" s="3" t="s">
        <v>792</v>
      </c>
      <c r="G179" t="s">
        <v>821</v>
      </c>
      <c r="H179" s="4">
        <v>969600</v>
      </c>
      <c r="I179" s="4">
        <v>24797.95396419437</v>
      </c>
      <c r="J179" s="5" t="s">
        <v>29</v>
      </c>
      <c r="K179" s="5">
        <v>9.2100000000000009</v>
      </c>
      <c r="L179" s="4">
        <v>1549.81</v>
      </c>
      <c r="M179">
        <v>2692</v>
      </c>
      <c r="N179" t="s">
        <v>794</v>
      </c>
      <c r="O179">
        <v>16</v>
      </c>
      <c r="P179" s="6">
        <v>400</v>
      </c>
      <c r="Q179" t="s">
        <v>31</v>
      </c>
      <c r="R179" t="s">
        <v>32</v>
      </c>
      <c r="S179" s="2" t="str">
        <f>HYPERLINK("https://yandex.ru/maps/?&amp;text=53.865637, 86.645231", "53.865637, 86.645231")</f>
        <v>53.865637, 86.645231</v>
      </c>
      <c r="T179" s="2" t="str">
        <f>HYPERLINK("D:\venv_torgi\env\cache\objs_in_district/53.865637_86.645231.json", "53.865637_86.645231.json")</f>
        <v>53.865637_86.645231.json</v>
      </c>
      <c r="U179" t="s">
        <v>822</v>
      </c>
      <c r="W179" s="19">
        <v>25005.921007216992</v>
      </c>
      <c r="X179" s="19">
        <v>207.96704302262151</v>
      </c>
      <c r="Y179">
        <v>0</v>
      </c>
    </row>
    <row r="180" spans="1:25">
      <c r="A180" s="8">
        <v>179</v>
      </c>
      <c r="B180">
        <v>42</v>
      </c>
      <c r="C180" s="1">
        <v>26.3</v>
      </c>
      <c r="D180" s="2" t="str">
        <f>HYPERLINK("https://torgi.gov.ru/new/public/lots/lot/21000033300000000017_11/(lotInfo:info)", "21000033300000000017_11")</f>
        <v>21000033300000000017_11</v>
      </c>
      <c r="E180" t="s">
        <v>823</v>
      </c>
      <c r="F180" s="3" t="s">
        <v>824</v>
      </c>
      <c r="G180" t="s">
        <v>825</v>
      </c>
      <c r="H180" s="4">
        <v>736000</v>
      </c>
      <c r="I180" s="4">
        <v>27984.790874524719</v>
      </c>
      <c r="J180" s="5" t="s">
        <v>29</v>
      </c>
      <c r="K180" s="5">
        <v>5.55</v>
      </c>
      <c r="L180" s="4">
        <v>548.71</v>
      </c>
      <c r="M180">
        <v>5040</v>
      </c>
      <c r="N180" t="s">
        <v>794</v>
      </c>
      <c r="O180">
        <v>51</v>
      </c>
      <c r="P180" s="6">
        <v>300</v>
      </c>
      <c r="Q180" t="s">
        <v>31</v>
      </c>
      <c r="R180" t="s">
        <v>32</v>
      </c>
      <c r="S180" s="2" t="str">
        <f>HYPERLINK("https://yandex.ru/maps/?&amp;text=53.863757, 86.625279", "53.863757, 86.625279")</f>
        <v>53.863757, 86.625279</v>
      </c>
      <c r="T180" s="2" t="str">
        <f>HYPERLINK("D:\venv_torgi\env\cache\objs_in_district/53.863757_86.625279.json", "53.863757_86.625279.json")</f>
        <v>53.863757_86.625279.json</v>
      </c>
      <c r="U180" t="s">
        <v>826</v>
      </c>
      <c r="W180" s="19">
        <v>25005.921007216992</v>
      </c>
      <c r="X180" s="20">
        <v>-2978.869867307727</v>
      </c>
      <c r="Y180">
        <v>0</v>
      </c>
    </row>
    <row r="181" spans="1:25">
      <c r="A181" s="8">
        <v>180</v>
      </c>
      <c r="B181">
        <v>42</v>
      </c>
      <c r="C181" s="1">
        <v>47.3</v>
      </c>
      <c r="D181" s="2" t="str">
        <f>HYPERLINK("https://torgi.gov.ru/new/public/lots/lot/21000016050000000017_5/(lotInfo:info)", "21000016050000000017_5")</f>
        <v>21000016050000000017_5</v>
      </c>
      <c r="E181" t="s">
        <v>827</v>
      </c>
      <c r="F181" s="3" t="s">
        <v>434</v>
      </c>
      <c r="G181" t="s">
        <v>828</v>
      </c>
      <c r="H181" s="4">
        <v>1512000</v>
      </c>
      <c r="I181" s="4">
        <v>31966.1733615222</v>
      </c>
      <c r="J181" s="5" t="s">
        <v>29</v>
      </c>
      <c r="K181" s="5">
        <v>8.9700000000000006</v>
      </c>
      <c r="L181" s="4">
        <v>1775.89</v>
      </c>
      <c r="M181">
        <v>3565</v>
      </c>
      <c r="N181" t="s">
        <v>829</v>
      </c>
      <c r="O181">
        <v>18</v>
      </c>
      <c r="P181" s="6">
        <v>400</v>
      </c>
      <c r="Q181" t="s">
        <v>31</v>
      </c>
      <c r="R181" t="s">
        <v>32</v>
      </c>
      <c r="S181" s="2" t="str">
        <f>HYPERLINK("https://yandex.ru/maps/?&amp;text=53.770125, 87.117745", "53.770125, 87.117745")</f>
        <v>53.770125, 87.117745</v>
      </c>
      <c r="T181" s="2" t="str">
        <f>HYPERLINK("D:\venv_torgi\env\cache\objs_in_district/53.770125_87.117745.json", "53.770125_87.117745.json")</f>
        <v>53.770125_87.117745.json</v>
      </c>
      <c r="U181" t="s">
        <v>830</v>
      </c>
      <c r="V181" s="7" t="s">
        <v>34</v>
      </c>
      <c r="W181" s="19">
        <v>28791.780206219712</v>
      </c>
      <c r="X181" s="20">
        <v>-3174.393155302489</v>
      </c>
      <c r="Y181">
        <v>0</v>
      </c>
    </row>
    <row r="182" spans="1:25">
      <c r="A182" s="8">
        <v>181</v>
      </c>
      <c r="B182">
        <v>42</v>
      </c>
      <c r="C182" s="1">
        <v>57</v>
      </c>
      <c r="D182" s="2" t="str">
        <f>HYPERLINK("https://torgi.gov.ru/new/public/lots/lot/22000012150000000006_4/(lotInfo:info)", "22000012150000000006_4")</f>
        <v>22000012150000000006_4</v>
      </c>
      <c r="E182" t="s">
        <v>831</v>
      </c>
      <c r="F182" s="3" t="s">
        <v>832</v>
      </c>
      <c r="G182" t="s">
        <v>833</v>
      </c>
      <c r="H182" s="4">
        <v>2352000</v>
      </c>
      <c r="I182" s="4">
        <v>41263.15789473684</v>
      </c>
      <c r="J182" s="5" t="s">
        <v>29</v>
      </c>
      <c r="K182" s="5">
        <v>37.07</v>
      </c>
      <c r="L182" s="4">
        <v>3174.08</v>
      </c>
      <c r="M182">
        <v>1113</v>
      </c>
      <c r="N182" t="s">
        <v>834</v>
      </c>
      <c r="O182">
        <v>13</v>
      </c>
      <c r="P182" s="6">
        <v>300</v>
      </c>
      <c r="Q182" t="s">
        <v>31</v>
      </c>
      <c r="R182" t="s">
        <v>32</v>
      </c>
      <c r="S182" s="2" t="str">
        <f>HYPERLINK("https://yandex.ru/maps/?&amp;text=53.713634, 87.80065", "53.713634, 87.80065")</f>
        <v>53.713634, 87.80065</v>
      </c>
      <c r="T182" s="2" t="str">
        <f>HYPERLINK("D:\venv_torgi\env\cache\objs_in_district/53.713634_87.80065.json", "53.713634_87.80065.json")</f>
        <v>53.713634_87.80065.json</v>
      </c>
      <c r="U182" t="s">
        <v>835</v>
      </c>
      <c r="V182" s="7" t="s">
        <v>34</v>
      </c>
      <c r="W182" s="19">
        <v>25005.921007216992</v>
      </c>
      <c r="X182" s="20">
        <v>-16257.23688751985</v>
      </c>
      <c r="Y182">
        <v>0</v>
      </c>
    </row>
    <row r="183" spans="1:25">
      <c r="A183" s="8">
        <v>182</v>
      </c>
      <c r="B183">
        <v>43</v>
      </c>
      <c r="C183" s="1">
        <v>273.5</v>
      </c>
      <c r="D183" s="2" t="str">
        <f>HYPERLINK("https://torgi.gov.ru/new/public/lots/lot/22000110650000000001_1/(lotInfo:info)", "22000110650000000001_1")</f>
        <v>22000110650000000001_1</v>
      </c>
      <c r="E183" t="s">
        <v>836</v>
      </c>
      <c r="F183" s="3" t="s">
        <v>837</v>
      </c>
      <c r="G183" t="s">
        <v>838</v>
      </c>
      <c r="H183" s="4">
        <v>628731</v>
      </c>
      <c r="I183" s="4">
        <v>2298.8336380255942</v>
      </c>
      <c r="J183" s="5" t="s">
        <v>29</v>
      </c>
      <c r="K183" s="10">
        <v>8.42</v>
      </c>
      <c r="L183" s="11"/>
      <c r="M183">
        <v>273</v>
      </c>
      <c r="N183" t="s">
        <v>839</v>
      </c>
      <c r="O183" t="s">
        <v>39</v>
      </c>
      <c r="Q183" t="s">
        <v>31</v>
      </c>
      <c r="R183" t="s">
        <v>32</v>
      </c>
      <c r="S183" s="2" t="str">
        <f>HYPERLINK("https://yandex.ru/maps/?&amp;text=58.497129, 49.025862", "58.497129, 49.025862")</f>
        <v>58.497129, 49.025862</v>
      </c>
      <c r="T183" s="12" t="str">
        <f>HYPERLINK("D:\venv_torgi\env\cache\objs_in_district/58.497129_49.025862.json", "58.497129_49.025862.json")</f>
        <v>58.497129_49.025862.json</v>
      </c>
      <c r="U183" t="s">
        <v>840</v>
      </c>
      <c r="V183" s="7" t="s">
        <v>34</v>
      </c>
      <c r="W183" s="19">
        <v>10661.45189182739</v>
      </c>
      <c r="X183" s="21">
        <v>8362.6182538018002</v>
      </c>
      <c r="Y183">
        <v>0</v>
      </c>
    </row>
    <row r="184" spans="1:25">
      <c r="A184" s="8">
        <v>183</v>
      </c>
      <c r="B184">
        <v>43</v>
      </c>
      <c r="C184" s="1">
        <v>223</v>
      </c>
      <c r="D184" s="2" t="str">
        <f>HYPERLINK("https://torgi.gov.ru/new/public/lots/lot/21000016080000000100_1/(lotInfo:info)", "21000016080000000100_1")</f>
        <v>21000016080000000100_1</v>
      </c>
      <c r="E184" t="s">
        <v>841</v>
      </c>
      <c r="F184" s="3" t="s">
        <v>74</v>
      </c>
      <c r="G184" t="s">
        <v>842</v>
      </c>
      <c r="H184" s="4">
        <v>516500</v>
      </c>
      <c r="I184" s="4">
        <v>2316.1434977578469</v>
      </c>
      <c r="J184" s="5" t="s">
        <v>29</v>
      </c>
      <c r="K184" s="5">
        <v>1.42</v>
      </c>
      <c r="L184" s="4">
        <v>85.78</v>
      </c>
      <c r="M184">
        <v>1633</v>
      </c>
      <c r="N184" t="s">
        <v>843</v>
      </c>
      <c r="O184">
        <v>27</v>
      </c>
      <c r="P184" s="6">
        <v>1400</v>
      </c>
      <c r="Q184" t="s">
        <v>40</v>
      </c>
      <c r="R184" t="s">
        <v>32</v>
      </c>
      <c r="S184" s="2" t="str">
        <f>HYPERLINK("https://yandex.ru/maps/?&amp;text=56.21733, 51.03541", "56.21733, 51.03541")</f>
        <v>56.21733, 51.03541</v>
      </c>
      <c r="T184" s="2" t="str">
        <f>HYPERLINK("D:\venv_torgi\env\cache\objs_in_district/56.21733_51.03541.json", "56.21733_51.03541.json")</f>
        <v>56.21733_51.03541.json</v>
      </c>
      <c r="U184" t="s">
        <v>844</v>
      </c>
      <c r="W184" s="19">
        <v>10661.45189182739</v>
      </c>
      <c r="X184" s="21">
        <v>8345.3083940695469</v>
      </c>
      <c r="Y184">
        <v>0</v>
      </c>
    </row>
    <row r="185" spans="1:25">
      <c r="A185" s="8">
        <v>184</v>
      </c>
      <c r="B185">
        <v>43</v>
      </c>
      <c r="C185" s="1">
        <v>291</v>
      </c>
      <c r="D185" s="2" t="str">
        <f>HYPERLINK("https://torgi.gov.ru/new/public/lots/lot/22000006140000000033_1/(lotInfo:info)", "22000006140000000033_1")</f>
        <v>22000006140000000033_1</v>
      </c>
      <c r="E185" t="s">
        <v>845</v>
      </c>
      <c r="F185" s="3" t="s">
        <v>846</v>
      </c>
      <c r="G185" t="s">
        <v>847</v>
      </c>
      <c r="H185" s="4">
        <v>830000</v>
      </c>
      <c r="I185" s="4">
        <v>2852.2336769759449</v>
      </c>
      <c r="J185" s="5" t="s">
        <v>29</v>
      </c>
      <c r="K185" s="5">
        <v>0.75</v>
      </c>
      <c r="L185" s="4">
        <v>142.6</v>
      </c>
      <c r="M185">
        <v>3780</v>
      </c>
      <c r="N185" t="s">
        <v>848</v>
      </c>
      <c r="O185">
        <v>20</v>
      </c>
      <c r="P185" s="6">
        <v>100</v>
      </c>
      <c r="Q185" t="s">
        <v>574</v>
      </c>
      <c r="R185" t="s">
        <v>32</v>
      </c>
      <c r="S185" s="2" t="str">
        <f>HYPERLINK("https://yandex.ru/maps/?&amp;text=58.540024, 50.030798", "58.540024, 50.030798")</f>
        <v>58.540024, 50.030798</v>
      </c>
      <c r="T185" s="2" t="str">
        <f>HYPERLINK("D:\venv_torgi\env\cache\objs_in_district/58.540024_50.030798.json", "58.540024_50.030798.json")</f>
        <v>58.540024_50.030798.json</v>
      </c>
      <c r="U185" t="s">
        <v>849</v>
      </c>
      <c r="V185" s="7" t="s">
        <v>39</v>
      </c>
      <c r="W185" s="19">
        <v>10661.45189182739</v>
      </c>
      <c r="X185" s="21">
        <v>7809.2182148514476</v>
      </c>
      <c r="Y185">
        <v>0</v>
      </c>
    </row>
    <row r="186" spans="1:25">
      <c r="A186" s="8">
        <v>185</v>
      </c>
      <c r="B186">
        <v>43</v>
      </c>
      <c r="C186" s="1">
        <v>357.8</v>
      </c>
      <c r="D186" s="2" t="str">
        <f>HYPERLINK("https://torgi.gov.ru/new/public/lots/lot/22000043230000000001_1/(lotInfo:info)", "22000043230000000001_1")</f>
        <v>22000043230000000001_1</v>
      </c>
      <c r="E186" t="s">
        <v>850</v>
      </c>
      <c r="F186" s="3" t="s">
        <v>851</v>
      </c>
      <c r="G186" t="s">
        <v>852</v>
      </c>
      <c r="H186" s="4">
        <v>2111000</v>
      </c>
      <c r="I186" s="4">
        <v>5899.9441028507536</v>
      </c>
      <c r="J186" s="5" t="s">
        <v>853</v>
      </c>
      <c r="K186" s="5">
        <v>5.83</v>
      </c>
      <c r="L186" s="4">
        <v>280.89999999999998</v>
      </c>
      <c r="M186">
        <v>1011</v>
      </c>
      <c r="N186" t="s">
        <v>854</v>
      </c>
      <c r="O186">
        <v>21</v>
      </c>
      <c r="Q186" t="s">
        <v>855</v>
      </c>
      <c r="R186" t="s">
        <v>32</v>
      </c>
      <c r="S186" s="2" t="str">
        <f>HYPERLINK("https://yandex.ru/maps/?&amp;text=57.110676, 50.006004", "57.110676, 50.006004")</f>
        <v>57.110676, 50.006004</v>
      </c>
      <c r="T186" s="2" t="str">
        <f>HYPERLINK("D:\venv_torgi\env\cache\objs_in_district/57.110676_50.006004.json", "57.110676_50.006004.json")</f>
        <v>57.110676_50.006004.json</v>
      </c>
      <c r="U186" t="s">
        <v>856</v>
      </c>
      <c r="V186" s="7" t="s">
        <v>626</v>
      </c>
      <c r="W186" s="19">
        <v>7354.489883546642</v>
      </c>
      <c r="X186" s="21">
        <v>1454.545780695888</v>
      </c>
      <c r="Y186">
        <v>0</v>
      </c>
    </row>
    <row r="187" spans="1:25">
      <c r="A187" s="8">
        <v>186</v>
      </c>
      <c r="B187">
        <v>43</v>
      </c>
      <c r="C187" s="1">
        <v>64</v>
      </c>
      <c r="D187" s="2" t="str">
        <f>HYPERLINK("https://torgi.gov.ru/new/public/lots/lot/22000006140000000014_1/(lotInfo:info)", "22000006140000000014_1")</f>
        <v>22000006140000000014_1</v>
      </c>
      <c r="E187" t="s">
        <v>857</v>
      </c>
      <c r="F187" s="3" t="s">
        <v>858</v>
      </c>
      <c r="G187" t="s">
        <v>859</v>
      </c>
      <c r="H187" s="4">
        <v>623000</v>
      </c>
      <c r="I187" s="4">
        <v>9734.375</v>
      </c>
      <c r="J187" s="5" t="s">
        <v>56</v>
      </c>
      <c r="K187" s="5">
        <v>3.55</v>
      </c>
      <c r="L187" s="4">
        <v>231.76</v>
      </c>
      <c r="M187">
        <v>2745</v>
      </c>
      <c r="N187" t="s">
        <v>848</v>
      </c>
      <c r="O187">
        <v>42</v>
      </c>
      <c r="P187" s="6">
        <v>200</v>
      </c>
      <c r="Q187" t="s">
        <v>31</v>
      </c>
      <c r="R187" t="s">
        <v>32</v>
      </c>
      <c r="S187" s="2" t="str">
        <f>HYPERLINK("https://yandex.ru/maps/?&amp;text=58.5342016, 50.0221059", "58.5342016, 50.0221059")</f>
        <v>58.5342016, 50.0221059</v>
      </c>
      <c r="T187" s="2" t="str">
        <f>HYPERLINK("D:\venv_torgi\env\cache\objs_in_district/58.5342016_50.0221059.json", "58.5342016_50.0221059.json")</f>
        <v>58.5342016_50.0221059.json</v>
      </c>
      <c r="U187" t="s">
        <v>860</v>
      </c>
      <c r="V187" s="7" t="s">
        <v>34</v>
      </c>
      <c r="W187" s="19">
        <v>25005.921007216992</v>
      </c>
      <c r="X187" s="21">
        <v>15271.54600721699</v>
      </c>
      <c r="Y187">
        <v>0</v>
      </c>
    </row>
    <row r="188" spans="1:25">
      <c r="A188" s="8">
        <v>187</v>
      </c>
      <c r="B188">
        <v>43</v>
      </c>
      <c r="C188" s="1">
        <v>70</v>
      </c>
      <c r="D188" s="2" t="str">
        <f>HYPERLINK("https://torgi.gov.ru/new/public/lots/lot/21000013520000000001_2/(lotInfo:info)", "21000013520000000001_2")</f>
        <v>21000013520000000001_2</v>
      </c>
      <c r="E188" t="s">
        <v>861</v>
      </c>
      <c r="F188" s="3" t="s">
        <v>862</v>
      </c>
      <c r="G188" t="s">
        <v>863</v>
      </c>
      <c r="H188" s="4">
        <v>853650</v>
      </c>
      <c r="I188" s="4">
        <v>12195</v>
      </c>
      <c r="J188" s="5" t="s">
        <v>29</v>
      </c>
      <c r="K188" s="5">
        <v>2.06</v>
      </c>
      <c r="L188" s="4">
        <v>329.59</v>
      </c>
      <c r="M188">
        <v>5925</v>
      </c>
      <c r="N188" t="s">
        <v>864</v>
      </c>
      <c r="O188">
        <v>37</v>
      </c>
      <c r="P188" s="6">
        <v>200</v>
      </c>
      <c r="Q188" t="s">
        <v>31</v>
      </c>
      <c r="R188" t="s">
        <v>32</v>
      </c>
      <c r="S188" s="2" t="str">
        <f>HYPERLINK("https://yandex.ru/maps/?&amp;text=58.601987, 49.674248", "58.601987, 49.674248")</f>
        <v>58.601987, 49.674248</v>
      </c>
      <c r="T188" s="2" t="str">
        <f>HYPERLINK("D:\venv_torgi\env\cache\objs_in_district/58.601987_49.674248.json", "58.601987_49.674248.json")</f>
        <v>58.601987_49.674248.json</v>
      </c>
      <c r="U188" t="s">
        <v>865</v>
      </c>
      <c r="V188" s="7" t="s">
        <v>34</v>
      </c>
      <c r="W188" s="19">
        <v>28791.780206219712</v>
      </c>
      <c r="X188" s="21">
        <v>16596.780206219712</v>
      </c>
      <c r="Y188">
        <v>0</v>
      </c>
    </row>
    <row r="189" spans="1:25">
      <c r="A189" s="8">
        <v>188</v>
      </c>
      <c r="B189">
        <v>43</v>
      </c>
      <c r="C189" s="1">
        <v>69.900000000000006</v>
      </c>
      <c r="D189" s="2" t="str">
        <f>HYPERLINK("https://torgi.gov.ru/new/public/lots/lot/21000013520000000001_3/(lotInfo:info)", "21000013520000000001_3")</f>
        <v>21000013520000000001_3</v>
      </c>
      <c r="E189" t="s">
        <v>866</v>
      </c>
      <c r="F189" s="3" t="s">
        <v>862</v>
      </c>
      <c r="G189" t="s">
        <v>863</v>
      </c>
      <c r="H189" s="4">
        <v>852600</v>
      </c>
      <c r="I189" s="4">
        <v>12197.424892703861</v>
      </c>
      <c r="J189" s="5" t="s">
        <v>29</v>
      </c>
      <c r="K189" s="5">
        <v>2.06</v>
      </c>
      <c r="L189" s="4">
        <v>329.65</v>
      </c>
      <c r="M189">
        <v>5925</v>
      </c>
      <c r="N189" t="s">
        <v>864</v>
      </c>
      <c r="O189">
        <v>37</v>
      </c>
      <c r="P189" s="6">
        <v>200</v>
      </c>
      <c r="Q189" t="s">
        <v>31</v>
      </c>
      <c r="R189" t="s">
        <v>32</v>
      </c>
      <c r="S189" s="2" t="str">
        <f>HYPERLINK("https://yandex.ru/maps/?&amp;text=58.601987, 49.674248", "58.601987, 49.674248")</f>
        <v>58.601987, 49.674248</v>
      </c>
      <c r="T189" s="2" t="str">
        <f>HYPERLINK("D:\venv_torgi\env\cache\objs_in_district/58.601987_49.674248.json", "58.601987_49.674248.json")</f>
        <v>58.601987_49.674248.json</v>
      </c>
      <c r="U189" t="s">
        <v>867</v>
      </c>
      <c r="V189" s="7" t="s">
        <v>34</v>
      </c>
      <c r="W189" s="19">
        <v>28791.780206219712</v>
      </c>
      <c r="X189" s="21">
        <v>16594.355313515851</v>
      </c>
      <c r="Y189">
        <v>0</v>
      </c>
    </row>
    <row r="190" spans="1:25">
      <c r="A190" s="8">
        <v>189</v>
      </c>
      <c r="B190">
        <v>43</v>
      </c>
      <c r="C190" s="1">
        <v>52.5</v>
      </c>
      <c r="D190" s="2" t="str">
        <f>HYPERLINK("https://torgi.gov.ru/new/public/lots/lot/21000013520000000001_1/(lotInfo:info)", "21000013520000000001_1")</f>
        <v>21000013520000000001_1</v>
      </c>
      <c r="E190" t="s">
        <v>868</v>
      </c>
      <c r="F190" s="3" t="s">
        <v>862</v>
      </c>
      <c r="G190" t="s">
        <v>863</v>
      </c>
      <c r="H190" s="4">
        <v>640500</v>
      </c>
      <c r="I190" s="4">
        <v>12200</v>
      </c>
      <c r="J190" s="5" t="s">
        <v>29</v>
      </c>
      <c r="K190" s="5">
        <v>2.06</v>
      </c>
      <c r="L190" s="4">
        <v>329.73</v>
      </c>
      <c r="M190">
        <v>5925</v>
      </c>
      <c r="N190" t="s">
        <v>864</v>
      </c>
      <c r="O190">
        <v>37</v>
      </c>
      <c r="P190" s="6">
        <v>200</v>
      </c>
      <c r="Q190" t="s">
        <v>31</v>
      </c>
      <c r="R190" t="s">
        <v>32</v>
      </c>
      <c r="S190" s="2" t="str">
        <f>HYPERLINK("https://yandex.ru/maps/?&amp;text=58.601987, 49.674248", "58.601987, 49.674248")</f>
        <v>58.601987, 49.674248</v>
      </c>
      <c r="T190" s="2" t="str">
        <f>HYPERLINK("D:\venv_torgi\env\cache\objs_in_district/58.601987_49.674248.json", "58.601987_49.674248.json")</f>
        <v>58.601987_49.674248.json</v>
      </c>
      <c r="U190" t="s">
        <v>869</v>
      </c>
      <c r="V190" s="7" t="s">
        <v>34</v>
      </c>
      <c r="W190" s="19">
        <v>28791.780206219712</v>
      </c>
      <c r="X190" s="21">
        <v>16591.780206219712</v>
      </c>
      <c r="Y190">
        <v>0</v>
      </c>
    </row>
    <row r="191" spans="1:25">
      <c r="A191" s="8">
        <v>190</v>
      </c>
      <c r="B191">
        <v>43</v>
      </c>
      <c r="C191" s="1">
        <v>224.2</v>
      </c>
      <c r="D191" s="2" t="str">
        <f>HYPERLINK("https://torgi.gov.ru/new/public/lots/lot/21000016080000000030_4/(lotInfo:info)", "21000016080000000030_4")</f>
        <v>21000016080000000030_4</v>
      </c>
      <c r="E191" t="s">
        <v>870</v>
      </c>
      <c r="F191" s="3" t="s">
        <v>871</v>
      </c>
      <c r="G191" t="s">
        <v>872</v>
      </c>
      <c r="H191" s="4">
        <v>6541000</v>
      </c>
      <c r="I191" s="4">
        <v>29174.84388938448</v>
      </c>
      <c r="J191" s="5" t="s">
        <v>29</v>
      </c>
      <c r="K191" s="5">
        <v>3.5</v>
      </c>
      <c r="L191" s="4">
        <v>494.47</v>
      </c>
      <c r="M191">
        <v>8346</v>
      </c>
      <c r="N191" t="s">
        <v>864</v>
      </c>
      <c r="O191">
        <v>59</v>
      </c>
      <c r="P191" s="6">
        <v>700</v>
      </c>
      <c r="Q191" t="s">
        <v>31</v>
      </c>
      <c r="R191" t="s">
        <v>32</v>
      </c>
      <c r="S191" s="2" t="str">
        <f>HYPERLINK("https://yandex.ru/maps/?&amp;text=58.60358, 49.67942", "58.60358, 49.67942")</f>
        <v>58.60358, 49.67942</v>
      </c>
      <c r="T191" s="2" t="str">
        <f>HYPERLINK("D:\venv_torgi\env\cache\objs_in_district/58.60358_49.67942.json", "58.60358_49.67942.json")</f>
        <v>58.60358_49.67942.json</v>
      </c>
      <c r="U191" t="s">
        <v>873</v>
      </c>
      <c r="V191" s="7" t="s">
        <v>34</v>
      </c>
      <c r="W191" s="19">
        <v>19931.15122427437</v>
      </c>
      <c r="X191" s="20">
        <v>-9243.6926651101057</v>
      </c>
      <c r="Y191">
        <v>0</v>
      </c>
    </row>
    <row r="192" spans="1:25">
      <c r="A192" s="8">
        <v>191</v>
      </c>
      <c r="B192">
        <v>44</v>
      </c>
      <c r="C192" s="1">
        <v>630.29999999999995</v>
      </c>
      <c r="D192" s="2" t="str">
        <f>HYPERLINK("https://torgi.gov.ru/new/public/lots/lot/22000005110000000002_1/(lotInfo:info)", "22000005110000000002_1")</f>
        <v>22000005110000000002_1</v>
      </c>
      <c r="E192" t="s">
        <v>874</v>
      </c>
      <c r="F192" s="3" t="s">
        <v>875</v>
      </c>
      <c r="G192" t="s">
        <v>876</v>
      </c>
      <c r="H192" s="4">
        <v>3333000</v>
      </c>
      <c r="I192" s="4">
        <v>5287.9581151832463</v>
      </c>
      <c r="J192" s="5" t="s">
        <v>2079</v>
      </c>
      <c r="K192" s="5">
        <v>2.3199999999999998</v>
      </c>
      <c r="L192" s="4">
        <v>165.22</v>
      </c>
      <c r="M192">
        <v>2283</v>
      </c>
      <c r="N192" t="s">
        <v>877</v>
      </c>
      <c r="O192">
        <v>32</v>
      </c>
      <c r="P192" s="6">
        <v>200</v>
      </c>
      <c r="Q192" t="s">
        <v>31</v>
      </c>
      <c r="R192" t="s">
        <v>32</v>
      </c>
      <c r="S192" s="2" t="str">
        <f>HYPERLINK("https://yandex.ru/maps/?&amp;text=58.477207, 41.544135", "58.477207, 41.544135")</f>
        <v>58.477207, 41.544135</v>
      </c>
      <c r="T192" s="2" t="str">
        <f>HYPERLINK("D:\venv_torgi\env\cache\objs_in_district/58.477207_41.544135.json", "58.477207_41.544135.json")</f>
        <v>58.477207_41.544135.json</v>
      </c>
      <c r="U192" t="s">
        <v>878</v>
      </c>
      <c r="V192" s="7" t="s">
        <v>34</v>
      </c>
      <c r="W192" s="19">
        <v>7354.489883546642</v>
      </c>
      <c r="X192" s="21">
        <v>2066.5317683633962</v>
      </c>
      <c r="Y192">
        <v>0</v>
      </c>
    </row>
    <row r="193" spans="1:26">
      <c r="A193" s="8">
        <v>192</v>
      </c>
      <c r="B193">
        <v>44</v>
      </c>
      <c r="C193" s="1">
        <v>30</v>
      </c>
      <c r="D193" s="2" t="str">
        <f>HYPERLINK("https://torgi.gov.ru/new/public/lots/lot/21000012860000000001_12/(lotInfo:info)", "21000012860000000001_12")</f>
        <v>21000012860000000001_12</v>
      </c>
      <c r="E193" t="s">
        <v>879</v>
      </c>
      <c r="F193" s="3" t="s">
        <v>880</v>
      </c>
      <c r="G193" t="s">
        <v>881</v>
      </c>
      <c r="H193" s="4">
        <v>642000</v>
      </c>
      <c r="I193" s="4">
        <v>21400</v>
      </c>
      <c r="J193" s="5" t="s">
        <v>29</v>
      </c>
      <c r="K193" s="5">
        <v>5.79</v>
      </c>
      <c r="L193" s="4">
        <v>3566.67</v>
      </c>
      <c r="M193">
        <v>3696</v>
      </c>
      <c r="N193" t="s">
        <v>882</v>
      </c>
      <c r="O193">
        <v>6</v>
      </c>
      <c r="P193" s="6">
        <v>1200</v>
      </c>
      <c r="Q193" t="s">
        <v>31</v>
      </c>
      <c r="R193" t="s">
        <v>32</v>
      </c>
      <c r="S193" s="2" t="str">
        <f>HYPERLINK("https://yandex.ru/maps/?&amp;text=57.772243, 40.952882", "57.772243, 40.952882")</f>
        <v>57.772243, 40.952882</v>
      </c>
      <c r="T193" s="2" t="str">
        <f>HYPERLINK("D:\venv_torgi\env\cache\objs_in_district/57.772243_40.952882.json", "57.772243_40.952882.json")</f>
        <v>57.772243_40.952882.json</v>
      </c>
      <c r="U193" t="s">
        <v>883</v>
      </c>
      <c r="V193" s="7" t="s">
        <v>34</v>
      </c>
      <c r="W193" s="19">
        <v>28791.780206219712</v>
      </c>
      <c r="X193" s="21">
        <v>7391.7802062197125</v>
      </c>
      <c r="Y193">
        <v>0</v>
      </c>
    </row>
    <row r="194" spans="1:26">
      <c r="A194" s="8">
        <v>193</v>
      </c>
      <c r="B194">
        <v>44</v>
      </c>
      <c r="C194" s="1">
        <v>84.2</v>
      </c>
      <c r="D194" s="2" t="str">
        <f>HYPERLINK("https://torgi.gov.ru/new/public/lots/lot/21000024540000000002_1/(lotInfo:info)", "21000024540000000002_1")</f>
        <v>21000024540000000002_1</v>
      </c>
      <c r="E194" t="s">
        <v>884</v>
      </c>
      <c r="F194" s="3" t="s">
        <v>885</v>
      </c>
      <c r="G194" t="s">
        <v>886</v>
      </c>
      <c r="H194" s="4">
        <v>2892676.65</v>
      </c>
      <c r="I194" s="4">
        <v>34354.829572446557</v>
      </c>
      <c r="J194" s="5" t="s">
        <v>29</v>
      </c>
      <c r="K194" s="5">
        <v>32.020000000000003</v>
      </c>
      <c r="L194" s="4">
        <v>1635.9</v>
      </c>
      <c r="M194">
        <v>1073</v>
      </c>
      <c r="N194" t="s">
        <v>887</v>
      </c>
      <c r="O194">
        <v>21</v>
      </c>
      <c r="P194" s="6">
        <v>400</v>
      </c>
      <c r="Q194" t="s">
        <v>31</v>
      </c>
      <c r="R194" t="s">
        <v>32</v>
      </c>
      <c r="S194" s="2" t="str">
        <f>HYPERLINK("https://yandex.ru/maps/?&amp;text=58.380085, 45.515165", "58.380085, 45.515165")</f>
        <v>58.380085, 45.515165</v>
      </c>
      <c r="T194" s="2" t="str">
        <f>HYPERLINK("D:\venv_torgi\env\cache\objs_in_district/58.380085_45.515165.json", "58.380085_45.515165.json")</f>
        <v>58.380085_45.515165.json</v>
      </c>
      <c r="U194" t="s">
        <v>888</v>
      </c>
      <c r="V194" s="7" t="s">
        <v>34</v>
      </c>
      <c r="W194" s="19">
        <v>25005.921007216992</v>
      </c>
      <c r="X194" s="20">
        <v>-9348.9085652295653</v>
      </c>
      <c r="Y194">
        <v>0</v>
      </c>
    </row>
    <row r="195" spans="1:26">
      <c r="A195" s="8">
        <v>194</v>
      </c>
      <c r="B195">
        <v>44</v>
      </c>
      <c r="C195" s="1">
        <v>32.299999999999997</v>
      </c>
      <c r="D195" s="2" t="str">
        <f>HYPERLINK("https://torgi.gov.ru/new/public/lots/lot/21000012860000000007_3/(lotInfo:info)", "21000012860000000007_3")</f>
        <v>21000012860000000007_3</v>
      </c>
      <c r="E195" t="s">
        <v>889</v>
      </c>
      <c r="F195" s="3" t="s">
        <v>890</v>
      </c>
      <c r="G195" t="s">
        <v>891</v>
      </c>
      <c r="H195" s="4">
        <v>1170000</v>
      </c>
      <c r="I195" s="4">
        <v>36222.910216718272</v>
      </c>
      <c r="J195" s="5" t="s">
        <v>29</v>
      </c>
      <c r="K195" s="5">
        <v>10.64</v>
      </c>
      <c r="L195" s="4">
        <v>978.97</v>
      </c>
      <c r="M195">
        <v>3405</v>
      </c>
      <c r="N195" t="s">
        <v>882</v>
      </c>
      <c r="O195">
        <v>37</v>
      </c>
      <c r="P195" s="6">
        <v>100</v>
      </c>
      <c r="Q195" t="s">
        <v>31</v>
      </c>
      <c r="R195" t="s">
        <v>32</v>
      </c>
      <c r="S195" s="2" t="str">
        <f>HYPERLINK("https://yandex.ru/maps/?&amp;text=57.7481, 41.001232", "57.7481, 41.001232")</f>
        <v>57.7481, 41.001232</v>
      </c>
      <c r="T195" s="2" t="str">
        <f>HYPERLINK("D:\venv_torgi\env\cache\objs_in_district/57.7481_41.001232.json", "57.7481_41.001232.json")</f>
        <v>57.7481_41.001232.json</v>
      </c>
      <c r="U195" t="s">
        <v>892</v>
      </c>
      <c r="V195" s="7" t="s">
        <v>34</v>
      </c>
      <c r="W195" s="19">
        <v>28791.780206219712</v>
      </c>
      <c r="X195" s="20">
        <v>-7431.1300104985603</v>
      </c>
      <c r="Y195">
        <v>0</v>
      </c>
    </row>
    <row r="196" spans="1:26">
      <c r="A196" s="8">
        <v>195</v>
      </c>
      <c r="B196">
        <v>44</v>
      </c>
      <c r="C196" s="1">
        <v>33</v>
      </c>
      <c r="D196" s="2" t="str">
        <f>HYPERLINK("https://torgi.gov.ru/new/public/lots/lot/21000004310000000234_1/(lotInfo:info)", "21000004310000000234_1")</f>
        <v>21000004310000000234_1</v>
      </c>
      <c r="E196" t="s">
        <v>893</v>
      </c>
      <c r="F196" s="3" t="s">
        <v>894</v>
      </c>
      <c r="G196" t="s">
        <v>895</v>
      </c>
      <c r="H196" s="4">
        <v>1400845.8</v>
      </c>
      <c r="I196" s="4">
        <v>42449.872727272726</v>
      </c>
      <c r="J196" s="5" t="s">
        <v>29</v>
      </c>
      <c r="K196" s="5">
        <v>6.71</v>
      </c>
      <c r="L196" s="4">
        <v>4716.5600000000004</v>
      </c>
      <c r="M196">
        <v>6330</v>
      </c>
      <c r="N196" t="s">
        <v>882</v>
      </c>
      <c r="O196">
        <v>9</v>
      </c>
      <c r="P196" s="6">
        <v>300</v>
      </c>
      <c r="Q196" t="s">
        <v>31</v>
      </c>
      <c r="R196" t="s">
        <v>51</v>
      </c>
      <c r="S196" s="2" t="str">
        <f>HYPERLINK("https://yandex.ru/maps/?&amp;text=57.78616, 40.933209", "57.78616, 40.933209")</f>
        <v>57.78616, 40.933209</v>
      </c>
      <c r="T196" s="2" t="str">
        <f>HYPERLINK("D:\venv_torgi\env\cache\objs_in_district/57.78616_40.933209.json", "57.78616_40.933209.json")</f>
        <v>57.78616_40.933209.json</v>
      </c>
      <c r="U196" t="s">
        <v>896</v>
      </c>
      <c r="W196" s="19">
        <v>28791.780206219712</v>
      </c>
      <c r="X196" s="20">
        <v>-13658.092521053009</v>
      </c>
      <c r="Y196">
        <v>0</v>
      </c>
    </row>
    <row r="197" spans="1:26">
      <c r="A197" s="8">
        <v>196</v>
      </c>
      <c r="B197">
        <v>44</v>
      </c>
      <c r="C197" s="1">
        <v>131.9</v>
      </c>
      <c r="D197" s="2" t="str">
        <f>HYPERLINK("https://torgi.gov.ru/new/public/lots/lot/22000031330000000004_1/(lotInfo:info)", "22000031330000000004_1")</f>
        <v>22000031330000000004_1</v>
      </c>
      <c r="E197" t="s">
        <v>897</v>
      </c>
      <c r="F197" s="3" t="s">
        <v>898</v>
      </c>
      <c r="G197" t="s">
        <v>899</v>
      </c>
      <c r="H197" s="4">
        <v>6798000</v>
      </c>
      <c r="I197" s="4">
        <v>51539.044730856709</v>
      </c>
      <c r="J197" s="5" t="s">
        <v>29</v>
      </c>
      <c r="K197" s="5">
        <v>12.95</v>
      </c>
      <c r="L197" s="4">
        <v>1356.29</v>
      </c>
      <c r="M197">
        <v>3981</v>
      </c>
      <c r="N197" t="s">
        <v>882</v>
      </c>
      <c r="O197">
        <v>38</v>
      </c>
      <c r="P197" s="6">
        <v>500</v>
      </c>
      <c r="Q197" t="s">
        <v>31</v>
      </c>
      <c r="R197" t="s">
        <v>32</v>
      </c>
      <c r="S197" s="2" t="str">
        <f>HYPERLINK("https://yandex.ru/maps/?&amp;text=57.772171, 40.922896", "57.772171, 40.922896")</f>
        <v>57.772171, 40.922896</v>
      </c>
      <c r="T197" s="2" t="str">
        <f>HYPERLINK("D:\venv_torgi\env\cache\objs_in_district/57.772171_40.922896.json", "57.772171_40.922896.json")</f>
        <v>57.772171_40.922896.json</v>
      </c>
      <c r="U197" t="s">
        <v>900</v>
      </c>
      <c r="V197" s="7" t="s">
        <v>34</v>
      </c>
      <c r="W197" s="19">
        <v>28791.780206219712</v>
      </c>
      <c r="X197" s="20">
        <v>-22747.264524637001</v>
      </c>
      <c r="Y197">
        <v>0</v>
      </c>
    </row>
    <row r="198" spans="1:26">
      <c r="A198" s="8">
        <v>197</v>
      </c>
      <c r="B198">
        <v>45</v>
      </c>
      <c r="C198" s="1">
        <v>1084.8</v>
      </c>
      <c r="D198" s="2" t="str">
        <f>HYPERLINK("https://torgi.gov.ru/new/public/lots/lot/22000039800000000001_1/(lotInfo:info)", "22000039800000000001_1")</f>
        <v>22000039800000000001_1</v>
      </c>
      <c r="E198" t="s">
        <v>901</v>
      </c>
      <c r="F198" s="3" t="s">
        <v>902</v>
      </c>
      <c r="G198" t="s">
        <v>903</v>
      </c>
      <c r="H198" s="4">
        <v>5000000</v>
      </c>
      <c r="I198" s="4">
        <v>4609.1445427728613</v>
      </c>
      <c r="J198" s="5" t="s">
        <v>2082</v>
      </c>
      <c r="K198" s="5">
        <v>4.6900000000000004</v>
      </c>
      <c r="L198" s="4">
        <v>768.17</v>
      </c>
      <c r="M198">
        <v>982</v>
      </c>
      <c r="N198" t="s">
        <v>904</v>
      </c>
      <c r="O198">
        <v>6</v>
      </c>
      <c r="P198" s="6">
        <v>400</v>
      </c>
      <c r="Q198" t="s">
        <v>40</v>
      </c>
      <c r="R198" t="s">
        <v>32</v>
      </c>
      <c r="S198" s="2" t="str">
        <f>HYPERLINK("https://yandex.ru/maps/?&amp;text=56.261707, 62.934074", "56.261707, 62.934074")</f>
        <v>56.261707, 62.934074</v>
      </c>
      <c r="T198" s="2" t="str">
        <f>HYPERLINK("D:\venv_torgi\env\cache\objs_in_district/56.261707_62.934074.json", "56.261707_62.934074.json")</f>
        <v>56.261707_62.934074.json</v>
      </c>
      <c r="U198" t="s">
        <v>905</v>
      </c>
      <c r="W198" s="19">
        <v>4605.2933995586654</v>
      </c>
      <c r="X198" s="20">
        <v>-3.8511432141958721</v>
      </c>
      <c r="Y198">
        <v>0</v>
      </c>
    </row>
    <row r="199" spans="1:26">
      <c r="A199" s="8">
        <v>198</v>
      </c>
      <c r="B199">
        <v>45</v>
      </c>
      <c r="C199" s="1">
        <v>120.8</v>
      </c>
      <c r="D199" s="2" t="str">
        <f>HYPERLINK("https://torgi.gov.ru/new/public/lots/lot/21000009230000000043_1/(lotInfo:info)", "21000009230000000043_1")</f>
        <v>21000009230000000043_1</v>
      </c>
      <c r="E199" t="s">
        <v>906</v>
      </c>
      <c r="F199" s="3" t="s">
        <v>907</v>
      </c>
      <c r="G199" t="s">
        <v>908</v>
      </c>
      <c r="H199" s="4">
        <v>580000</v>
      </c>
      <c r="I199" s="4">
        <v>4801.324503311258</v>
      </c>
      <c r="J199" s="5" t="s">
        <v>29</v>
      </c>
      <c r="K199" s="5">
        <v>4.16</v>
      </c>
      <c r="L199" s="4">
        <v>533.44000000000005</v>
      </c>
      <c r="M199">
        <v>1155</v>
      </c>
      <c r="N199" t="s">
        <v>909</v>
      </c>
      <c r="O199">
        <v>9</v>
      </c>
      <c r="P199" s="6">
        <v>500</v>
      </c>
      <c r="Q199" t="s">
        <v>31</v>
      </c>
      <c r="R199" t="s">
        <v>32</v>
      </c>
      <c r="S199" s="2" t="str">
        <f>HYPERLINK("https://yandex.ru/maps/?&amp;text=55.375787, 65.816066", "55.375787, 65.816066")</f>
        <v>55.375787, 65.816066</v>
      </c>
      <c r="T199" s="2" t="str">
        <f>HYPERLINK("D:\venv_torgi\env\cache\objs_in_district/55.375787_65.816066.json", "55.375787_65.816066.json")</f>
        <v>55.375787_65.816066.json</v>
      </c>
      <c r="U199" t="s">
        <v>910</v>
      </c>
      <c r="V199" s="7" t="s">
        <v>34</v>
      </c>
      <c r="W199" s="19">
        <v>14930.943770233611</v>
      </c>
      <c r="X199" s="21">
        <v>10129.619266922349</v>
      </c>
      <c r="Y199">
        <v>0</v>
      </c>
    </row>
    <row r="200" spans="1:26">
      <c r="A200" s="8">
        <v>199</v>
      </c>
      <c r="B200">
        <v>45</v>
      </c>
      <c r="C200" s="1">
        <v>67.400000000000006</v>
      </c>
      <c r="D200" s="2" t="str">
        <f>HYPERLINK("https://torgi.gov.ru/new/public/lots/lot/21000020130000000007_1/(lotInfo:info)", "21000020130000000007_1")</f>
        <v>21000020130000000007_1</v>
      </c>
      <c r="E200" t="s">
        <v>911</v>
      </c>
      <c r="F200" s="3" t="s">
        <v>912</v>
      </c>
      <c r="G200" t="s">
        <v>913</v>
      </c>
      <c r="H200" s="4">
        <v>705000</v>
      </c>
      <c r="I200" s="4">
        <v>10459.94065281899</v>
      </c>
      <c r="J200" s="5" t="s">
        <v>29</v>
      </c>
      <c r="K200" s="5">
        <v>8.92</v>
      </c>
      <c r="L200" s="4">
        <v>1494.14</v>
      </c>
      <c r="M200">
        <v>1173</v>
      </c>
      <c r="N200" t="s">
        <v>914</v>
      </c>
      <c r="O200">
        <v>7</v>
      </c>
      <c r="P200" s="6">
        <v>1300</v>
      </c>
      <c r="Q200" t="s">
        <v>31</v>
      </c>
      <c r="R200" t="s">
        <v>32</v>
      </c>
      <c r="S200" s="2" t="str">
        <f>HYPERLINK("https://yandex.ru/maps/?&amp;text=55.277565, 66.509808", "55.277565, 66.509808")</f>
        <v>55.277565, 66.509808</v>
      </c>
      <c r="T200" s="2" t="str">
        <f>HYPERLINK("D:\venv_torgi\env\cache\objs_in_district/55.277565_66.509808.json", "55.277565_66.509808.json")</f>
        <v>55.277565_66.509808.json</v>
      </c>
      <c r="U200" t="s">
        <v>915</v>
      </c>
      <c r="V200" s="7" t="s">
        <v>34</v>
      </c>
      <c r="W200" s="19">
        <v>14930.943770233611</v>
      </c>
      <c r="X200" s="21">
        <v>4471.0031174146216</v>
      </c>
      <c r="Y200">
        <v>0</v>
      </c>
    </row>
    <row r="201" spans="1:26">
      <c r="A201" s="8">
        <v>200</v>
      </c>
      <c r="B201">
        <v>45</v>
      </c>
      <c r="C201" s="1">
        <v>174.7</v>
      </c>
      <c r="D201" s="2" t="str">
        <f>HYPERLINK("https://torgi.gov.ru/new/public/lots/lot/21000009230000000114_1/(lotInfo:info)", "21000009230000000114_1")</f>
        <v>21000009230000000114_1</v>
      </c>
      <c r="E201" t="s">
        <v>916</v>
      </c>
      <c r="F201" s="3" t="s">
        <v>917</v>
      </c>
      <c r="G201" t="s">
        <v>918</v>
      </c>
      <c r="H201" s="4">
        <v>2008000</v>
      </c>
      <c r="I201" s="4">
        <v>11493.989696622781</v>
      </c>
      <c r="J201" s="5" t="s">
        <v>2082</v>
      </c>
      <c r="K201" s="5">
        <v>2.68</v>
      </c>
      <c r="L201" s="4">
        <v>442.04</v>
      </c>
      <c r="M201">
        <v>4292</v>
      </c>
      <c r="N201" t="s">
        <v>919</v>
      </c>
      <c r="O201">
        <v>26</v>
      </c>
      <c r="P201" s="6">
        <v>500</v>
      </c>
      <c r="Q201" t="s">
        <v>855</v>
      </c>
      <c r="R201" t="s">
        <v>32</v>
      </c>
      <c r="S201" s="2" t="str">
        <f>HYPERLINK("https://yandex.ru/maps/?&amp;text=55.437107, 65.353587", "55.437107, 65.353587")</f>
        <v>55.437107, 65.353587</v>
      </c>
      <c r="T201" s="2" t="str">
        <f>HYPERLINK("D:\venv_torgi\env\cache\objs_in_district/55.437107_65.353587.json", "55.437107_65.353587.json")</f>
        <v>55.437107_65.353587.json</v>
      </c>
      <c r="U201" t="s">
        <v>920</v>
      </c>
      <c r="V201" s="7" t="s">
        <v>34</v>
      </c>
      <c r="W201" s="19">
        <v>10661.45189182739</v>
      </c>
      <c r="X201" s="20">
        <v>-832.53780479538727</v>
      </c>
      <c r="Y201">
        <v>0</v>
      </c>
    </row>
    <row r="202" spans="1:26">
      <c r="A202" s="8">
        <v>201</v>
      </c>
      <c r="B202">
        <v>45</v>
      </c>
      <c r="C202" s="1">
        <v>31.8</v>
      </c>
      <c r="D202" s="2" t="str">
        <f>HYPERLINK("https://torgi.gov.ru/new/public/lots/lot/21000025240000000011_1/(lotInfo:info)", "21000025240000000011_1")</f>
        <v>21000025240000000011_1</v>
      </c>
      <c r="E202" t="s">
        <v>921</v>
      </c>
      <c r="F202" s="3" t="s">
        <v>922</v>
      </c>
      <c r="G202" t="s">
        <v>923</v>
      </c>
      <c r="H202" s="4">
        <v>707041</v>
      </c>
      <c r="I202" s="4">
        <v>22233.993710691819</v>
      </c>
      <c r="J202" s="5" t="s">
        <v>29</v>
      </c>
      <c r="K202" s="5">
        <v>5.97</v>
      </c>
      <c r="L202" s="4">
        <v>1588.07</v>
      </c>
      <c r="M202">
        <v>3726</v>
      </c>
      <c r="N202" t="s">
        <v>919</v>
      </c>
      <c r="O202">
        <v>14</v>
      </c>
      <c r="P202" s="6">
        <v>700</v>
      </c>
      <c r="Q202" t="s">
        <v>31</v>
      </c>
      <c r="R202" t="s">
        <v>32</v>
      </c>
      <c r="S202" s="2" t="str">
        <f>HYPERLINK("https://yandex.ru/maps/?&amp;text=55.448239, 65.345098", "55.448239, 65.345098")</f>
        <v>55.448239, 65.345098</v>
      </c>
      <c r="T202" s="2" t="str">
        <f>HYPERLINK("D:\venv_torgi\env\cache\objs_in_district/55.448239_65.345098.json", "55.448239_65.345098.json")</f>
        <v>55.448239_65.345098.json</v>
      </c>
      <c r="U202" t="s">
        <v>924</v>
      </c>
      <c r="W202" s="19">
        <v>28791.780206219712</v>
      </c>
      <c r="X202" s="21">
        <v>6557.7864955278928</v>
      </c>
      <c r="Y202">
        <v>0</v>
      </c>
    </row>
    <row r="203" spans="1:26">
      <c r="A203" s="8">
        <v>202</v>
      </c>
      <c r="B203">
        <v>45</v>
      </c>
      <c r="C203" s="1">
        <v>111.6</v>
      </c>
      <c r="D203" s="2" t="str">
        <f>HYPERLINK("https://torgi.gov.ru/new/public/lots/lot/21000009230000000047_1/(lotInfo:info)", "21000009230000000047_1")</f>
        <v>21000009230000000047_1</v>
      </c>
      <c r="E203" t="s">
        <v>925</v>
      </c>
      <c r="F203" s="3" t="s">
        <v>926</v>
      </c>
      <c r="G203" t="s">
        <v>927</v>
      </c>
      <c r="H203" s="4">
        <v>7273000</v>
      </c>
      <c r="I203" s="4">
        <v>65170.250896057347</v>
      </c>
      <c r="J203" s="5" t="s">
        <v>445</v>
      </c>
      <c r="K203" s="5">
        <v>16.09</v>
      </c>
      <c r="L203" s="4">
        <v>3620.56</v>
      </c>
      <c r="M203">
        <v>4050</v>
      </c>
      <c r="N203" t="s">
        <v>919</v>
      </c>
      <c r="O203">
        <v>18</v>
      </c>
      <c r="P203" s="6">
        <v>800</v>
      </c>
      <c r="Q203" t="s">
        <v>31</v>
      </c>
      <c r="R203" t="s">
        <v>32</v>
      </c>
      <c r="S203" s="2" t="str">
        <f>HYPERLINK("https://yandex.ru/maps/?&amp;text=55.447504, 65.353578", "55.447504, 65.353578")</f>
        <v>55.447504, 65.353578</v>
      </c>
      <c r="T203" s="2" t="str">
        <f>HYPERLINK("D:\venv_torgi\env\cache\objs_in_district/55.447504_65.353578.json", "55.447504_65.353578.json")</f>
        <v>55.447504_65.353578.json</v>
      </c>
      <c r="U203" t="s">
        <v>928</v>
      </c>
      <c r="V203" s="7" t="s">
        <v>34</v>
      </c>
      <c r="W203" s="19">
        <v>28791.780206219712</v>
      </c>
      <c r="X203" s="20">
        <v>-36378.470689837632</v>
      </c>
      <c r="Y203">
        <v>0</v>
      </c>
    </row>
    <row r="204" spans="1:26">
      <c r="A204" s="8">
        <v>203</v>
      </c>
      <c r="B204">
        <v>46</v>
      </c>
      <c r="C204" s="1">
        <v>208.2</v>
      </c>
      <c r="D204" s="2" t="str">
        <f>HYPERLINK("https://torgi.gov.ru/new/public/lots/lot/21000002210000000689_1/(lotInfo:info)", "21000002210000000689_1")</f>
        <v>21000002210000000689_1</v>
      </c>
      <c r="E204" t="s">
        <v>929</v>
      </c>
      <c r="F204" s="3" t="s">
        <v>930</v>
      </c>
      <c r="G204" t="s">
        <v>931</v>
      </c>
      <c r="H204" s="4">
        <v>4950000</v>
      </c>
      <c r="I204" s="4">
        <v>23775.216138328531</v>
      </c>
      <c r="J204" s="5" t="s">
        <v>2082</v>
      </c>
      <c r="K204" s="5">
        <v>2.58</v>
      </c>
      <c r="L204" s="4">
        <v>201.48</v>
      </c>
      <c r="M204">
        <v>9211</v>
      </c>
      <c r="N204" t="s">
        <v>932</v>
      </c>
      <c r="O204">
        <v>118</v>
      </c>
      <c r="P204" s="6">
        <v>800</v>
      </c>
      <c r="Q204" t="s">
        <v>31</v>
      </c>
      <c r="R204" t="s">
        <v>32</v>
      </c>
      <c r="S204" s="2" t="str">
        <f>HYPERLINK("https://yandex.ru/maps/?&amp;text=51.757474, 36.191281", "51.757474, 36.191281")</f>
        <v>51.757474, 36.191281</v>
      </c>
      <c r="T204" s="2" t="str">
        <f>HYPERLINK("D:\venv_torgi\env\cache\objs_in_district/51.757474_36.191281.json", "51.757474_36.191281.json")</f>
        <v>51.757474_36.191281.json</v>
      </c>
      <c r="U204" t="s">
        <v>933</v>
      </c>
      <c r="V204" s="7" t="s">
        <v>34</v>
      </c>
      <c r="W204" s="19">
        <v>19931.15122427437</v>
      </c>
      <c r="X204" s="20">
        <v>-3844.0649140541568</v>
      </c>
      <c r="Y204">
        <v>0</v>
      </c>
    </row>
    <row r="205" spans="1:26">
      <c r="A205" s="8">
        <v>204</v>
      </c>
      <c r="B205">
        <v>46</v>
      </c>
      <c r="C205" s="1">
        <v>59.6</v>
      </c>
      <c r="D205" s="2" t="str">
        <f>HYPERLINK("https://torgi.gov.ru/new/public/lots/lot/21000003800000000001_1/(lotInfo:info)", "21000003800000000001_1")</f>
        <v>21000003800000000001_1</v>
      </c>
      <c r="E205" t="s">
        <v>934</v>
      </c>
      <c r="F205" s="3" t="s">
        <v>935</v>
      </c>
      <c r="G205" t="s">
        <v>936</v>
      </c>
      <c r="H205" s="4">
        <v>2165404.5</v>
      </c>
      <c r="I205" s="4">
        <v>36332.290268456367</v>
      </c>
      <c r="J205" s="5" t="s">
        <v>29</v>
      </c>
      <c r="K205" s="5">
        <v>12.43</v>
      </c>
      <c r="L205" s="4">
        <v>519.03</v>
      </c>
      <c r="M205">
        <v>2922</v>
      </c>
      <c r="N205" t="s">
        <v>937</v>
      </c>
      <c r="O205">
        <v>70</v>
      </c>
      <c r="P205" s="6">
        <v>400</v>
      </c>
      <c r="Q205" t="s">
        <v>31</v>
      </c>
      <c r="R205" t="s">
        <v>32</v>
      </c>
      <c r="S205" s="2" t="str">
        <f>HYPERLINK("https://yandex.ru/maps/?&amp;text=51.686696, 35.278988", "51.686696, 35.278988")</f>
        <v>51.686696, 35.278988</v>
      </c>
      <c r="T205" s="2" t="str">
        <f>HYPERLINK("D:\venv_torgi\env\cache\objs_in_district/51.686696_35.278988.json", "51.686696_35.278988.json")</f>
        <v>51.686696_35.278988.json</v>
      </c>
      <c r="U205" t="s">
        <v>938</v>
      </c>
      <c r="V205" s="7" t="s">
        <v>34</v>
      </c>
      <c r="W205" s="19">
        <v>25005.921007216992</v>
      </c>
      <c r="X205" s="20">
        <v>-11326.369261239381</v>
      </c>
      <c r="Y205">
        <v>0</v>
      </c>
    </row>
    <row r="206" spans="1:26">
      <c r="A206" s="8">
        <v>205</v>
      </c>
      <c r="B206">
        <v>46</v>
      </c>
      <c r="C206" s="1">
        <v>26.1</v>
      </c>
      <c r="D206" s="2" t="str">
        <f>HYPERLINK("https://torgi.gov.ru/new/public/lots/lot/21000016220000000010_2/(lotInfo:info)", "21000016220000000010_2")</f>
        <v>21000016220000000010_2</v>
      </c>
      <c r="E206" t="s">
        <v>939</v>
      </c>
      <c r="F206" s="3" t="s">
        <v>940</v>
      </c>
      <c r="G206" t="s">
        <v>941</v>
      </c>
      <c r="H206" s="4">
        <v>1820000</v>
      </c>
      <c r="I206" s="4">
        <v>69731.800766283515</v>
      </c>
      <c r="J206" s="5" t="s">
        <v>29</v>
      </c>
      <c r="K206" s="5">
        <v>7.06</v>
      </c>
      <c r="L206" s="4">
        <v>378.97</v>
      </c>
      <c r="M206">
        <v>9878</v>
      </c>
      <c r="N206" t="s">
        <v>932</v>
      </c>
      <c r="O206">
        <v>184</v>
      </c>
      <c r="P206" s="6">
        <v>300</v>
      </c>
      <c r="Q206" t="s">
        <v>855</v>
      </c>
      <c r="R206" t="s">
        <v>32</v>
      </c>
      <c r="S206" s="2" t="str">
        <f>HYPERLINK("https://yandex.ru/maps/?&amp;text=51.74719, 36.19498", "51.74719, 36.19498")</f>
        <v>51.74719, 36.19498</v>
      </c>
      <c r="T206" s="2" t="str">
        <f>HYPERLINK("D:\venv_torgi\env\cache\objs_in_district/51.74719_36.19498.json", "51.74719_36.19498.json")</f>
        <v>51.74719_36.19498.json</v>
      </c>
      <c r="U206" t="s">
        <v>942</v>
      </c>
      <c r="V206" s="7" t="s">
        <v>34</v>
      </c>
      <c r="W206" s="19">
        <v>59031.555963778381</v>
      </c>
      <c r="X206" s="20">
        <v>-10700.244802505131</v>
      </c>
      <c r="Y206">
        <v>0</v>
      </c>
      <c r="Z206">
        <v>1</v>
      </c>
    </row>
    <row r="207" spans="1:26">
      <c r="A207" s="8">
        <v>206</v>
      </c>
      <c r="B207">
        <v>47</v>
      </c>
      <c r="C207" s="1">
        <v>586</v>
      </c>
      <c r="D207" s="2" t="str">
        <f>HYPERLINK("https://torgi.gov.ru/new/public/lots/lot/21000022100000000002_1/(lotInfo:info)", "21000022100000000002_1")</f>
        <v>21000022100000000002_1</v>
      </c>
      <c r="E207" t="s">
        <v>943</v>
      </c>
      <c r="F207" s="3" t="s">
        <v>944</v>
      </c>
      <c r="G207" t="s">
        <v>945</v>
      </c>
      <c r="H207" s="4">
        <v>1872000</v>
      </c>
      <c r="I207" s="4">
        <v>3194.5392491467578</v>
      </c>
      <c r="J207" s="5" t="s">
        <v>29</v>
      </c>
      <c r="K207" s="10">
        <v>1.4</v>
      </c>
      <c r="L207" s="11">
        <v>532.41999999999996</v>
      </c>
      <c r="M207">
        <v>2277</v>
      </c>
      <c r="N207" t="s">
        <v>946</v>
      </c>
      <c r="O207" t="s">
        <v>947</v>
      </c>
      <c r="Q207" t="s">
        <v>40</v>
      </c>
      <c r="R207" t="s">
        <v>32</v>
      </c>
      <c r="S207" s="2" t="str">
        <f>HYPERLINK("https://yandex.ru/maps/?&amp;text=59.093227, 28.162193", "59.093227, 28.162193")</f>
        <v>59.093227, 28.162193</v>
      </c>
      <c r="T207" s="12" t="str">
        <f>HYPERLINK("D:\venv_torgi\env\cache\objs_in_district/59.093227_28.162193.json", "59.093227_28.162193.json")</f>
        <v>59.093227_28.162193.json</v>
      </c>
      <c r="U207" t="s">
        <v>948</v>
      </c>
      <c r="V207" s="7" t="s">
        <v>34</v>
      </c>
      <c r="W207" s="19">
        <v>13468.057755033909</v>
      </c>
      <c r="X207" s="17">
        <v>10273.51850588715</v>
      </c>
      <c r="Y207">
        <v>0</v>
      </c>
    </row>
    <row r="208" spans="1:26">
      <c r="A208" s="8">
        <v>207</v>
      </c>
      <c r="B208">
        <v>47</v>
      </c>
      <c r="C208" s="1">
        <v>251.7</v>
      </c>
      <c r="D208" s="2" t="str">
        <f>HYPERLINK("https://torgi.gov.ru/new/public/lots/lot/22000066050000000004_1/(lotInfo:info)", "22000066050000000004_1")</f>
        <v>22000066050000000004_1</v>
      </c>
      <c r="E208" t="s">
        <v>949</v>
      </c>
      <c r="F208" s="3" t="s">
        <v>950</v>
      </c>
      <c r="G208" t="s">
        <v>951</v>
      </c>
      <c r="H208" s="4">
        <v>9158600</v>
      </c>
      <c r="I208" s="4">
        <v>36386.968613428689</v>
      </c>
      <c r="J208" s="5" t="s">
        <v>952</v>
      </c>
      <c r="K208" s="5">
        <v>23.28</v>
      </c>
      <c r="L208" s="4">
        <v>2425.73</v>
      </c>
      <c r="M208">
        <v>1563</v>
      </c>
      <c r="N208" t="s">
        <v>953</v>
      </c>
      <c r="O208">
        <v>15</v>
      </c>
      <c r="P208" s="6">
        <v>3800</v>
      </c>
      <c r="Q208" t="s">
        <v>31</v>
      </c>
      <c r="R208" t="s">
        <v>32</v>
      </c>
      <c r="S208" s="2" t="str">
        <f>HYPERLINK("https://yandex.ru/maps/?&amp;text=60.06918, 30.737708", "60.06918, 30.737708")</f>
        <v>60.06918, 30.737708</v>
      </c>
      <c r="T208" s="2" t="str">
        <f>HYPERLINK("D:\venv_torgi\env\cache\objs_in_district/60.06918_30.737708.json", "60.06918_30.737708.json")</f>
        <v>60.06918_30.737708.json</v>
      </c>
      <c r="U208" t="s">
        <v>954</v>
      </c>
      <c r="V208" s="7" t="s">
        <v>34</v>
      </c>
      <c r="W208" s="16">
        <v>13468.057755033909</v>
      </c>
      <c r="X208" s="18">
        <v>-22918.910858394778</v>
      </c>
      <c r="Y208">
        <v>0</v>
      </c>
    </row>
    <row r="209" spans="1:25">
      <c r="A209" s="8">
        <v>208</v>
      </c>
      <c r="B209">
        <v>47</v>
      </c>
      <c r="C209" s="1">
        <v>19.600000000000001</v>
      </c>
      <c r="D209" s="2" t="str">
        <f>HYPERLINK("https://torgi.gov.ru/new/public/lots/lot/22000031890000000003_1/(lotInfo:info)", "22000031890000000003_1")</f>
        <v>22000031890000000003_1</v>
      </c>
      <c r="E209" t="s">
        <v>955</v>
      </c>
      <c r="F209" s="3" t="s">
        <v>956</v>
      </c>
      <c r="G209" t="s">
        <v>957</v>
      </c>
      <c r="H209" s="4">
        <v>762000</v>
      </c>
      <c r="I209" s="4">
        <v>38877.551020408158</v>
      </c>
      <c r="J209" s="5" t="s">
        <v>29</v>
      </c>
      <c r="K209" s="5">
        <v>16.899999999999999</v>
      </c>
      <c r="L209" s="4">
        <v>2776.93</v>
      </c>
      <c r="M209">
        <v>2301</v>
      </c>
      <c r="N209" t="s">
        <v>958</v>
      </c>
      <c r="O209">
        <v>14</v>
      </c>
      <c r="P209" s="6">
        <v>700</v>
      </c>
      <c r="Q209" t="s">
        <v>31</v>
      </c>
      <c r="R209" t="s">
        <v>32</v>
      </c>
      <c r="S209" s="2" t="str">
        <f>HYPERLINK("https://yandex.ru/maps/?&amp;text=59.813889, 29.982126", "59.813889, 29.982126")</f>
        <v>59.813889, 29.982126</v>
      </c>
      <c r="T209" s="2" t="str">
        <f>HYPERLINK("D:\venv_torgi\env\cache\objs_in_district/59.813889_29.982126.json", "59.813889_29.982126.json")</f>
        <v>59.813889_29.982126.json</v>
      </c>
      <c r="U209" t="s">
        <v>959</v>
      </c>
      <c r="V209" s="7" t="s">
        <v>34</v>
      </c>
      <c r="W209" s="16">
        <v>43230.857511277092</v>
      </c>
      <c r="X209" s="17">
        <v>4353.3064908689339</v>
      </c>
      <c r="Y209">
        <v>0</v>
      </c>
    </row>
    <row r="210" spans="1:25">
      <c r="A210" s="8">
        <v>209</v>
      </c>
      <c r="B210">
        <v>47</v>
      </c>
      <c r="C210" s="1">
        <v>122.2</v>
      </c>
      <c r="D210" s="2" t="str">
        <f>HYPERLINK("https://torgi.gov.ru/new/public/lots/lot/21000029540000000001_1/(lotInfo:info)", "21000029540000000001_1")</f>
        <v>21000029540000000001_1</v>
      </c>
      <c r="E210" t="s">
        <v>960</v>
      </c>
      <c r="F210" s="3" t="s">
        <v>961</v>
      </c>
      <c r="G210" t="s">
        <v>962</v>
      </c>
      <c r="H210" s="4">
        <v>5177901</v>
      </c>
      <c r="I210" s="4">
        <v>42372.348608837972</v>
      </c>
      <c r="J210" s="5" t="s">
        <v>29</v>
      </c>
      <c r="K210" s="5">
        <v>14.56</v>
      </c>
      <c r="L210" s="4">
        <v>662.06</v>
      </c>
      <c r="M210">
        <v>2910</v>
      </c>
      <c r="N210" t="s">
        <v>963</v>
      </c>
      <c r="O210">
        <v>64</v>
      </c>
      <c r="Q210" t="s">
        <v>31</v>
      </c>
      <c r="R210" t="s">
        <v>32</v>
      </c>
      <c r="S210" s="2" t="str">
        <f>HYPERLINK("https://yandex.ru/maps/?&amp;text=60.104836, 32.313137", "60.104836, 32.313137")</f>
        <v>60.104836, 32.313137</v>
      </c>
      <c r="T210" s="2" t="str">
        <f>HYPERLINK("D:\venv_torgi\env\cache\objs_in_district/60.104836_32.313137.json", "60.104836_32.313137.json")</f>
        <v>60.104836_32.313137.json</v>
      </c>
      <c r="U210" t="s">
        <v>964</v>
      </c>
      <c r="W210" s="16">
        <v>28561.270488224061</v>
      </c>
      <c r="X210" s="18">
        <v>-13811.078120613911</v>
      </c>
      <c r="Y210">
        <v>0</v>
      </c>
    </row>
    <row r="211" spans="1:25">
      <c r="A211" s="8">
        <v>210</v>
      </c>
      <c r="B211">
        <v>47</v>
      </c>
      <c r="C211" s="1">
        <v>14.4</v>
      </c>
      <c r="D211" s="2" t="str">
        <f>HYPERLINK("https://torgi.gov.ru/new/public/lots/lot/22000031890000000002_1/(lotInfo:info)", "22000031890000000002_1")</f>
        <v>22000031890000000002_1</v>
      </c>
      <c r="E211" t="s">
        <v>955</v>
      </c>
      <c r="F211" s="3" t="s">
        <v>956</v>
      </c>
      <c r="G211" t="s">
        <v>965</v>
      </c>
      <c r="H211" s="4">
        <v>660000</v>
      </c>
      <c r="I211" s="4">
        <v>45833.333333333343</v>
      </c>
      <c r="J211" s="5" t="s">
        <v>29</v>
      </c>
      <c r="K211" s="5">
        <v>12.52</v>
      </c>
      <c r="L211" s="4">
        <v>3273.79</v>
      </c>
      <c r="M211">
        <v>3660</v>
      </c>
      <c r="N211" t="s">
        <v>958</v>
      </c>
      <c r="O211">
        <v>14</v>
      </c>
      <c r="P211" s="6">
        <v>600</v>
      </c>
      <c r="Q211" t="s">
        <v>31</v>
      </c>
      <c r="R211" t="s">
        <v>32</v>
      </c>
      <c r="S211" s="2" t="str">
        <f>HYPERLINK("https://yandex.ru/maps/?&amp;text=59.81674, 29.980823", "59.81674, 29.980823")</f>
        <v>59.81674, 29.980823</v>
      </c>
      <c r="T211" s="2" t="str">
        <f>HYPERLINK("D:\venv_torgi\env\cache\objs_in_district/59.81674_29.980823.json", "59.81674_29.980823.json")</f>
        <v>59.81674_29.980823.json</v>
      </c>
      <c r="U211" t="s">
        <v>966</v>
      </c>
      <c r="V211" s="7" t="s">
        <v>34</v>
      </c>
      <c r="W211" s="16">
        <v>43230.857511277092</v>
      </c>
      <c r="X211" s="18">
        <v>-2602.4758220562512</v>
      </c>
      <c r="Y211">
        <v>0</v>
      </c>
    </row>
    <row r="212" spans="1:25">
      <c r="A212" s="8">
        <v>211</v>
      </c>
      <c r="B212">
        <v>49</v>
      </c>
      <c r="C212" s="1">
        <v>208.1</v>
      </c>
      <c r="D212" s="2" t="str">
        <f>HYPERLINK("https://torgi.gov.ru/new/public/lots/lot/22000038950000000001_1/(lotInfo:info)", "22000038950000000001_1")</f>
        <v>22000038950000000001_1</v>
      </c>
      <c r="E212" t="s">
        <v>967</v>
      </c>
      <c r="F212" s="3" t="s">
        <v>725</v>
      </c>
      <c r="G212" t="s">
        <v>968</v>
      </c>
      <c r="H212" s="4">
        <v>963000</v>
      </c>
      <c r="I212" s="4">
        <v>4627.5828928399806</v>
      </c>
      <c r="J212" s="5" t="s">
        <v>29</v>
      </c>
      <c r="K212" s="5">
        <v>13.98</v>
      </c>
      <c r="L212" s="4">
        <v>330.5</v>
      </c>
      <c r="M212">
        <v>331</v>
      </c>
      <c r="N212" t="s">
        <v>39</v>
      </c>
      <c r="O212">
        <v>14</v>
      </c>
      <c r="P212" s="6">
        <v>500</v>
      </c>
      <c r="Q212" t="s">
        <v>31</v>
      </c>
      <c r="R212" t="s">
        <v>32</v>
      </c>
      <c r="S212" s="2" t="str">
        <f>HYPERLINK("https://yandex.ru/maps/?&amp;text=62.523613, 149.62122", "62.523613, 149.62122")</f>
        <v>62.523613, 149.62122</v>
      </c>
      <c r="T212" s="2" t="str">
        <f>HYPERLINK("D:\venv_torgi\env\cache\objs_in_district/62.523613_149.62122.json", "62.523613_149.62122.json")</f>
        <v>62.523613_149.62122.json</v>
      </c>
      <c r="U212" t="s">
        <v>969</v>
      </c>
      <c r="W212" s="16">
        <v>10661.45189182739</v>
      </c>
      <c r="X212" s="21">
        <v>6033.8689989874129</v>
      </c>
      <c r="Y212">
        <v>0</v>
      </c>
    </row>
    <row r="213" spans="1:25">
      <c r="A213" s="8">
        <v>212</v>
      </c>
      <c r="B213">
        <v>49</v>
      </c>
      <c r="C213" s="1">
        <v>114.9</v>
      </c>
      <c r="D213" s="2" t="str">
        <f>HYPERLINK("https://torgi.gov.ru/new/public/lots/lot/21000013960000000004_8/(lotInfo:info)", "21000013960000000004_8")</f>
        <v>21000013960000000004_8</v>
      </c>
      <c r="E213" t="s">
        <v>970</v>
      </c>
      <c r="F213" s="3" t="s">
        <v>971</v>
      </c>
      <c r="G213" t="s">
        <v>972</v>
      </c>
      <c r="H213" s="4">
        <v>2039940</v>
      </c>
      <c r="I213" s="4">
        <v>17754.046997389029</v>
      </c>
      <c r="J213" s="5" t="s">
        <v>973</v>
      </c>
      <c r="K213" s="10">
        <v>422.72</v>
      </c>
      <c r="L213" s="11"/>
      <c r="M213">
        <v>952</v>
      </c>
      <c r="N213" t="s">
        <v>974</v>
      </c>
      <c r="O213" t="s">
        <v>39</v>
      </c>
      <c r="P213" s="6">
        <v>1900</v>
      </c>
      <c r="Q213" t="s">
        <v>31</v>
      </c>
      <c r="R213" t="s">
        <v>51</v>
      </c>
      <c r="S213" s="2" t="str">
        <f>HYPERLINK("https://yandex.ru/maps/?&amp;text=59.58926, 150.83209", "59.58926, 150.83209")</f>
        <v>59.58926, 150.83209</v>
      </c>
      <c r="T213" s="12" t="str">
        <f>HYPERLINK("D:\venv_torgi\env\cache\objs_in_district/59.58926_150.83209.json", "59.58926_150.83209.json")</f>
        <v>59.58926_150.83209.json</v>
      </c>
      <c r="U213" t="s">
        <v>975</v>
      </c>
      <c r="W213" s="19">
        <v>14930.943770233611</v>
      </c>
      <c r="X213" s="20">
        <v>-2823.1032271554159</v>
      </c>
      <c r="Y213">
        <v>0</v>
      </c>
    </row>
    <row r="214" spans="1:25">
      <c r="A214" s="8">
        <v>213</v>
      </c>
      <c r="B214">
        <v>49</v>
      </c>
      <c r="C214" s="1">
        <v>242.6</v>
      </c>
      <c r="D214" s="2" t="str">
        <f>HYPERLINK("https://torgi.gov.ru/new/public/lots/lot/21000013960000000004_26/(lotInfo:info)", "21000013960000000004_26")</f>
        <v>21000013960000000004_26</v>
      </c>
      <c r="E214" t="s">
        <v>976</v>
      </c>
      <c r="F214" s="3" t="s">
        <v>971</v>
      </c>
      <c r="G214" t="s">
        <v>977</v>
      </c>
      <c r="H214" s="4">
        <v>7125300</v>
      </c>
      <c r="I214" s="4">
        <v>29370.568837592749</v>
      </c>
      <c r="J214" s="5" t="s">
        <v>29</v>
      </c>
      <c r="K214" s="5">
        <v>10.220000000000001</v>
      </c>
      <c r="L214" s="4">
        <v>14685</v>
      </c>
      <c r="M214">
        <v>2874</v>
      </c>
      <c r="N214" t="s">
        <v>39</v>
      </c>
      <c r="O214">
        <v>2</v>
      </c>
      <c r="P214" s="6">
        <v>500</v>
      </c>
      <c r="Q214" t="s">
        <v>31</v>
      </c>
      <c r="R214" t="s">
        <v>51</v>
      </c>
      <c r="S214" s="2" t="str">
        <f>HYPERLINK("https://yandex.ru/maps/?&amp;text=62.08512, 150.52081", "62.08512, 150.52081")</f>
        <v>62.08512, 150.52081</v>
      </c>
      <c r="T214" s="2" t="str">
        <f>HYPERLINK("D:\venv_torgi\env\cache\objs_in_district/62.08512_150.52081.json", "62.08512_150.52081.json")</f>
        <v>62.08512_150.52081.json</v>
      </c>
      <c r="U214" t="s">
        <v>978</v>
      </c>
      <c r="W214" s="19">
        <v>10661.45189182739</v>
      </c>
      <c r="X214" s="20">
        <v>-18709.11694576536</v>
      </c>
      <c r="Y214">
        <v>0</v>
      </c>
    </row>
    <row r="215" spans="1:25">
      <c r="A215" s="8">
        <v>214</v>
      </c>
      <c r="B215">
        <v>49</v>
      </c>
      <c r="C215" s="1">
        <v>208.6</v>
      </c>
      <c r="D215" s="2" t="str">
        <f>HYPERLINK("https://torgi.gov.ru/new/public/lots/lot/21000013960000000004_29/(lotInfo:info)", "21000013960000000004_29")</f>
        <v>21000013960000000004_29</v>
      </c>
      <c r="E215" t="s">
        <v>979</v>
      </c>
      <c r="F215" s="3" t="s">
        <v>971</v>
      </c>
      <c r="G215" t="s">
        <v>980</v>
      </c>
      <c r="H215" s="4">
        <v>6834240</v>
      </c>
      <c r="I215" s="4">
        <v>32762.416107382549</v>
      </c>
      <c r="J215" s="5" t="s">
        <v>2078</v>
      </c>
      <c r="K215" s="5">
        <v>15.46</v>
      </c>
      <c r="L215" s="4">
        <v>16381</v>
      </c>
      <c r="M215">
        <v>2119</v>
      </c>
      <c r="N215" t="s">
        <v>39</v>
      </c>
      <c r="O215">
        <v>2</v>
      </c>
      <c r="P215" s="6">
        <v>500</v>
      </c>
      <c r="Q215" t="s">
        <v>31</v>
      </c>
      <c r="R215" t="s">
        <v>51</v>
      </c>
      <c r="S215" s="2" t="str">
        <f>HYPERLINK("https://yandex.ru/maps/?&amp;text=62.087879, 150.521071", "62.087879, 150.521071")</f>
        <v>62.087879, 150.521071</v>
      </c>
      <c r="T215" s="2" t="str">
        <f>HYPERLINK("D:\venv_torgi\env\cache\objs_in_district/62.087879_150.521071.json", "62.087879_150.521071.json")</f>
        <v>62.087879_150.521071.json</v>
      </c>
      <c r="U215" t="s">
        <v>981</v>
      </c>
      <c r="V215" s="7" t="s">
        <v>34</v>
      </c>
      <c r="W215" s="19">
        <v>10661.45189182739</v>
      </c>
      <c r="X215" s="20">
        <v>-22100.964215555159</v>
      </c>
      <c r="Y215">
        <v>0</v>
      </c>
    </row>
    <row r="216" spans="1:25">
      <c r="A216" s="8">
        <v>215</v>
      </c>
      <c r="B216">
        <v>50</v>
      </c>
      <c r="C216" s="1">
        <v>85.5</v>
      </c>
      <c r="D216" s="2" t="str">
        <f>HYPERLINK("https://torgi.gov.ru/new/public/lots/lot/21000004710000000765_1/(lotInfo:info)", "21000004710000000765_1")</f>
        <v>21000004710000000765_1</v>
      </c>
      <c r="E216" t="s">
        <v>982</v>
      </c>
      <c r="F216" s="3" t="s">
        <v>983</v>
      </c>
      <c r="G216" t="s">
        <v>984</v>
      </c>
      <c r="H216" s="4">
        <v>755816</v>
      </c>
      <c r="I216" s="4">
        <v>8839.9532163742697</v>
      </c>
      <c r="J216" s="5" t="s">
        <v>29</v>
      </c>
      <c r="K216" s="5">
        <v>6.9</v>
      </c>
      <c r="L216" s="4">
        <v>736.58</v>
      </c>
      <c r="M216">
        <v>1281</v>
      </c>
      <c r="N216" t="s">
        <v>985</v>
      </c>
      <c r="O216">
        <v>12</v>
      </c>
      <c r="P216" s="6">
        <v>400</v>
      </c>
      <c r="Q216" t="s">
        <v>574</v>
      </c>
      <c r="R216" t="s">
        <v>32</v>
      </c>
      <c r="S216" s="2" t="str">
        <f>HYPERLINK("https://yandex.ru/maps/?&amp;text=55.881545, 38.436638", "55.881545, 38.436638")</f>
        <v>55.881545, 38.436638</v>
      </c>
      <c r="T216" s="2" t="str">
        <f>HYPERLINK("D:\venv_torgi\env\cache\objs_in_district/55.881545_38.436638.json", "55.881545_38.436638.json")</f>
        <v>55.881545_38.436638.json</v>
      </c>
      <c r="U216" t="s">
        <v>986</v>
      </c>
      <c r="V216" s="7" t="s">
        <v>34</v>
      </c>
      <c r="W216" s="19">
        <v>13468.057755033909</v>
      </c>
      <c r="X216" s="17">
        <v>4628.1045386596397</v>
      </c>
      <c r="Y216">
        <v>0</v>
      </c>
    </row>
    <row r="217" spans="1:25">
      <c r="A217" s="8">
        <v>216</v>
      </c>
      <c r="B217">
        <v>50</v>
      </c>
      <c r="C217" s="1">
        <v>169.9</v>
      </c>
      <c r="D217" s="2" t="str">
        <f>HYPERLINK("https://torgi.gov.ru/new/public/lots/lot/21000004710000000856_1/(lotInfo:info)", "21000004710000000856_1")</f>
        <v>21000004710000000856_1</v>
      </c>
      <c r="E217" t="s">
        <v>987</v>
      </c>
      <c r="F217" s="3" t="s">
        <v>988</v>
      </c>
      <c r="G217" t="s">
        <v>989</v>
      </c>
      <c r="H217" s="4">
        <v>2187600</v>
      </c>
      <c r="I217" s="4">
        <v>12875.809299587991</v>
      </c>
      <c r="J217" s="5" t="s">
        <v>29</v>
      </c>
      <c r="K217" s="5">
        <v>1.95</v>
      </c>
      <c r="L217" s="4">
        <v>643.75</v>
      </c>
      <c r="M217">
        <v>6600</v>
      </c>
      <c r="N217" t="s">
        <v>990</v>
      </c>
      <c r="O217">
        <v>20</v>
      </c>
      <c r="P217" s="6">
        <v>200</v>
      </c>
      <c r="Q217" t="s">
        <v>40</v>
      </c>
      <c r="R217" t="s">
        <v>32</v>
      </c>
      <c r="S217" s="2" t="str">
        <f>HYPERLINK("https://yandex.ru/maps/?&amp;text=56.293163, 38.119316", "56.293163, 38.119316")</f>
        <v>56.293163, 38.119316</v>
      </c>
      <c r="T217" s="2" t="str">
        <f>HYPERLINK("D:\venv_torgi\env\cache\objs_in_district/56.293163_38.119316.json", "56.293163_38.119316.json")</f>
        <v>56.293163_38.119316.json</v>
      </c>
      <c r="U217" t="s">
        <v>991</v>
      </c>
      <c r="W217" s="16">
        <v>13468.057755033909</v>
      </c>
      <c r="X217" s="19">
        <v>592.24845544591881</v>
      </c>
      <c r="Y217">
        <v>0</v>
      </c>
    </row>
    <row r="218" spans="1:25">
      <c r="A218" s="8">
        <v>217</v>
      </c>
      <c r="B218">
        <v>50</v>
      </c>
      <c r="C218" s="1">
        <v>79.400000000000006</v>
      </c>
      <c r="D218" s="2" t="str">
        <f>HYPERLINK("https://torgi.gov.ru/new/public/lots/lot/21000004710000001722_1/(lotInfo:info)", "21000004710000001722_1")</f>
        <v>21000004710000001722_1</v>
      </c>
      <c r="E218" t="s">
        <v>992</v>
      </c>
      <c r="F218" s="3" t="s">
        <v>993</v>
      </c>
      <c r="G218" t="s">
        <v>994</v>
      </c>
      <c r="H218" s="4">
        <v>1156450</v>
      </c>
      <c r="I218" s="4">
        <v>14564.86146095718</v>
      </c>
      <c r="J218" s="5" t="s">
        <v>29</v>
      </c>
      <c r="K218" s="5">
        <v>2.73</v>
      </c>
      <c r="L218" s="4">
        <v>662</v>
      </c>
      <c r="M218">
        <v>5331</v>
      </c>
      <c r="N218" t="s">
        <v>995</v>
      </c>
      <c r="O218">
        <v>22</v>
      </c>
      <c r="P218" s="6">
        <v>500</v>
      </c>
      <c r="Q218" t="s">
        <v>31</v>
      </c>
      <c r="R218" t="s">
        <v>32</v>
      </c>
      <c r="S218" s="2" t="str">
        <f>HYPERLINK("https://yandex.ru/maps/?&amp;text=54.848655, 38.248738", "54.848655, 38.248738")</f>
        <v>54.848655, 38.248738</v>
      </c>
      <c r="T218" s="2" t="str">
        <f>HYPERLINK("D:\venv_torgi\env\cache\objs_in_district/54.848655_38.248738.json", "54.848655_38.248738.json")</f>
        <v>54.848655_38.248738.json</v>
      </c>
      <c r="U218" t="s">
        <v>996</v>
      </c>
      <c r="W218" s="16">
        <v>13468.057755033909</v>
      </c>
      <c r="X218" s="18">
        <v>-1096.8037059232699</v>
      </c>
      <c r="Y218">
        <v>0</v>
      </c>
    </row>
    <row r="219" spans="1:25">
      <c r="A219" s="8">
        <v>218</v>
      </c>
      <c r="B219">
        <v>50</v>
      </c>
      <c r="C219" s="1">
        <v>82</v>
      </c>
      <c r="D219" s="2" t="str">
        <f>HYPERLINK("https://torgi.gov.ru/new/public/lots/lot/21000004710000001724_1/(lotInfo:info)", "21000004710000001724_1")</f>
        <v>21000004710000001724_1</v>
      </c>
      <c r="E219" t="s">
        <v>997</v>
      </c>
      <c r="F219" s="3" t="s">
        <v>993</v>
      </c>
      <c r="G219" t="s">
        <v>998</v>
      </c>
      <c r="H219" s="4">
        <v>1269950</v>
      </c>
      <c r="I219" s="4">
        <v>15487.195121951219</v>
      </c>
      <c r="J219" s="5" t="s">
        <v>29</v>
      </c>
      <c r="K219" s="5">
        <v>2.9</v>
      </c>
      <c r="L219" s="4">
        <v>360.16</v>
      </c>
      <c r="M219">
        <v>5340</v>
      </c>
      <c r="N219" t="s">
        <v>995</v>
      </c>
      <c r="O219">
        <v>43</v>
      </c>
      <c r="P219" s="6">
        <v>400</v>
      </c>
      <c r="Q219" t="s">
        <v>31</v>
      </c>
      <c r="R219" t="s">
        <v>32</v>
      </c>
      <c r="S219" s="2" t="str">
        <f>HYPERLINK("https://yandex.ru/maps/?&amp;text=54.851143, 38.245935", "54.851143, 38.245935")</f>
        <v>54.851143, 38.245935</v>
      </c>
      <c r="T219" s="2" t="str">
        <f>HYPERLINK("D:\venv_torgi\env\cache\objs_in_district/54.851143_38.245935.json", "54.851143_38.245935.json")</f>
        <v>54.851143_38.245935.json</v>
      </c>
      <c r="U219" t="s">
        <v>999</v>
      </c>
      <c r="W219" s="16">
        <v>28561.270488224061</v>
      </c>
      <c r="X219" s="17">
        <v>13074.07536627284</v>
      </c>
      <c r="Y219">
        <v>0</v>
      </c>
    </row>
    <row r="220" spans="1:25">
      <c r="A220" s="8">
        <v>219</v>
      </c>
      <c r="B220">
        <v>50</v>
      </c>
      <c r="C220" s="1">
        <v>108</v>
      </c>
      <c r="D220" s="2" t="str">
        <f>HYPERLINK("https://torgi.gov.ru/new/public/lots/lot/21000004710000001361_1/(lotInfo:info)", "21000004710000001361_1")</f>
        <v>21000004710000001361_1</v>
      </c>
      <c r="E220" t="s">
        <v>1000</v>
      </c>
      <c r="F220" s="3" t="s">
        <v>124</v>
      </c>
      <c r="G220" t="s">
        <v>1001</v>
      </c>
      <c r="H220" s="4">
        <v>3536062.5</v>
      </c>
      <c r="I220" s="4">
        <v>32741.319444444449</v>
      </c>
      <c r="J220" s="5" t="s">
        <v>29</v>
      </c>
      <c r="K220" s="5">
        <v>36.869999999999997</v>
      </c>
      <c r="L220" s="4">
        <v>935.46</v>
      </c>
      <c r="M220">
        <v>888</v>
      </c>
      <c r="N220" t="s">
        <v>1002</v>
      </c>
      <c r="O220">
        <v>35</v>
      </c>
      <c r="Q220" t="s">
        <v>31</v>
      </c>
      <c r="R220" t="s">
        <v>32</v>
      </c>
      <c r="S220" s="2" t="str">
        <f>HYPERLINK("https://yandex.ru/maps/?&amp;text=56.434203, 37.159045", "56.434203, 37.159045")</f>
        <v>56.434203, 37.159045</v>
      </c>
      <c r="T220" s="2" t="str">
        <f>HYPERLINK("D:\venv_torgi\env\cache\objs_in_district/56.434203_37.159045.json", "56.434203_37.159045.json")</f>
        <v>56.434203_37.159045.json</v>
      </c>
      <c r="U220" t="s">
        <v>1003</v>
      </c>
      <c r="W220" s="16">
        <v>28561.270488224061</v>
      </c>
      <c r="X220" s="18">
        <v>-4180.0489562203866</v>
      </c>
      <c r="Y220">
        <v>0</v>
      </c>
    </row>
    <row r="221" spans="1:25">
      <c r="A221" s="8">
        <v>220</v>
      </c>
      <c r="B221">
        <v>50</v>
      </c>
      <c r="C221" s="1">
        <v>16.600000000000001</v>
      </c>
      <c r="D221" s="2" t="str">
        <f>HYPERLINK("https://torgi.gov.ru/new/public/lots/lot/21000004710000001532_1/(lotInfo:info)", "21000004710000001532_1")</f>
        <v>21000004710000001532_1</v>
      </c>
      <c r="E221" t="s">
        <v>1004</v>
      </c>
      <c r="F221" s="3" t="s">
        <v>1005</v>
      </c>
      <c r="G221" t="s">
        <v>1006</v>
      </c>
      <c r="H221" s="4">
        <v>694212</v>
      </c>
      <c r="I221" s="4">
        <v>41820</v>
      </c>
      <c r="J221" s="5" t="s">
        <v>29</v>
      </c>
      <c r="K221" s="5">
        <v>4.49</v>
      </c>
      <c r="L221" s="4">
        <v>972.56</v>
      </c>
      <c r="M221">
        <v>9324</v>
      </c>
      <c r="N221" t="s">
        <v>1007</v>
      </c>
      <c r="O221">
        <v>43</v>
      </c>
      <c r="P221" s="6">
        <v>900</v>
      </c>
      <c r="Q221" t="s">
        <v>31</v>
      </c>
      <c r="R221" t="s">
        <v>32</v>
      </c>
      <c r="S221" s="2" t="str">
        <f>HYPERLINK("https://yandex.ru/maps/?&amp;text=55.577638, 38.24289", "55.577638, 38.24289")</f>
        <v>55.577638, 38.24289</v>
      </c>
      <c r="T221" s="2" t="str">
        <f>HYPERLINK("D:\venv_torgi\env\cache\objs_in_district/55.577638_38.24289.json", "55.577638_38.24289.json")</f>
        <v>55.577638_38.24289.json</v>
      </c>
      <c r="U221" t="s">
        <v>1008</v>
      </c>
      <c r="V221" s="7" t="s">
        <v>34</v>
      </c>
      <c r="W221" s="16">
        <v>43230.857511277092</v>
      </c>
      <c r="X221" s="17">
        <v>1410.857511277092</v>
      </c>
      <c r="Y221">
        <v>0</v>
      </c>
    </row>
    <row r="222" spans="1:25">
      <c r="A222" s="8">
        <v>221</v>
      </c>
      <c r="B222">
        <v>50</v>
      </c>
      <c r="C222" s="1">
        <v>18.3</v>
      </c>
      <c r="D222" s="2" t="str">
        <f>HYPERLINK("https://torgi.gov.ru/new/public/lots/lot/21000004710000001428_1/(lotInfo:info)", "21000004710000001428_1")</f>
        <v>21000004710000001428_1</v>
      </c>
      <c r="E222" t="s">
        <v>1009</v>
      </c>
      <c r="F222" s="3" t="s">
        <v>124</v>
      </c>
      <c r="G222" t="s">
        <v>1010</v>
      </c>
      <c r="H222" s="4">
        <v>832000</v>
      </c>
      <c r="I222" s="4">
        <v>45464.480874316941</v>
      </c>
      <c r="J222" s="5" t="s">
        <v>29</v>
      </c>
      <c r="K222" s="5">
        <v>4.13</v>
      </c>
      <c r="L222" s="4">
        <v>454.64</v>
      </c>
      <c r="M222">
        <v>11004</v>
      </c>
      <c r="N222" t="s">
        <v>1011</v>
      </c>
      <c r="O222">
        <v>100</v>
      </c>
      <c r="P222" s="6">
        <v>200</v>
      </c>
      <c r="Q222" t="s">
        <v>31</v>
      </c>
      <c r="R222" t="s">
        <v>32</v>
      </c>
      <c r="S222" s="2" t="str">
        <f>HYPERLINK("https://yandex.ru/maps/?&amp;text=55.753895, 37.874084", "55.753895, 37.874084")</f>
        <v>55.753895, 37.874084</v>
      </c>
      <c r="T222" s="2" t="str">
        <f>HYPERLINK("D:\venv_torgi\env\cache\objs_in_district/55.753895_37.874084.json", "55.753895_37.874084.json")</f>
        <v>55.753895_37.874084.json</v>
      </c>
      <c r="U222" t="s">
        <v>1012</v>
      </c>
      <c r="W222" s="16">
        <v>45464.480874316941</v>
      </c>
      <c r="X222" s="19">
        <v>0</v>
      </c>
      <c r="Y222">
        <v>0</v>
      </c>
    </row>
    <row r="223" spans="1:25">
      <c r="A223" s="8">
        <v>222</v>
      </c>
      <c r="B223">
        <v>50</v>
      </c>
      <c r="C223" s="1">
        <v>13.5</v>
      </c>
      <c r="D223" s="2" t="str">
        <f>HYPERLINK("https://torgi.gov.ru/new/public/lots/lot/21000004710000000552_1/(lotInfo:info)", "21000004710000000552_1")</f>
        <v>21000004710000000552_1</v>
      </c>
      <c r="E223" t="s">
        <v>1013</v>
      </c>
      <c r="F223" s="3" t="s">
        <v>1014</v>
      </c>
      <c r="G223" t="s">
        <v>1015</v>
      </c>
      <c r="H223" s="4">
        <v>627984</v>
      </c>
      <c r="I223" s="4">
        <v>46517.333333333343</v>
      </c>
      <c r="J223" s="5" t="s">
        <v>29</v>
      </c>
      <c r="K223" s="5">
        <v>430.71</v>
      </c>
      <c r="L223" s="4">
        <v>15505.67</v>
      </c>
      <c r="M223">
        <v>108</v>
      </c>
      <c r="N223">
        <v>187961</v>
      </c>
      <c r="O223">
        <v>3</v>
      </c>
      <c r="Q223" t="s">
        <v>31</v>
      </c>
      <c r="R223" t="s">
        <v>32</v>
      </c>
      <c r="T223" s="2" t="str">
        <f>HYPERLINK("D:\venv_torgi\env\cache\objs_in_district/None_None.json", "None_None.json")</f>
        <v>None_None.json</v>
      </c>
      <c r="U223" t="s">
        <v>1016</v>
      </c>
      <c r="V223" s="7" t="s">
        <v>626</v>
      </c>
      <c r="W223" s="16">
        <v>68956.878715519109</v>
      </c>
      <c r="X223" s="17">
        <v>22439.54538218577</v>
      </c>
      <c r="Y223">
        <v>0</v>
      </c>
    </row>
    <row r="224" spans="1:25">
      <c r="A224" s="8">
        <v>223</v>
      </c>
      <c r="B224">
        <v>50</v>
      </c>
      <c r="C224" s="1">
        <v>13.6</v>
      </c>
      <c r="D224" s="2" t="str">
        <f>HYPERLINK("https://torgi.gov.ru/new/public/lots/lot/21000004710000001340_1/(lotInfo:info)", "21000004710000001340_1")</f>
        <v>21000004710000001340_1</v>
      </c>
      <c r="E224" t="s">
        <v>1017</v>
      </c>
      <c r="F224" s="3" t="s">
        <v>1018</v>
      </c>
      <c r="G224" t="s">
        <v>1019</v>
      </c>
      <c r="H224" s="4">
        <v>632646</v>
      </c>
      <c r="I224" s="4">
        <v>46518.088235294119</v>
      </c>
      <c r="J224" s="5" t="s">
        <v>29</v>
      </c>
      <c r="K224" s="5">
        <v>52.39</v>
      </c>
      <c r="L224" s="4">
        <v>1329.09</v>
      </c>
      <c r="M224">
        <v>888</v>
      </c>
      <c r="N224">
        <v>187961</v>
      </c>
      <c r="O224">
        <v>35</v>
      </c>
      <c r="Q224" t="s">
        <v>31</v>
      </c>
      <c r="R224" t="s">
        <v>32</v>
      </c>
      <c r="T224" s="2" t="str">
        <f>HYPERLINK("D:\venv_torgi\env\cache\objs_in_district/None_None.json", "None_None.json")</f>
        <v>None_None.json</v>
      </c>
      <c r="U224" t="s">
        <v>1020</v>
      </c>
      <c r="W224" s="16">
        <v>68956.878715519109</v>
      </c>
      <c r="X224" s="17">
        <v>22438.79048022499</v>
      </c>
      <c r="Y224">
        <v>0</v>
      </c>
    </row>
    <row r="225" spans="1:25">
      <c r="A225" s="8">
        <v>224</v>
      </c>
      <c r="B225">
        <v>50</v>
      </c>
      <c r="C225" s="1">
        <v>46.3</v>
      </c>
      <c r="D225" s="2" t="str">
        <f>HYPERLINK("https://torgi.gov.ru/new/public/lots/lot/21000004710000000452_1/(lotInfo:info)", "21000004710000000452_1")</f>
        <v>21000004710000000452_1</v>
      </c>
      <c r="E225" t="s">
        <v>1021</v>
      </c>
      <c r="F225" s="3" t="s">
        <v>1022</v>
      </c>
      <c r="G225" t="s">
        <v>1023</v>
      </c>
      <c r="H225" s="4">
        <v>2171470</v>
      </c>
      <c r="I225" s="4">
        <v>46900</v>
      </c>
      <c r="J225" s="5" t="s">
        <v>29</v>
      </c>
      <c r="K225" s="5">
        <v>142.99</v>
      </c>
      <c r="L225" s="4">
        <v>1617.24</v>
      </c>
      <c r="M225">
        <v>328</v>
      </c>
      <c r="N225" t="s">
        <v>1024</v>
      </c>
      <c r="O225">
        <v>29</v>
      </c>
      <c r="P225" s="6">
        <v>100</v>
      </c>
      <c r="Q225" t="s">
        <v>31</v>
      </c>
      <c r="R225" t="s">
        <v>32</v>
      </c>
      <c r="S225" s="2" t="str">
        <f>HYPERLINK("https://yandex.ru/maps/?&amp;text=55.548197, 36.371088", "55.548197, 36.371088")</f>
        <v>55.548197, 36.371088</v>
      </c>
      <c r="T225" s="2" t="str">
        <f>HYPERLINK("D:\venv_torgi\env\cache\objs_in_district/55.548197_36.371088.json", "55.548197_36.371088.json")</f>
        <v>55.548197_36.371088.json</v>
      </c>
      <c r="U225" t="s">
        <v>1025</v>
      </c>
      <c r="V225" s="7" t="s">
        <v>34</v>
      </c>
      <c r="W225" s="16">
        <v>43230.857511277092</v>
      </c>
      <c r="X225" s="18">
        <v>-3669.1424887229082</v>
      </c>
      <c r="Y225">
        <v>0</v>
      </c>
    </row>
    <row r="226" spans="1:25">
      <c r="A226" s="8">
        <v>225</v>
      </c>
      <c r="B226">
        <v>50</v>
      </c>
      <c r="C226" s="1">
        <v>78.5</v>
      </c>
      <c r="D226" s="2" t="str">
        <f>HYPERLINK("https://torgi.gov.ru/new/public/lots/lot/21000004710000000454_1/(lotInfo:info)", "21000004710000000454_1")</f>
        <v>21000004710000000454_1</v>
      </c>
      <c r="E226" t="s">
        <v>1026</v>
      </c>
      <c r="F226" s="3" t="s">
        <v>1027</v>
      </c>
      <c r="G226" t="s">
        <v>1028</v>
      </c>
      <c r="H226" s="4">
        <v>5447880</v>
      </c>
      <c r="I226" s="4">
        <v>69399.745222929938</v>
      </c>
      <c r="J226" s="5" t="s">
        <v>29</v>
      </c>
      <c r="K226" s="5">
        <v>16.37</v>
      </c>
      <c r="L226" s="4">
        <v>2103</v>
      </c>
      <c r="M226">
        <v>4239</v>
      </c>
      <c r="N226" t="s">
        <v>1029</v>
      </c>
      <c r="O226">
        <v>33</v>
      </c>
      <c r="P226" s="6">
        <v>500</v>
      </c>
      <c r="Q226" t="s">
        <v>31</v>
      </c>
      <c r="R226" t="s">
        <v>32</v>
      </c>
      <c r="S226" s="2" t="str">
        <f>HYPERLINK("https://yandex.ru/maps/?&amp;text=55.35637, 37.525163", "55.35637, 37.525163")</f>
        <v>55.35637, 37.525163</v>
      </c>
      <c r="T226" s="2" t="str">
        <f>HYPERLINK("D:\venv_torgi\env\cache\objs_in_district/55.35637_37.525163.json", "55.35637_37.525163.json")</f>
        <v>55.35637_37.525163.json</v>
      </c>
      <c r="U226" t="s">
        <v>1030</v>
      </c>
      <c r="V226" s="7" t="s">
        <v>34</v>
      </c>
      <c r="W226" s="16">
        <v>28561.270488224061</v>
      </c>
      <c r="X226" s="18">
        <v>-40838.474734705873</v>
      </c>
      <c r="Y226">
        <v>0</v>
      </c>
    </row>
    <row r="227" spans="1:25">
      <c r="A227" s="8">
        <v>226</v>
      </c>
      <c r="B227">
        <v>50</v>
      </c>
      <c r="C227" s="1">
        <v>18.2</v>
      </c>
      <c r="D227" s="2" t="str">
        <f>HYPERLINK("https://torgi.gov.ru/new/public/lots/lot/21000004710000000239_1/(lotInfo:info)", "21000004710000000239_1")</f>
        <v>21000004710000000239_1</v>
      </c>
      <c r="E227" t="s">
        <v>1031</v>
      </c>
      <c r="F227" s="3" t="s">
        <v>1032</v>
      </c>
      <c r="G227" t="s">
        <v>1033</v>
      </c>
      <c r="H227" s="4">
        <v>1562542</v>
      </c>
      <c r="I227" s="4">
        <v>85853.956043956045</v>
      </c>
      <c r="J227" s="5" t="s">
        <v>29</v>
      </c>
      <c r="K227" s="10">
        <v>30.39</v>
      </c>
      <c r="L227" s="11">
        <v>9539.33</v>
      </c>
      <c r="M227">
        <v>3196</v>
      </c>
      <c r="N227" t="s">
        <v>1034</v>
      </c>
      <c r="O227" t="s">
        <v>1035</v>
      </c>
      <c r="P227" s="6">
        <v>100</v>
      </c>
      <c r="Q227" t="s">
        <v>31</v>
      </c>
      <c r="R227" t="s">
        <v>32</v>
      </c>
      <c r="S227" s="2" t="str">
        <f>HYPERLINK("https://yandex.ru/maps/?&amp;text=55.928658, 37.800766", "55.928658, 37.800766")</f>
        <v>55.928658, 37.800766</v>
      </c>
      <c r="T227" s="12" t="str">
        <f>HYPERLINK("D:\venv_torgi\env\cache\objs_in_district/55.928658_37.800766.json", "55.928658_37.800766.json")</f>
        <v>55.928658_37.800766.json</v>
      </c>
      <c r="U227" t="s">
        <v>1036</v>
      </c>
      <c r="V227" s="7" t="s">
        <v>34</v>
      </c>
      <c r="W227" s="16">
        <v>68956.878715519109</v>
      </c>
      <c r="X227" s="18">
        <v>-16897.077328436939</v>
      </c>
      <c r="Y227">
        <v>0</v>
      </c>
    </row>
    <row r="228" spans="1:25">
      <c r="A228" s="8">
        <v>227</v>
      </c>
      <c r="B228">
        <v>50</v>
      </c>
      <c r="C228" s="1">
        <v>39.5</v>
      </c>
      <c r="D228" s="2" t="str">
        <f>HYPERLINK("https://torgi.gov.ru/new/public/lots/lot/21000004710000000472_1/(lotInfo:info)", "21000004710000000472_1")</f>
        <v>21000004710000000472_1</v>
      </c>
      <c r="E228" t="s">
        <v>1037</v>
      </c>
      <c r="F228" s="3" t="s">
        <v>1038</v>
      </c>
      <c r="G228" t="s">
        <v>1039</v>
      </c>
      <c r="H228" s="4">
        <v>3562574</v>
      </c>
      <c r="I228" s="4">
        <v>90191.746835443031</v>
      </c>
      <c r="J228" s="5" t="s">
        <v>29</v>
      </c>
      <c r="K228" s="5">
        <v>16.2</v>
      </c>
      <c r="L228" s="4">
        <v>10021.219999999999</v>
      </c>
      <c r="M228">
        <v>5567</v>
      </c>
      <c r="N228">
        <v>216639</v>
      </c>
      <c r="O228">
        <v>9</v>
      </c>
      <c r="P228" s="6">
        <v>600</v>
      </c>
      <c r="Q228" t="s">
        <v>31</v>
      </c>
      <c r="R228" t="s">
        <v>32</v>
      </c>
      <c r="S228" s="2" t="str">
        <f>HYPERLINK("https://yandex.ru/maps/?&amp;text=55.937003, 37.852572", "55.937003, 37.852572")</f>
        <v>55.937003, 37.852572</v>
      </c>
      <c r="T228" s="2" t="str">
        <f>HYPERLINK("D:\venv_torgi\env\cache\objs_in_district/55.937003_37.852572.json", "55.937003_37.852572.json")</f>
        <v>55.937003_37.852572.json</v>
      </c>
      <c r="U228" t="s">
        <v>1040</v>
      </c>
      <c r="V228" s="7" t="s">
        <v>34</v>
      </c>
      <c r="W228" s="16">
        <v>68956.878715519109</v>
      </c>
      <c r="X228" s="18">
        <v>-21234.868119923922</v>
      </c>
      <c r="Y228">
        <v>0</v>
      </c>
    </row>
    <row r="229" spans="1:25">
      <c r="A229" s="8">
        <v>228</v>
      </c>
      <c r="B229">
        <v>50</v>
      </c>
      <c r="C229" s="1">
        <v>13.7</v>
      </c>
      <c r="D229" s="2" t="str">
        <f>HYPERLINK("https://torgi.gov.ru/new/public/lots/lot/21000004710000001028_1/(lotInfo:info)", "21000004710000001028_1")</f>
        <v>21000004710000001028_1</v>
      </c>
      <c r="E229" t="s">
        <v>1041</v>
      </c>
      <c r="F229" s="3" t="s">
        <v>1042</v>
      </c>
      <c r="G229" t="s">
        <v>1043</v>
      </c>
      <c r="H229" s="4">
        <v>1371016</v>
      </c>
      <c r="I229" s="4">
        <v>100074.1605839416</v>
      </c>
      <c r="J229" s="5" t="s">
        <v>29</v>
      </c>
      <c r="K229" s="5">
        <v>12.69</v>
      </c>
      <c r="L229" s="4">
        <v>2440.83</v>
      </c>
      <c r="M229">
        <v>7887</v>
      </c>
      <c r="N229">
        <v>216639</v>
      </c>
      <c r="O229">
        <v>41</v>
      </c>
      <c r="P229" s="6">
        <v>300</v>
      </c>
      <c r="Q229" t="s">
        <v>31</v>
      </c>
      <c r="R229" t="s">
        <v>32</v>
      </c>
      <c r="S229" s="2" t="str">
        <f>HYPERLINK("https://yandex.ru/maps/?&amp;text=55.923096, 37.85644", "55.923096, 37.85644")</f>
        <v>55.923096, 37.85644</v>
      </c>
      <c r="T229" s="2" t="str">
        <f>HYPERLINK("D:\venv_torgi\env\cache\objs_in_district/55.923096_37.85644.json", "55.923096_37.85644.json")</f>
        <v>55.923096_37.85644.json</v>
      </c>
      <c r="U229" t="s">
        <v>1044</v>
      </c>
      <c r="V229" s="7" t="s">
        <v>34</v>
      </c>
      <c r="W229" s="16">
        <v>68956.878715519109</v>
      </c>
      <c r="X229" s="18">
        <v>-31117.281868422491</v>
      </c>
      <c r="Y229">
        <v>0</v>
      </c>
    </row>
    <row r="230" spans="1:25">
      <c r="A230" s="8">
        <v>229</v>
      </c>
      <c r="B230">
        <v>50</v>
      </c>
      <c r="C230" s="1">
        <v>45.7</v>
      </c>
      <c r="D230" s="2" t="str">
        <f>HYPERLINK("https://torgi.gov.ru/new/public/lots/lot/21000004710000000512_1/(lotInfo:info)", "21000004710000000512_1")</f>
        <v>21000004710000000512_1</v>
      </c>
      <c r="E230" t="s">
        <v>1045</v>
      </c>
      <c r="F230" s="3" t="s">
        <v>1046</v>
      </c>
      <c r="G230" t="s">
        <v>1047</v>
      </c>
      <c r="H230" s="4">
        <v>5296060</v>
      </c>
      <c r="I230" s="4">
        <v>115887.52735229761</v>
      </c>
      <c r="J230" s="5" t="s">
        <v>29</v>
      </c>
      <c r="K230" s="5">
        <v>14.13</v>
      </c>
      <c r="L230" s="4">
        <v>927.1</v>
      </c>
      <c r="M230">
        <v>8201</v>
      </c>
      <c r="N230" t="s">
        <v>1011</v>
      </c>
      <c r="O230">
        <v>125</v>
      </c>
      <c r="P230" s="6">
        <v>300</v>
      </c>
      <c r="Q230" t="s">
        <v>31</v>
      </c>
      <c r="R230" t="s">
        <v>32</v>
      </c>
      <c r="S230" s="2" t="str">
        <f>HYPERLINK("https://yandex.ru/maps/?&amp;text=55.76424, 37.85888", "55.76424, 37.85888")</f>
        <v>55.76424, 37.85888</v>
      </c>
      <c r="T230" s="2" t="str">
        <f>HYPERLINK("D:\venv_torgi\env\cache\objs_in_district/55.76424_37.85888.json", "55.76424_37.85888.json")</f>
        <v>55.76424_37.85888.json</v>
      </c>
      <c r="U230" t="s">
        <v>1048</v>
      </c>
      <c r="V230" s="7" t="s">
        <v>34</v>
      </c>
      <c r="W230" s="16">
        <v>125553.4561120147</v>
      </c>
      <c r="X230" s="17">
        <v>9665.9287597171351</v>
      </c>
      <c r="Y230">
        <v>0</v>
      </c>
    </row>
    <row r="231" spans="1:25">
      <c r="A231" s="8">
        <v>230</v>
      </c>
      <c r="B231">
        <v>50</v>
      </c>
      <c r="C231" s="1">
        <v>20.8</v>
      </c>
      <c r="D231" s="2" t="str">
        <f>HYPERLINK("https://torgi.gov.ru/new/public/lots/lot/21000004710000000453_1/(lotInfo:info)", "21000004710000000453_1")</f>
        <v>21000004710000000453_1</v>
      </c>
      <c r="E231" t="s">
        <v>1049</v>
      </c>
      <c r="F231" s="3" t="s">
        <v>1027</v>
      </c>
      <c r="G231" t="s">
        <v>1050</v>
      </c>
      <c r="H231" s="4">
        <v>2608278</v>
      </c>
      <c r="I231" s="4">
        <v>125397.98076923079</v>
      </c>
      <c r="J231" s="5" t="s">
        <v>29</v>
      </c>
      <c r="K231" s="5">
        <v>16.399999999999999</v>
      </c>
      <c r="L231" s="4">
        <v>995.21</v>
      </c>
      <c r="M231">
        <v>7647</v>
      </c>
      <c r="N231" t="s">
        <v>1029</v>
      </c>
      <c r="O231">
        <v>126</v>
      </c>
      <c r="P231" s="6">
        <v>800</v>
      </c>
      <c r="Q231" t="s">
        <v>31</v>
      </c>
      <c r="R231" t="s">
        <v>32</v>
      </c>
      <c r="S231" s="2" t="str">
        <f>HYPERLINK("https://yandex.ru/maps/?&amp;text=55.375521, 37.537658", "55.375521, 37.537658")</f>
        <v>55.375521, 37.537658</v>
      </c>
      <c r="T231" s="2" t="str">
        <f>HYPERLINK("D:\venv_torgi\env\cache\objs_in_district/55.375521_37.537658.json", "55.375521_37.537658.json")</f>
        <v>55.375521_37.537658.json</v>
      </c>
      <c r="U231" t="s">
        <v>1051</v>
      </c>
      <c r="V231" s="7" t="s">
        <v>34</v>
      </c>
      <c r="W231" s="16">
        <v>125553.4561120147</v>
      </c>
      <c r="X231" s="19">
        <v>155.47534278394599</v>
      </c>
      <c r="Y231">
        <v>0</v>
      </c>
    </row>
    <row r="232" spans="1:25">
      <c r="A232" s="8">
        <v>231</v>
      </c>
      <c r="B232">
        <v>50</v>
      </c>
      <c r="C232" s="1">
        <v>14.8</v>
      </c>
      <c r="D232" s="2" t="str">
        <f>HYPERLINK("https://torgi.gov.ru/new/public/lots/lot/21000002210000000160_1/(lotInfo:info)", "21000002210000000160_1")</f>
        <v>21000002210000000160_1</v>
      </c>
      <c r="E232" t="s">
        <v>1052</v>
      </c>
      <c r="F232" s="3" t="s">
        <v>1053</v>
      </c>
      <c r="G232" t="s">
        <v>1054</v>
      </c>
      <c r="H232" s="4">
        <v>3110452.7</v>
      </c>
      <c r="I232" s="4">
        <v>210165.72297297299</v>
      </c>
      <c r="J232" s="5" t="s">
        <v>29</v>
      </c>
      <c r="K232" s="5">
        <v>42.57</v>
      </c>
      <c r="L232" s="4">
        <v>52541.25</v>
      </c>
      <c r="M232">
        <v>4937</v>
      </c>
      <c r="N232">
        <v>2464</v>
      </c>
      <c r="O232">
        <v>4</v>
      </c>
      <c r="Q232" t="s">
        <v>31</v>
      </c>
      <c r="R232" t="s">
        <v>32</v>
      </c>
      <c r="T232" s="2" t="str">
        <f>HYPERLINK("D:\venv_torgi\env\cache\objs_in_district/None_None.json", "None_None.json")</f>
        <v>None_None.json</v>
      </c>
      <c r="U232" t="s">
        <v>1055</v>
      </c>
      <c r="V232" s="7" t="s">
        <v>34</v>
      </c>
      <c r="W232" s="16">
        <v>68956.878715519109</v>
      </c>
      <c r="X232" s="18">
        <v>-141208.84425745389</v>
      </c>
      <c r="Y232">
        <v>0</v>
      </c>
    </row>
    <row r="233" spans="1:25">
      <c r="A233" s="8">
        <v>232</v>
      </c>
      <c r="B233">
        <v>51</v>
      </c>
      <c r="C233" s="1">
        <v>387.9</v>
      </c>
      <c r="D233" s="2" t="str">
        <f>HYPERLINK("https://torgi.gov.ru/new/public/lots/lot/22000023110000000005_1/(lotInfo:info)", "22000023110000000005_1")</f>
        <v>22000023110000000005_1</v>
      </c>
      <c r="E233" t="s">
        <v>1056</v>
      </c>
      <c r="F233" s="3" t="s">
        <v>1057</v>
      </c>
      <c r="G233" t="s">
        <v>1058</v>
      </c>
      <c r="H233" s="4">
        <v>1346000</v>
      </c>
      <c r="I233" s="4">
        <v>3469.9664862077861</v>
      </c>
      <c r="J233" s="5" t="s">
        <v>29</v>
      </c>
      <c r="K233" s="10">
        <v>2.5499999999999998</v>
      </c>
      <c r="L233" s="11">
        <v>578.33000000000004</v>
      </c>
      <c r="M233">
        <v>1359</v>
      </c>
      <c r="N233" t="s">
        <v>1059</v>
      </c>
      <c r="O233" t="s">
        <v>947</v>
      </c>
      <c r="P233" s="6">
        <v>300</v>
      </c>
      <c r="Q233" t="s">
        <v>31</v>
      </c>
      <c r="R233" t="s">
        <v>32</v>
      </c>
      <c r="S233" s="2" t="str">
        <f>HYPERLINK("https://yandex.ru/maps/?&amp;text=68.812079, 32.786397", "68.812079, 32.786397")</f>
        <v>68.812079, 32.786397</v>
      </c>
      <c r="T233" s="12" t="str">
        <f>HYPERLINK("D:\venv_torgi\env\cache\objs_in_district/68.812079_32.786397.json", "68.812079_32.786397.json")</f>
        <v>68.812079_32.786397.json</v>
      </c>
      <c r="U233" t="s">
        <v>1060</v>
      </c>
      <c r="V233" s="7" t="s">
        <v>34</v>
      </c>
      <c r="W233" s="16">
        <v>4605.2933995586654</v>
      </c>
      <c r="X233" s="21">
        <v>1135.3269133508791</v>
      </c>
      <c r="Y233">
        <v>0</v>
      </c>
    </row>
    <row r="234" spans="1:25">
      <c r="A234" s="8">
        <v>234</v>
      </c>
      <c r="B234">
        <v>51</v>
      </c>
      <c r="C234" s="1">
        <v>642.6</v>
      </c>
      <c r="D234" s="2" t="str">
        <f>HYPERLINK("https://torgi.gov.ru/new/public/lots/lot/22000011690000000016_3/(lotInfo:info)", "22000011690000000016_3")</f>
        <v>22000011690000000016_3</v>
      </c>
      <c r="E234" t="s">
        <v>1061</v>
      </c>
      <c r="F234" s="3" t="s">
        <v>1062</v>
      </c>
      <c r="G234" t="s">
        <v>1063</v>
      </c>
      <c r="H234" s="4">
        <v>3200000</v>
      </c>
      <c r="I234" s="4">
        <v>4979.7696856520388</v>
      </c>
      <c r="J234" s="5" t="s">
        <v>29</v>
      </c>
      <c r="K234" s="5">
        <v>2.23</v>
      </c>
      <c r="L234" s="4">
        <v>452.64</v>
      </c>
      <c r="M234">
        <v>2229</v>
      </c>
      <c r="N234" t="s">
        <v>1064</v>
      </c>
      <c r="O234">
        <v>11</v>
      </c>
      <c r="P234" s="6">
        <v>800</v>
      </c>
      <c r="Q234" t="s">
        <v>31</v>
      </c>
      <c r="R234" t="s">
        <v>32</v>
      </c>
      <c r="S234" s="2" t="str">
        <f>HYPERLINK("https://yandex.ru/maps/?&amp;text=67.661255, 33.721024", "67.661255, 33.721024")</f>
        <v>67.661255, 33.721024</v>
      </c>
      <c r="T234" s="2" t="str">
        <f>HYPERLINK("D:\venv_torgi\env\cache\objs_in_district/67.661255_33.721024.json", "67.661255_33.721024.json")</f>
        <v>67.661255_33.721024.json</v>
      </c>
      <c r="U234" t="s">
        <v>1065</v>
      </c>
      <c r="V234" s="7" t="s">
        <v>39</v>
      </c>
      <c r="W234" s="19">
        <v>4605.2933995586654</v>
      </c>
      <c r="X234" s="20">
        <v>-374.47628609337329</v>
      </c>
      <c r="Y234">
        <v>0</v>
      </c>
    </row>
    <row r="235" spans="1:25">
      <c r="A235" s="8">
        <v>235</v>
      </c>
      <c r="B235">
        <v>51</v>
      </c>
      <c r="C235" s="1">
        <v>32.5</v>
      </c>
      <c r="D235" s="2" t="str">
        <f>HYPERLINK("https://torgi.gov.ru/new/public/lots/lot/22000023110000000004_1/(lotInfo:info)", "22000023110000000004_1")</f>
        <v>22000023110000000004_1</v>
      </c>
      <c r="E235" t="s">
        <v>1066</v>
      </c>
      <c r="F235" s="3" t="s">
        <v>1067</v>
      </c>
      <c r="G235" t="s">
        <v>1068</v>
      </c>
      <c r="H235" s="4">
        <v>503875</v>
      </c>
      <c r="I235" s="4">
        <v>15503.846153846151</v>
      </c>
      <c r="J235" s="5" t="s">
        <v>29</v>
      </c>
      <c r="K235" s="10">
        <v>8.0399999999999991</v>
      </c>
      <c r="L235" s="11">
        <v>1937.98</v>
      </c>
      <c r="M235">
        <v>1929</v>
      </c>
      <c r="N235" t="s">
        <v>1069</v>
      </c>
      <c r="O235" t="s">
        <v>1070</v>
      </c>
      <c r="P235" s="6">
        <v>200</v>
      </c>
      <c r="Q235" t="s">
        <v>31</v>
      </c>
      <c r="R235" t="s">
        <v>32</v>
      </c>
      <c r="S235" s="2" t="str">
        <f>HYPERLINK("https://yandex.ru/maps/?&amp;text=68.815881, 32.828115", "68.815881, 32.828115")</f>
        <v>68.815881, 32.828115</v>
      </c>
      <c r="T235" s="12" t="str">
        <f>HYPERLINK("D:\venv_torgi\env\cache\objs_in_district/68.815881_32.828115.json", "68.815881_32.828115.json")</f>
        <v>68.815881_32.828115.json</v>
      </c>
      <c r="U235" t="s">
        <v>1071</v>
      </c>
      <c r="V235" s="7" t="s">
        <v>39</v>
      </c>
      <c r="W235" s="19">
        <v>25005.921007216992</v>
      </c>
      <c r="X235" s="21">
        <v>9502.0748533708411</v>
      </c>
      <c r="Y235">
        <v>0</v>
      </c>
    </row>
    <row r="236" spans="1:25">
      <c r="A236" s="8">
        <v>236</v>
      </c>
      <c r="B236">
        <v>51</v>
      </c>
      <c r="C236" s="1">
        <v>32.700000000000003</v>
      </c>
      <c r="D236" s="2" t="str">
        <f>HYPERLINK("https://torgi.gov.ru/new/public/lots/lot/22000023110000000002_1/(lotInfo:info)", "22000023110000000002_1")</f>
        <v>22000023110000000002_1</v>
      </c>
      <c r="E236" t="s">
        <v>1072</v>
      </c>
      <c r="F236" s="3" t="s">
        <v>1073</v>
      </c>
      <c r="G236" t="s">
        <v>1068</v>
      </c>
      <c r="H236" s="4">
        <v>655500</v>
      </c>
      <c r="I236" s="4">
        <v>20045.871559633029</v>
      </c>
      <c r="J236" s="5" t="s">
        <v>29</v>
      </c>
      <c r="K236" s="10">
        <v>10.39</v>
      </c>
      <c r="L236" s="11">
        <v>2505.73</v>
      </c>
      <c r="M236">
        <v>1929</v>
      </c>
      <c r="N236" t="s">
        <v>1069</v>
      </c>
      <c r="O236" t="s">
        <v>1070</v>
      </c>
      <c r="P236" s="6">
        <v>200</v>
      </c>
      <c r="Q236" t="s">
        <v>31</v>
      </c>
      <c r="R236" t="s">
        <v>32</v>
      </c>
      <c r="S236" s="2" t="str">
        <f>HYPERLINK("https://yandex.ru/maps/?&amp;text=68.815881, 32.828115", "68.815881, 32.828115")</f>
        <v>68.815881, 32.828115</v>
      </c>
      <c r="T236" s="12" t="str">
        <f>HYPERLINK("D:\venv_torgi\env\cache\objs_in_district/68.815881_32.828115.json", "68.815881_32.828115.json")</f>
        <v>68.815881_32.828115.json</v>
      </c>
      <c r="U236" t="s">
        <v>1074</v>
      </c>
      <c r="V236" s="7" t="s">
        <v>39</v>
      </c>
      <c r="W236" s="19">
        <v>25005.921007216992</v>
      </c>
      <c r="X236" s="21">
        <v>4960.0494475839623</v>
      </c>
      <c r="Y236">
        <v>0</v>
      </c>
    </row>
    <row r="237" spans="1:25">
      <c r="A237" s="8">
        <v>237</v>
      </c>
      <c r="B237">
        <v>51</v>
      </c>
      <c r="C237" s="1">
        <v>36.1</v>
      </c>
      <c r="D237" s="2" t="str">
        <f>HYPERLINK("https://torgi.gov.ru/new/public/lots/lot/21000007760000000002_1/(lotInfo:info)", "21000007760000000002_1")</f>
        <v>21000007760000000002_1</v>
      </c>
      <c r="E237" t="s">
        <v>1075</v>
      </c>
      <c r="F237" s="3" t="s">
        <v>1076</v>
      </c>
      <c r="G237" t="s">
        <v>1077</v>
      </c>
      <c r="H237" s="4">
        <v>822500</v>
      </c>
      <c r="I237" s="4">
        <v>22783.933518005539</v>
      </c>
      <c r="J237" s="5" t="s">
        <v>29</v>
      </c>
      <c r="K237" s="5">
        <v>4.5</v>
      </c>
      <c r="L237" s="4">
        <v>1265.72</v>
      </c>
      <c r="M237">
        <v>5064</v>
      </c>
      <c r="N237" t="s">
        <v>1078</v>
      </c>
      <c r="O237">
        <v>18</v>
      </c>
      <c r="P237" s="6">
        <v>800</v>
      </c>
      <c r="Q237" t="s">
        <v>31</v>
      </c>
      <c r="R237" t="s">
        <v>32</v>
      </c>
      <c r="S237" s="2" t="str">
        <f>HYPERLINK("https://yandex.ru/maps/?&amp;text=68.94387, 33.10301", "68.94387, 33.10301")</f>
        <v>68.94387, 33.10301</v>
      </c>
      <c r="T237" s="2" t="str">
        <f>HYPERLINK("D:\venv_torgi\env\cache\objs_in_district/68.94387_33.10301.json", "68.94387_33.10301.json")</f>
        <v>68.94387_33.10301.json</v>
      </c>
      <c r="U237" t="s">
        <v>1079</v>
      </c>
      <c r="V237" s="7" t="s">
        <v>34</v>
      </c>
      <c r="W237" s="19">
        <v>28791.780206219712</v>
      </c>
      <c r="X237" s="21">
        <v>6007.8466882141729</v>
      </c>
      <c r="Y237">
        <v>0</v>
      </c>
    </row>
    <row r="238" spans="1:25">
      <c r="A238" s="8">
        <v>238</v>
      </c>
      <c r="B238">
        <v>51</v>
      </c>
      <c r="C238" s="1">
        <v>78.599999999999994</v>
      </c>
      <c r="D238" s="2" t="str">
        <f>HYPERLINK("https://torgi.gov.ru/new/public/lots/lot/21000007760000000001_1/(lotInfo:info)", "21000007760000000001_1")</f>
        <v>21000007760000000001_1</v>
      </c>
      <c r="E238" t="s">
        <v>1080</v>
      </c>
      <c r="F238" s="3" t="s">
        <v>1081</v>
      </c>
      <c r="G238" t="s">
        <v>1082</v>
      </c>
      <c r="H238" s="4">
        <v>2788800</v>
      </c>
      <c r="I238" s="4">
        <v>35480.916030534347</v>
      </c>
      <c r="J238" s="5" t="s">
        <v>29</v>
      </c>
      <c r="K238" s="5">
        <v>13.61</v>
      </c>
      <c r="L238" s="4">
        <v>3225.45</v>
      </c>
      <c r="M238">
        <v>2607</v>
      </c>
      <c r="N238" t="s">
        <v>1078</v>
      </c>
      <c r="O238">
        <v>11</v>
      </c>
      <c r="P238" s="6">
        <v>1100</v>
      </c>
      <c r="Q238" t="s">
        <v>31</v>
      </c>
      <c r="R238" t="s">
        <v>32</v>
      </c>
      <c r="S238" s="2" t="str">
        <f>HYPERLINK("https://yandex.ru/maps/?&amp;text=68.93968, 33.11737", "68.93968, 33.11737")</f>
        <v>68.93968, 33.11737</v>
      </c>
      <c r="T238" s="2" t="str">
        <f>HYPERLINK("D:\venv_torgi\env\cache\objs_in_district/68.93968_33.11737.json", "68.93968_33.11737.json")</f>
        <v>68.93968_33.11737.json</v>
      </c>
      <c r="U238" t="s">
        <v>1083</v>
      </c>
      <c r="V238" s="7" t="s">
        <v>34</v>
      </c>
      <c r="W238" s="19">
        <v>28791.780206219712</v>
      </c>
      <c r="X238" s="20">
        <v>-6689.1358243146351</v>
      </c>
      <c r="Y238">
        <v>0</v>
      </c>
    </row>
    <row r="239" spans="1:25">
      <c r="A239" s="8">
        <v>239</v>
      </c>
      <c r="B239">
        <v>52</v>
      </c>
      <c r="C239" s="1">
        <v>213.3</v>
      </c>
      <c r="D239" s="2" t="str">
        <f>HYPERLINK("https://torgi.gov.ru/new/public/lots/lot/21000019800000000012_2/(lotInfo:info)", "21000019800000000012_2")</f>
        <v>21000019800000000012_2</v>
      </c>
      <c r="E239" t="s">
        <v>1084</v>
      </c>
      <c r="F239" s="3" t="s">
        <v>1085</v>
      </c>
      <c r="G239" t="s">
        <v>1086</v>
      </c>
      <c r="H239" s="4">
        <v>720000</v>
      </c>
      <c r="I239" s="4">
        <v>3375.5274261603372</v>
      </c>
      <c r="J239" s="5" t="s">
        <v>2079</v>
      </c>
      <c r="K239" s="5">
        <v>0.16</v>
      </c>
      <c r="L239" s="4">
        <v>675</v>
      </c>
      <c r="M239">
        <v>21207</v>
      </c>
      <c r="N239" t="s">
        <v>1087</v>
      </c>
      <c r="O239">
        <v>5</v>
      </c>
      <c r="P239" s="6">
        <v>400</v>
      </c>
      <c r="Q239" t="s">
        <v>574</v>
      </c>
      <c r="R239" t="s">
        <v>32</v>
      </c>
      <c r="S239" s="2" t="str">
        <f>HYPERLINK("https://yandex.ru/maps/?&amp;text=56.6465315, 43.464727", "56.6465315, 43.464727")</f>
        <v>56.6465315, 43.464727</v>
      </c>
      <c r="T239" s="2" t="str">
        <f>HYPERLINK("D:\venv_torgi\env\cache\objs_in_district/56.6465315_43.464727.json", "56.6465315_43.464727.json")</f>
        <v>56.6465315_43.464727.json</v>
      </c>
      <c r="U239" t="s">
        <v>1088</v>
      </c>
      <c r="V239" s="7" t="s">
        <v>128</v>
      </c>
      <c r="W239" s="19">
        <v>10661.45189182739</v>
      </c>
      <c r="X239" s="21">
        <v>7285.9244656670562</v>
      </c>
      <c r="Y239">
        <v>0</v>
      </c>
    </row>
    <row r="240" spans="1:25">
      <c r="A240" s="8">
        <v>240</v>
      </c>
      <c r="B240">
        <v>52</v>
      </c>
      <c r="C240" s="1">
        <v>150.80000000000001</v>
      </c>
      <c r="D240" s="2" t="str">
        <f>HYPERLINK("https://torgi.gov.ru/new/public/lots/lot/21000019800000000012_1/(lotInfo:info)", "21000019800000000012_1")</f>
        <v>21000019800000000012_1</v>
      </c>
      <c r="E240" t="s">
        <v>1089</v>
      </c>
      <c r="F240" s="3" t="s">
        <v>1085</v>
      </c>
      <c r="G240" t="s">
        <v>1090</v>
      </c>
      <c r="H240" s="4">
        <v>520000</v>
      </c>
      <c r="I240" s="4">
        <v>3448.2758620689651</v>
      </c>
      <c r="J240" s="5" t="s">
        <v>2079</v>
      </c>
      <c r="K240" s="5">
        <v>0.17</v>
      </c>
      <c r="L240" s="4">
        <v>689.6</v>
      </c>
      <c r="M240">
        <v>20709</v>
      </c>
      <c r="N240" t="s">
        <v>1087</v>
      </c>
      <c r="O240">
        <v>5</v>
      </c>
      <c r="P240" s="6">
        <v>400</v>
      </c>
      <c r="Q240" t="s">
        <v>574</v>
      </c>
      <c r="R240" t="s">
        <v>32</v>
      </c>
      <c r="S240" s="2" t="str">
        <f>HYPERLINK("https://yandex.ru/maps/?&amp;text=56.6463735, 43.4647325", "56.6463735, 43.4647325")</f>
        <v>56.6463735, 43.4647325</v>
      </c>
      <c r="T240" s="2" t="str">
        <f>HYPERLINK("D:\venv_torgi\env\cache\objs_in_district/56.6463735_43.4647325.json", "56.6463735_43.4647325.json")</f>
        <v>56.6463735_43.4647325.json</v>
      </c>
      <c r="U240" t="s">
        <v>1091</v>
      </c>
      <c r="V240" s="7" t="s">
        <v>122</v>
      </c>
      <c r="W240" s="19">
        <v>25005.921007216992</v>
      </c>
      <c r="X240" s="21">
        <v>21557.645145148032</v>
      </c>
      <c r="Y240">
        <v>0</v>
      </c>
    </row>
    <row r="241" spans="1:25">
      <c r="A241" s="8">
        <v>241</v>
      </c>
      <c r="B241">
        <v>52</v>
      </c>
      <c r="C241" s="1">
        <v>726</v>
      </c>
      <c r="D241" s="2" t="str">
        <f>HYPERLINK("https://torgi.gov.ru/new/public/lots/lot/21000012580000000003_1/(lotInfo:info)", "21000012580000000003_1")</f>
        <v>21000012580000000003_1</v>
      </c>
      <c r="E241" t="s">
        <v>1092</v>
      </c>
      <c r="F241" s="3" t="s">
        <v>1093</v>
      </c>
      <c r="G241" t="s">
        <v>1094</v>
      </c>
      <c r="H241" s="4">
        <v>4936000</v>
      </c>
      <c r="I241" s="4">
        <v>6798.8980716253454</v>
      </c>
      <c r="J241" s="5" t="s">
        <v>2078</v>
      </c>
      <c r="K241" s="5">
        <v>1.68</v>
      </c>
      <c r="L241" s="4">
        <v>377.67</v>
      </c>
      <c r="M241">
        <v>4050</v>
      </c>
      <c r="O241">
        <v>18</v>
      </c>
      <c r="Q241" t="s">
        <v>31</v>
      </c>
      <c r="R241" t="s">
        <v>32</v>
      </c>
      <c r="T241" s="2" t="str">
        <f>HYPERLINK("D:\venv_torgi\env\cache\objs_in_district/None_None.json", "None_None.json")</f>
        <v>None_None.json</v>
      </c>
      <c r="W241" s="19">
        <v>7354.489883546642</v>
      </c>
      <c r="X241" s="19">
        <v>555.59181192129654</v>
      </c>
      <c r="Y241">
        <v>0</v>
      </c>
    </row>
    <row r="242" spans="1:25">
      <c r="A242" s="8">
        <v>242</v>
      </c>
      <c r="B242">
        <v>52</v>
      </c>
      <c r="C242" s="1">
        <v>536.29999999999995</v>
      </c>
      <c r="D242" s="2" t="str">
        <f>HYPERLINK("https://torgi.gov.ru/new/public/lots/lot/21000011320000000078_3/(lotInfo:info)", "21000011320000000078_3")</f>
        <v>21000011320000000078_3</v>
      </c>
      <c r="E242" t="s">
        <v>1095</v>
      </c>
      <c r="F242" s="3" t="s">
        <v>1096</v>
      </c>
      <c r="G242" t="s">
        <v>1097</v>
      </c>
      <c r="H242" s="4">
        <v>5220880</v>
      </c>
      <c r="I242" s="4">
        <v>9734.9990676859979</v>
      </c>
      <c r="J242" s="5" t="s">
        <v>2079</v>
      </c>
      <c r="K242" s="5">
        <v>2.15</v>
      </c>
      <c r="L242" s="4">
        <v>811.17</v>
      </c>
      <c r="M242">
        <v>4522</v>
      </c>
      <c r="N242" t="s">
        <v>1098</v>
      </c>
      <c r="O242">
        <v>12</v>
      </c>
      <c r="P242" s="6">
        <v>400</v>
      </c>
      <c r="Q242" t="s">
        <v>40</v>
      </c>
      <c r="R242" t="s">
        <v>32</v>
      </c>
      <c r="S242" s="2" t="str">
        <f>HYPERLINK("https://yandex.ru/maps/?&amp;text=56.271481, 43.89367", "56.271481, 43.89367")</f>
        <v>56.271481, 43.89367</v>
      </c>
      <c r="T242" s="2" t="str">
        <f>HYPERLINK("D:\venv_torgi\env\cache\objs_in_district/56.271481_43.89367.json", "56.271481_43.89367.json")</f>
        <v>56.271481_43.89367.json</v>
      </c>
      <c r="U242" t="s">
        <v>1099</v>
      </c>
      <c r="V242" s="7" t="s">
        <v>34</v>
      </c>
      <c r="W242" s="19">
        <v>7354.489883546642</v>
      </c>
      <c r="X242" s="20">
        <v>-2380.509184139356</v>
      </c>
      <c r="Y242">
        <v>1</v>
      </c>
    </row>
    <row r="243" spans="1:25">
      <c r="A243" s="8">
        <v>243</v>
      </c>
      <c r="B243">
        <v>52</v>
      </c>
      <c r="C243" s="1">
        <v>84.2</v>
      </c>
      <c r="D243" s="2" t="str">
        <f>HYPERLINK("https://torgi.gov.ru/new/public/lots/lot/21000012580000000001_1/(lotInfo:info)", "21000012580000000001_1")</f>
        <v>21000012580000000001_1</v>
      </c>
      <c r="E243" t="s">
        <v>1100</v>
      </c>
      <c r="F243" s="3" t="s">
        <v>1101</v>
      </c>
      <c r="G243" t="s">
        <v>1102</v>
      </c>
      <c r="H243" s="4">
        <v>1205000</v>
      </c>
      <c r="I243" s="4">
        <v>14311.16389548694</v>
      </c>
      <c r="J243" s="5" t="s">
        <v>2078</v>
      </c>
      <c r="K243" s="5">
        <v>17.5</v>
      </c>
      <c r="L243" s="4">
        <v>715.55</v>
      </c>
      <c r="M243">
        <v>818</v>
      </c>
      <c r="N243" t="s">
        <v>1103</v>
      </c>
      <c r="O243">
        <v>20</v>
      </c>
      <c r="P243" s="6">
        <v>300</v>
      </c>
      <c r="Q243" t="s">
        <v>31</v>
      </c>
      <c r="R243" t="s">
        <v>32</v>
      </c>
      <c r="S243" s="2" t="str">
        <f>HYPERLINK("https://yandex.ru/maps/?&amp;text=57.8506, 45.781956", "57.8506, 45.781956")</f>
        <v>57.8506, 45.781956</v>
      </c>
      <c r="T243" s="2" t="str">
        <f>HYPERLINK("D:\venv_torgi\env\cache\objs_in_district/57.8506_45.781956.json", "57.8506_45.781956.json")</f>
        <v>57.8506_45.781956.json</v>
      </c>
      <c r="U243" t="s">
        <v>1104</v>
      </c>
      <c r="V243" s="7" t="s">
        <v>34</v>
      </c>
      <c r="W243" s="19">
        <v>25005.921007216992</v>
      </c>
      <c r="X243" s="21">
        <v>10694.75711173005</v>
      </c>
      <c r="Y243">
        <v>0</v>
      </c>
    </row>
    <row r="244" spans="1:25">
      <c r="A244" s="8">
        <v>244</v>
      </c>
      <c r="B244">
        <v>52</v>
      </c>
      <c r="C244" s="1">
        <v>81.900000000000006</v>
      </c>
      <c r="D244" s="2" t="str">
        <f>HYPERLINK("https://torgi.gov.ru/new/public/lots/lot/21000019830000000001_1/(lotInfo:info)", "21000019830000000001_1")</f>
        <v>21000019830000000001_1</v>
      </c>
      <c r="E244" t="s">
        <v>1105</v>
      </c>
      <c r="F244" s="3" t="s">
        <v>1106</v>
      </c>
      <c r="G244" t="s">
        <v>1107</v>
      </c>
      <c r="H244" s="4">
        <v>1827000</v>
      </c>
      <c r="I244" s="4">
        <v>22307.692307692301</v>
      </c>
      <c r="J244" s="5" t="s">
        <v>29</v>
      </c>
      <c r="K244" s="5">
        <v>41.31</v>
      </c>
      <c r="L244" s="4">
        <v>7435.67</v>
      </c>
      <c r="M244">
        <v>540</v>
      </c>
      <c r="N244" t="s">
        <v>1108</v>
      </c>
      <c r="O244">
        <v>3</v>
      </c>
      <c r="P244" s="6">
        <v>800</v>
      </c>
      <c r="Q244" t="s">
        <v>31</v>
      </c>
      <c r="R244" t="s">
        <v>32</v>
      </c>
      <c r="S244" s="2" t="str">
        <f>HYPERLINK("https://yandex.ru/maps/?&amp;text=55.554603, 45.917763", "55.554603, 45.917763")</f>
        <v>55.554603, 45.917763</v>
      </c>
      <c r="T244" s="2" t="str">
        <f>HYPERLINK("D:\venv_torgi\env\cache\objs_in_district/55.554603_45.917763.json", "55.554603_45.917763.json")</f>
        <v>55.554603_45.917763.json</v>
      </c>
      <c r="U244" t="s">
        <v>1109</v>
      </c>
      <c r="V244" s="7" t="s">
        <v>34</v>
      </c>
      <c r="W244" s="19">
        <v>14930.943770233611</v>
      </c>
      <c r="X244" s="20">
        <v>-7376.7485374586886</v>
      </c>
      <c r="Y244">
        <v>0</v>
      </c>
    </row>
    <row r="245" spans="1:25">
      <c r="A245" s="8">
        <v>245</v>
      </c>
      <c r="B245">
        <v>52</v>
      </c>
      <c r="C245" s="1">
        <v>27</v>
      </c>
      <c r="D245" s="2" t="str">
        <f>HYPERLINK("https://torgi.gov.ru/new/public/lots/lot/21000011320000000026_9/(lotInfo:info)", "21000011320000000026_9")</f>
        <v>21000011320000000026_9</v>
      </c>
      <c r="E245" t="s">
        <v>1110</v>
      </c>
      <c r="F245" s="3" t="s">
        <v>1111</v>
      </c>
      <c r="G245" t="s">
        <v>1112</v>
      </c>
      <c r="H245" s="4">
        <v>663021.44999999995</v>
      </c>
      <c r="I245" s="4">
        <v>24556.35</v>
      </c>
      <c r="J245" s="5" t="s">
        <v>29</v>
      </c>
      <c r="K245" s="5">
        <v>4.83</v>
      </c>
      <c r="L245" s="4">
        <v>481.49</v>
      </c>
      <c r="M245">
        <v>5085</v>
      </c>
      <c r="N245" t="s">
        <v>1098</v>
      </c>
      <c r="O245">
        <v>51</v>
      </c>
      <c r="P245" s="6">
        <v>400</v>
      </c>
      <c r="Q245" t="s">
        <v>31</v>
      </c>
      <c r="R245" t="s">
        <v>32</v>
      </c>
      <c r="S245" s="2" t="str">
        <f>HYPERLINK("https://yandex.ru/maps/?&amp;text=56.317442, 43.948827", "56.317442, 43.948827")</f>
        <v>56.317442, 43.948827</v>
      </c>
      <c r="T245" s="2" t="str">
        <f>HYPERLINK("D:\venv_torgi\env\cache\objs_in_district/56.317442_43.948827.json", "56.317442_43.948827.json")</f>
        <v>56.317442_43.948827.json</v>
      </c>
      <c r="U245" t="s">
        <v>1113</v>
      </c>
      <c r="V245" s="7" t="s">
        <v>39</v>
      </c>
      <c r="W245" s="19">
        <v>28791.780206219712</v>
      </c>
      <c r="X245" s="21">
        <v>4235.430206219713</v>
      </c>
      <c r="Y245">
        <v>0</v>
      </c>
    </row>
    <row r="246" spans="1:25">
      <c r="A246" s="8">
        <v>246</v>
      </c>
      <c r="B246">
        <v>52</v>
      </c>
      <c r="C246" s="1">
        <v>42.9</v>
      </c>
      <c r="D246" s="2" t="str">
        <f>HYPERLINK("https://torgi.gov.ru/new/public/lots/lot/21000009830000000001_1/(lotInfo:info)", "21000009830000000001_1")</f>
        <v>21000009830000000001_1</v>
      </c>
      <c r="E246" t="s">
        <v>1114</v>
      </c>
      <c r="F246" s="3" t="s">
        <v>1115</v>
      </c>
      <c r="G246" t="s">
        <v>1116</v>
      </c>
      <c r="H246" s="4">
        <v>1086650</v>
      </c>
      <c r="I246" s="4">
        <v>25329.83682983683</v>
      </c>
      <c r="J246" s="5" t="s">
        <v>29</v>
      </c>
      <c r="K246" s="5">
        <v>19.440000000000001</v>
      </c>
      <c r="L246" s="4">
        <v>6332.25</v>
      </c>
      <c r="M246">
        <v>1303</v>
      </c>
      <c r="N246" t="s">
        <v>39</v>
      </c>
      <c r="O246">
        <v>4</v>
      </c>
      <c r="P246" s="6">
        <v>300</v>
      </c>
      <c r="Q246" t="s">
        <v>31</v>
      </c>
      <c r="R246" t="s">
        <v>32</v>
      </c>
      <c r="S246" s="2" t="str">
        <f>HYPERLINK("https://yandex.ru/maps/?&amp;text=56.274329, 43.091834", "56.274329, 43.091834")</f>
        <v>56.274329, 43.091834</v>
      </c>
      <c r="T246" s="2" t="str">
        <f>HYPERLINK("D:\venv_torgi\env\cache\objs_in_district/56.274329_43.091834.json", "56.274329_43.091834.json")</f>
        <v>56.274329_43.091834.json</v>
      </c>
      <c r="U246" t="s">
        <v>1117</v>
      </c>
      <c r="V246" s="7" t="s">
        <v>34</v>
      </c>
      <c r="W246" s="19">
        <v>25005.921007216992</v>
      </c>
      <c r="X246" s="20">
        <v>-323.91582261983791</v>
      </c>
      <c r="Y246">
        <v>0</v>
      </c>
    </row>
    <row r="247" spans="1:25">
      <c r="A247" s="8">
        <v>247</v>
      </c>
      <c r="B247">
        <v>52</v>
      </c>
      <c r="C247" s="1">
        <v>22.1</v>
      </c>
      <c r="D247" s="2" t="str">
        <f>HYPERLINK("https://torgi.gov.ru/new/public/lots/lot/21000011320000000084_1/(lotInfo:info)", "21000011320000000084_1")</f>
        <v>21000011320000000084_1</v>
      </c>
      <c r="E247" t="s">
        <v>1118</v>
      </c>
      <c r="F247" s="3" t="s">
        <v>1119</v>
      </c>
      <c r="G247" t="s">
        <v>1120</v>
      </c>
      <c r="H247" s="4">
        <v>574224.5</v>
      </c>
      <c r="I247" s="4">
        <v>25983.009049773751</v>
      </c>
      <c r="J247" s="5" t="s">
        <v>2079</v>
      </c>
      <c r="K247" s="10">
        <v>43.74</v>
      </c>
      <c r="L247" s="11">
        <v>2598.3000000000002</v>
      </c>
      <c r="M247">
        <v>2123</v>
      </c>
      <c r="N247" t="s">
        <v>1121</v>
      </c>
      <c r="O247" t="s">
        <v>1122</v>
      </c>
      <c r="Q247" t="s">
        <v>40</v>
      </c>
      <c r="R247" t="s">
        <v>32</v>
      </c>
      <c r="S247" s="2" t="str">
        <f>HYPERLINK("https://yandex.ru/maps/?&amp;text=56.268401, 43.761339", "56.268401, 43.761339")</f>
        <v>56.268401, 43.761339</v>
      </c>
      <c r="T247" s="12" t="str">
        <f>HYPERLINK("D:\venv_torgi\env\cache\objs_in_district/56.268401_43.761339.json", "56.268401_43.761339.json")</f>
        <v>56.268401_43.761339.json</v>
      </c>
      <c r="U247" t="s">
        <v>1123</v>
      </c>
      <c r="V247" s="7" t="s">
        <v>34</v>
      </c>
      <c r="W247" s="19">
        <v>25005.921007216992</v>
      </c>
      <c r="X247" s="20">
        <v>-977.08804255675932</v>
      </c>
      <c r="Y247">
        <v>1</v>
      </c>
    </row>
    <row r="248" spans="1:25">
      <c r="A248" s="8">
        <v>248</v>
      </c>
      <c r="B248">
        <v>52</v>
      </c>
      <c r="C248" s="1">
        <v>22.8</v>
      </c>
      <c r="D248" s="2" t="str">
        <f>HYPERLINK("https://torgi.gov.ru/new/public/lots/lot/21000011320000000001_3/(lotInfo:info)", "21000011320000000001_3")</f>
        <v>21000011320000000001_3</v>
      </c>
      <c r="E248" t="s">
        <v>1124</v>
      </c>
      <c r="F248" s="3" t="s">
        <v>1125</v>
      </c>
      <c r="G248" t="s">
        <v>1126</v>
      </c>
      <c r="H248" s="4">
        <v>700190</v>
      </c>
      <c r="I248" s="4">
        <v>30710.087719298241</v>
      </c>
      <c r="J248" s="5" t="s">
        <v>29</v>
      </c>
      <c r="K248" s="5">
        <v>8.19</v>
      </c>
      <c r="L248" s="4">
        <v>161.63</v>
      </c>
      <c r="M248">
        <v>3751</v>
      </c>
      <c r="N248" t="s">
        <v>1098</v>
      </c>
      <c r="O248">
        <v>190</v>
      </c>
      <c r="P248" s="6">
        <v>400</v>
      </c>
      <c r="Q248" t="s">
        <v>31</v>
      </c>
      <c r="R248" t="s">
        <v>32</v>
      </c>
      <c r="S248" s="2" t="str">
        <f>HYPERLINK("https://yandex.ru/maps/?&amp;text=56.328998, 43.992368", "56.328998, 43.992368")</f>
        <v>56.328998, 43.992368</v>
      </c>
      <c r="T248" s="2" t="str">
        <f>HYPERLINK("D:\venv_torgi\env\cache\objs_in_district/56.328998_43.992368.json", "56.328998_43.992368.json")</f>
        <v>56.328998_43.992368.json</v>
      </c>
      <c r="U248" t="s">
        <v>1127</v>
      </c>
      <c r="V248" s="7" t="s">
        <v>34</v>
      </c>
      <c r="W248" s="19">
        <v>38444.778783778936</v>
      </c>
      <c r="X248" s="21">
        <v>7734.6910644807031</v>
      </c>
      <c r="Y248">
        <v>0</v>
      </c>
    </row>
    <row r="249" spans="1:25">
      <c r="A249" s="8">
        <v>249</v>
      </c>
      <c r="B249">
        <v>52</v>
      </c>
      <c r="C249" s="1">
        <v>151.4</v>
      </c>
      <c r="D249" s="2" t="str">
        <f>HYPERLINK("https://torgi.gov.ru/new/public/lots/lot/22000095400000000001_1/(lotInfo:info)", "22000095400000000001_1")</f>
        <v>22000095400000000001_1</v>
      </c>
      <c r="E249" t="s">
        <v>1128</v>
      </c>
      <c r="F249" s="3" t="s">
        <v>1129</v>
      </c>
      <c r="G249" t="s">
        <v>1130</v>
      </c>
      <c r="H249" s="4">
        <v>9815605</v>
      </c>
      <c r="I249" s="4">
        <v>64832.265521796573</v>
      </c>
      <c r="J249" s="5" t="s">
        <v>29</v>
      </c>
      <c r="K249" s="10">
        <v>23.57</v>
      </c>
      <c r="L249" s="11">
        <v>2701.34</v>
      </c>
      <c r="M249">
        <v>2751</v>
      </c>
      <c r="N249" t="s">
        <v>1131</v>
      </c>
      <c r="O249" t="s">
        <v>497</v>
      </c>
      <c r="P249" s="6">
        <v>100</v>
      </c>
      <c r="Q249" t="s">
        <v>31</v>
      </c>
      <c r="R249" t="s">
        <v>32</v>
      </c>
      <c r="S249" s="2" t="str">
        <f>HYPERLINK("https://yandex.ru/maps/?&amp;text=56.208454, 44.099896", "56.208454, 44.099896")</f>
        <v>56.208454, 44.099896</v>
      </c>
      <c r="T249" s="12" t="str">
        <f>HYPERLINK("D:\venv_torgi\env\cache\objs_in_district/56.208454_44.099896.json", "56.208454_44.099896.json")</f>
        <v>56.208454_44.099896.json</v>
      </c>
      <c r="U249" t="s">
        <v>1132</v>
      </c>
      <c r="V249" s="7" t="s">
        <v>34</v>
      </c>
      <c r="W249" s="19">
        <v>25005.921007216992</v>
      </c>
      <c r="X249" s="20">
        <v>-39826.344514579578</v>
      </c>
      <c r="Y249">
        <v>0</v>
      </c>
    </row>
    <row r="250" spans="1:25">
      <c r="A250" s="8">
        <v>250</v>
      </c>
      <c r="B250">
        <v>52</v>
      </c>
      <c r="C250" s="1">
        <v>125.4</v>
      </c>
      <c r="D250" s="2" t="str">
        <f>HYPERLINK("https://torgi.gov.ru/new/public/lots/lot/21000011320000000012_2/(lotInfo:info)", "21000011320000000012_2")</f>
        <v>21000011320000000012_2</v>
      </c>
      <c r="E250" t="s">
        <v>1133</v>
      </c>
      <c r="F250" s="3" t="s">
        <v>1134</v>
      </c>
      <c r="G250" t="s">
        <v>1135</v>
      </c>
      <c r="H250" s="4">
        <v>9005064.5600000005</v>
      </c>
      <c r="I250" s="4">
        <v>71810.722169059009</v>
      </c>
      <c r="J250" s="5" t="s">
        <v>29</v>
      </c>
      <c r="K250" s="5">
        <v>11.53</v>
      </c>
      <c r="L250" s="4">
        <v>5129.29</v>
      </c>
      <c r="M250">
        <v>6226</v>
      </c>
      <c r="N250" t="s">
        <v>1098</v>
      </c>
      <c r="O250">
        <v>14</v>
      </c>
      <c r="P250" s="6">
        <v>100</v>
      </c>
      <c r="Q250" t="s">
        <v>31</v>
      </c>
      <c r="R250" t="s">
        <v>32</v>
      </c>
      <c r="S250" s="2" t="str">
        <f>HYPERLINK("https://yandex.ru/maps/?&amp;text=56.256237, 43.86071", "56.256237, 43.86071")</f>
        <v>56.256237, 43.86071</v>
      </c>
      <c r="T250" s="2" t="str">
        <f>HYPERLINK("D:\venv_torgi\env\cache\objs_in_district/56.256237_43.86071.json", "56.256237_43.86071.json")</f>
        <v>56.256237_43.86071.json</v>
      </c>
      <c r="U250" t="s">
        <v>1136</v>
      </c>
      <c r="V250" s="7" t="s">
        <v>34</v>
      </c>
      <c r="W250" s="19">
        <v>28791.780206219712</v>
      </c>
      <c r="X250" s="20">
        <v>-43018.941962839293</v>
      </c>
      <c r="Y250">
        <v>1</v>
      </c>
    </row>
    <row r="251" spans="1:25">
      <c r="A251" s="8">
        <v>251</v>
      </c>
      <c r="B251">
        <v>53</v>
      </c>
      <c r="C251" s="1">
        <v>212.6</v>
      </c>
      <c r="D251" s="2" t="str">
        <f>HYPERLINK("https://torgi.gov.ru/new/public/lots/lot/21000017500000000091_1/(lotInfo:info)", "21000017500000000091_1")</f>
        <v>21000017500000000091_1</v>
      </c>
      <c r="E251" t="s">
        <v>1137</v>
      </c>
      <c r="F251" s="3" t="s">
        <v>1138</v>
      </c>
      <c r="G251" t="s">
        <v>1139</v>
      </c>
      <c r="H251" s="4">
        <v>627830</v>
      </c>
      <c r="I251" s="4">
        <v>2953.1044214487301</v>
      </c>
      <c r="J251" s="5" t="s">
        <v>29</v>
      </c>
      <c r="K251" s="5">
        <v>1.08</v>
      </c>
      <c r="L251" s="4">
        <v>47.63</v>
      </c>
      <c r="M251">
        <v>2737</v>
      </c>
      <c r="N251" t="s">
        <v>1140</v>
      </c>
      <c r="O251">
        <v>62</v>
      </c>
      <c r="P251" s="6">
        <v>500</v>
      </c>
      <c r="Q251" t="s">
        <v>574</v>
      </c>
      <c r="R251" t="s">
        <v>32</v>
      </c>
      <c r="S251" s="2" t="str">
        <f>HYPERLINK("https://yandex.ru/maps/?&amp;text=58.523891, 31.289947", "58.523891, 31.289947")</f>
        <v>58.523891, 31.289947</v>
      </c>
      <c r="T251" s="2" t="str">
        <f>HYPERLINK("D:\venv_torgi\env\cache\objs_in_district/58.523891_31.289947.json", "58.523891_31.289947.json")</f>
        <v>58.523891_31.289947.json</v>
      </c>
      <c r="U251" t="s">
        <v>1141</v>
      </c>
      <c r="V251" s="7" t="s">
        <v>122</v>
      </c>
      <c r="W251" s="19">
        <v>19931.15122427437</v>
      </c>
      <c r="X251" s="21">
        <v>16978.04680282564</v>
      </c>
      <c r="Y251">
        <v>0</v>
      </c>
    </row>
    <row r="252" spans="1:25">
      <c r="A252" s="8">
        <v>252</v>
      </c>
      <c r="B252">
        <v>53</v>
      </c>
      <c r="C252" s="1">
        <v>30.3</v>
      </c>
      <c r="D252" s="2" t="str">
        <f>HYPERLINK("https://torgi.gov.ru/new/public/lots/lot/22000022680000000001_1/(lotInfo:info)", "22000022680000000001_1")</f>
        <v>22000022680000000001_1</v>
      </c>
      <c r="E252" t="s">
        <v>1142</v>
      </c>
      <c r="F252" s="3" t="s">
        <v>1143</v>
      </c>
      <c r="G252" t="s">
        <v>1144</v>
      </c>
      <c r="H252" s="4">
        <v>2158650</v>
      </c>
      <c r="I252" s="4">
        <v>71242.574257425746</v>
      </c>
      <c r="J252" s="5" t="s">
        <v>29</v>
      </c>
      <c r="K252" s="5">
        <v>12.92</v>
      </c>
      <c r="L252" s="4">
        <v>719.62</v>
      </c>
      <c r="M252">
        <v>5513</v>
      </c>
      <c r="N252" t="s">
        <v>1145</v>
      </c>
      <c r="O252">
        <v>99</v>
      </c>
      <c r="Q252" t="s">
        <v>31</v>
      </c>
      <c r="R252" t="s">
        <v>32</v>
      </c>
      <c r="S252" s="2" t="str">
        <f>HYPERLINK("https://yandex.ru/maps/?&amp;text=57.990744, 31.368667", "57.990744, 31.368667")</f>
        <v>57.990744, 31.368667</v>
      </c>
      <c r="T252" s="2" t="str">
        <f>HYPERLINK("D:\venv_torgi\env\cache\objs_in_district/57.990744_31.368667.json", "57.990744_31.368667.json")</f>
        <v>57.990744_31.368667.json</v>
      </c>
      <c r="U252" t="s">
        <v>1146</v>
      </c>
      <c r="V252" s="7" t="s">
        <v>34</v>
      </c>
      <c r="W252" s="19">
        <v>25005.921007216992</v>
      </c>
      <c r="X252" s="20">
        <v>-46236.65325020875</v>
      </c>
      <c r="Y252">
        <v>0</v>
      </c>
    </row>
    <row r="253" spans="1:25">
      <c r="A253" s="8">
        <v>253</v>
      </c>
      <c r="B253">
        <v>54</v>
      </c>
      <c r="C253" s="1">
        <v>515.5</v>
      </c>
      <c r="D253" s="2" t="str">
        <f>HYPERLINK("https://torgi.gov.ru/new/public/lots/lot/21000030710000000003_1/(lotInfo:info)", "21000030710000000003_1")</f>
        <v>21000030710000000003_1</v>
      </c>
      <c r="E253" t="s">
        <v>1147</v>
      </c>
      <c r="F253" s="3" t="s">
        <v>1148</v>
      </c>
      <c r="G253" t="s">
        <v>1149</v>
      </c>
      <c r="H253" s="4">
        <v>608470</v>
      </c>
      <c r="I253" s="4">
        <v>1180.3491755577111</v>
      </c>
      <c r="J253" s="5" t="s">
        <v>29</v>
      </c>
      <c r="K253" s="5">
        <v>1.2</v>
      </c>
      <c r="L253" s="4">
        <v>131.11000000000001</v>
      </c>
      <c r="M253">
        <v>983</v>
      </c>
      <c r="N253" t="s">
        <v>1150</v>
      </c>
      <c r="O253">
        <v>9</v>
      </c>
      <c r="P253" s="6">
        <v>1300</v>
      </c>
      <c r="Q253" t="s">
        <v>31</v>
      </c>
      <c r="R253" t="s">
        <v>32</v>
      </c>
      <c r="S253" s="2" t="str">
        <f>HYPERLINK("https://yandex.ru/maps/?&amp;text=54.225822, 83.39888", "54.225822, 83.39888")</f>
        <v>54.225822, 83.39888</v>
      </c>
      <c r="T253" s="2" t="str">
        <f>HYPERLINK("D:\venv_torgi\env\cache\objs_in_district/54.225822_83.39888.json", "54.225822_83.39888.json")</f>
        <v>54.225822_83.39888.json</v>
      </c>
      <c r="U253" t="s">
        <v>1151</v>
      </c>
      <c r="V253" s="7" t="s">
        <v>626</v>
      </c>
      <c r="W253" s="19">
        <v>4605.2933995586654</v>
      </c>
      <c r="X253" s="21">
        <v>3424.9442240009539</v>
      </c>
      <c r="Y253">
        <v>0</v>
      </c>
    </row>
    <row r="254" spans="1:25">
      <c r="A254" s="8">
        <v>254</v>
      </c>
      <c r="B254">
        <v>54</v>
      </c>
      <c r="C254" s="1">
        <v>293.39999999999998</v>
      </c>
      <c r="D254" s="2" t="str">
        <f>HYPERLINK("https://torgi.gov.ru/new/public/lots/lot/21000023030000000007_1/(lotInfo:info)", "21000023030000000007_1")</f>
        <v>21000023030000000007_1</v>
      </c>
      <c r="E254" t="s">
        <v>1152</v>
      </c>
      <c r="F254" s="3" t="s">
        <v>1153</v>
      </c>
      <c r="G254" t="s">
        <v>1154</v>
      </c>
      <c r="H254" s="4">
        <v>3436300</v>
      </c>
      <c r="I254" s="4">
        <v>11711.997273346969</v>
      </c>
      <c r="J254" s="5" t="s">
        <v>29</v>
      </c>
      <c r="K254" s="5">
        <v>2.7</v>
      </c>
      <c r="L254" s="4">
        <v>433.74</v>
      </c>
      <c r="M254">
        <v>4339</v>
      </c>
      <c r="N254" t="s">
        <v>1155</v>
      </c>
      <c r="O254">
        <v>27</v>
      </c>
      <c r="P254" s="6">
        <v>300</v>
      </c>
      <c r="Q254" t="s">
        <v>31</v>
      </c>
      <c r="R254" t="s">
        <v>32</v>
      </c>
      <c r="S254" s="2" t="str">
        <f>HYPERLINK("https://yandex.ru/maps/?&amp;text=55.078267, 82.906919", "55.078267, 82.906919")</f>
        <v>55.078267, 82.906919</v>
      </c>
      <c r="T254" s="2" t="str">
        <f>HYPERLINK("D:\venv_torgi\env\cache\objs_in_district/55.078267_82.906919.json", "55.078267_82.906919.json")</f>
        <v>55.078267_82.906919.json</v>
      </c>
      <c r="U254" t="s">
        <v>1156</v>
      </c>
      <c r="W254" s="19">
        <v>10661.45189182739</v>
      </c>
      <c r="X254" s="20">
        <v>-1050.545381519576</v>
      </c>
      <c r="Y254">
        <v>0</v>
      </c>
    </row>
    <row r="255" spans="1:25">
      <c r="A255" s="8">
        <v>255</v>
      </c>
      <c r="B255">
        <v>54</v>
      </c>
      <c r="C255" s="1">
        <v>140.5</v>
      </c>
      <c r="D255" s="2" t="str">
        <f>HYPERLINK("https://torgi.gov.ru/new/public/lots/lot/21000008240000000005_1/(lotInfo:info)", "21000008240000000005_1")</f>
        <v>21000008240000000005_1</v>
      </c>
      <c r="E255" t="s">
        <v>1157</v>
      </c>
      <c r="F255" s="3" t="s">
        <v>1158</v>
      </c>
      <c r="G255" t="s">
        <v>1159</v>
      </c>
      <c r="H255" s="4">
        <v>1957000</v>
      </c>
      <c r="I255" s="4">
        <v>13928.825622775799</v>
      </c>
      <c r="J255" s="5" t="s">
        <v>29</v>
      </c>
      <c r="K255" s="10">
        <v>211.04</v>
      </c>
      <c r="L255" s="11"/>
      <c r="M255">
        <v>4728</v>
      </c>
      <c r="N255" t="s">
        <v>2073</v>
      </c>
      <c r="O255" t="s">
        <v>39</v>
      </c>
      <c r="P255" s="6">
        <v>1400</v>
      </c>
      <c r="Q255" t="s">
        <v>31</v>
      </c>
      <c r="R255" t="s">
        <v>32</v>
      </c>
      <c r="S255" s="2" t="str">
        <f>HYPERLINK("https://yandex.ru/maps/?&amp;text=55.011144, 82.856505", "55.011144, 82.856505")</f>
        <v>55.011144, 82.856505</v>
      </c>
      <c r="T255" s="12" t="str">
        <f>HYPERLINK("D:\venv_torgi\env\cache\objs_in_district/55.011144_82.856505.json", "55.011144_82.856505.json")</f>
        <v>55.011144_82.856505.json</v>
      </c>
      <c r="U255" t="s">
        <v>1160</v>
      </c>
      <c r="V255" s="7" t="s">
        <v>34</v>
      </c>
      <c r="W255" s="19">
        <v>14930.943770233611</v>
      </c>
      <c r="X255" s="21">
        <v>1002.1181474578131</v>
      </c>
      <c r="Y255">
        <v>0</v>
      </c>
    </row>
    <row r="256" spans="1:25">
      <c r="A256" s="8">
        <v>256</v>
      </c>
      <c r="B256">
        <v>54</v>
      </c>
      <c r="C256" s="1">
        <v>72.099999999999994</v>
      </c>
      <c r="D256" s="2" t="str">
        <f>HYPERLINK("https://torgi.gov.ru/new/public/lots/lot/21000008240000000005_4/(lotInfo:info)", "21000008240000000005_4")</f>
        <v>21000008240000000005_4</v>
      </c>
      <c r="E256" t="s">
        <v>1161</v>
      </c>
      <c r="F256" s="3" t="s">
        <v>1158</v>
      </c>
      <c r="G256" t="s">
        <v>1162</v>
      </c>
      <c r="H256" s="4">
        <v>1537000</v>
      </c>
      <c r="I256" s="4">
        <v>21317.614424410542</v>
      </c>
      <c r="J256" s="5" t="s">
        <v>29</v>
      </c>
      <c r="K256" s="5">
        <v>4.8499999999999996</v>
      </c>
      <c r="L256" s="4">
        <v>1776.42</v>
      </c>
      <c r="M256">
        <v>4398</v>
      </c>
      <c r="N256" t="s">
        <v>1155</v>
      </c>
      <c r="O256">
        <v>12</v>
      </c>
      <c r="P256" s="6">
        <v>800</v>
      </c>
      <c r="Q256" t="s">
        <v>31</v>
      </c>
      <c r="R256" t="s">
        <v>32</v>
      </c>
      <c r="S256" s="2" t="str">
        <f>HYPERLINK("https://yandex.ru/maps/?&amp;text=54.966086, 82.8994", "54.966086, 82.8994")</f>
        <v>54.966086, 82.8994</v>
      </c>
      <c r="T256" s="2" t="str">
        <f>HYPERLINK("D:\venv_torgi\env\cache\objs_in_district/54.966086_82.8994.json", "54.966086_82.8994.json")</f>
        <v>54.966086_82.8994.json</v>
      </c>
      <c r="U256" t="s">
        <v>1163</v>
      </c>
      <c r="V256" s="7" t="s">
        <v>39</v>
      </c>
      <c r="W256" s="19">
        <v>28791.780206219712</v>
      </c>
      <c r="X256" s="21">
        <v>7474.1657818091699</v>
      </c>
      <c r="Y256">
        <v>0</v>
      </c>
    </row>
    <row r="257" spans="1:25">
      <c r="A257" s="8">
        <v>257</v>
      </c>
      <c r="B257">
        <v>55</v>
      </c>
      <c r="C257" s="1">
        <v>449.72</v>
      </c>
      <c r="D257" s="2" t="str">
        <f>HYPERLINK("https://torgi.gov.ru/new/public/lots/lot/22000083180000000002_1/(lotInfo:info)", "22000083180000000002_1")</f>
        <v>22000083180000000002_1</v>
      </c>
      <c r="E257" t="s">
        <v>1164</v>
      </c>
      <c r="F257" s="3" t="s">
        <v>1165</v>
      </c>
      <c r="G257" t="s">
        <v>1166</v>
      </c>
      <c r="H257" s="4">
        <v>3520000</v>
      </c>
      <c r="I257" s="4">
        <v>7827.0924130570129</v>
      </c>
      <c r="J257" s="5" t="s">
        <v>2082</v>
      </c>
      <c r="K257" s="5">
        <v>2.61</v>
      </c>
      <c r="L257" s="4">
        <v>602.08000000000004</v>
      </c>
      <c r="M257">
        <v>3003</v>
      </c>
      <c r="N257" t="s">
        <v>1167</v>
      </c>
      <c r="O257">
        <v>13</v>
      </c>
      <c r="P257" s="6">
        <v>100</v>
      </c>
      <c r="Q257" t="s">
        <v>31</v>
      </c>
      <c r="R257" t="s">
        <v>32</v>
      </c>
      <c r="S257" s="2" t="str">
        <f>HYPERLINK("https://yandex.ru/maps/?&amp;text=55.018154, 73.578786", "55.018154, 73.578786")</f>
        <v>55.018154, 73.578786</v>
      </c>
      <c r="T257" s="2" t="str">
        <f>HYPERLINK("D:\venv_torgi\env\cache\objs_in_district/55.018154_73.578786.json", "55.018154_73.578786.json")</f>
        <v>55.018154_73.578786.json</v>
      </c>
      <c r="U257" t="s">
        <v>1168</v>
      </c>
      <c r="V257" s="7" t="s">
        <v>34</v>
      </c>
      <c r="W257" s="19">
        <v>7354.489883546642</v>
      </c>
      <c r="X257" s="20">
        <v>-472.60252951037091</v>
      </c>
      <c r="Y257">
        <v>0</v>
      </c>
    </row>
    <row r="258" spans="1:25">
      <c r="A258" s="8">
        <v>258</v>
      </c>
      <c r="B258">
        <v>55</v>
      </c>
      <c r="C258" s="1">
        <v>64.400000000000006</v>
      </c>
      <c r="D258" s="2" t="str">
        <f>HYPERLINK("https://torgi.gov.ru/new/public/lots/lot/21000018980000000001_1/(lotInfo:info)", "21000018980000000001_1")</f>
        <v>21000018980000000001_1</v>
      </c>
      <c r="E258" t="s">
        <v>1169</v>
      </c>
      <c r="F258" s="3" t="s">
        <v>1170</v>
      </c>
      <c r="G258" t="s">
        <v>1171</v>
      </c>
      <c r="H258" s="4">
        <v>1320000</v>
      </c>
      <c r="I258" s="4">
        <v>20496.89440993789</v>
      </c>
      <c r="J258" s="5" t="s">
        <v>29</v>
      </c>
      <c r="K258" s="5">
        <v>23.67</v>
      </c>
      <c r="L258" s="4">
        <v>20496</v>
      </c>
      <c r="M258">
        <v>866</v>
      </c>
      <c r="N258" t="s">
        <v>1172</v>
      </c>
      <c r="O258">
        <v>1</v>
      </c>
      <c r="P258" s="6">
        <v>300</v>
      </c>
      <c r="Q258" t="s">
        <v>31</v>
      </c>
      <c r="R258" t="s">
        <v>32</v>
      </c>
      <c r="S258" s="2" t="str">
        <f>HYPERLINK("https://yandex.ru/maps/?&amp;text=54.71001, 73.67658", "54.71001, 73.67658")</f>
        <v>54.71001, 73.67658</v>
      </c>
      <c r="T258" s="2" t="str">
        <f>HYPERLINK("D:\venv_torgi\env\cache\objs_in_district/54.71001_73.67658.json", "54.71001_73.67658.json")</f>
        <v>54.71001_73.67658.json</v>
      </c>
      <c r="U258" t="s">
        <v>1173</v>
      </c>
      <c r="V258" s="7" t="s">
        <v>34</v>
      </c>
      <c r="W258" s="19">
        <v>25005.921007216992</v>
      </c>
      <c r="X258" s="21">
        <v>4509.0265972791021</v>
      </c>
      <c r="Y258">
        <v>0</v>
      </c>
    </row>
    <row r="259" spans="1:25">
      <c r="A259" s="8">
        <v>259</v>
      </c>
      <c r="B259">
        <v>55</v>
      </c>
      <c r="C259" s="1">
        <v>73.5</v>
      </c>
      <c r="D259" s="2" t="str">
        <f>HYPERLINK("https://torgi.gov.ru/new/public/lots/lot/22000012250000000003_3/(lotInfo:info)", "22000012250000000003_3")</f>
        <v>22000012250000000003_3</v>
      </c>
      <c r="E259" t="s">
        <v>1174</v>
      </c>
      <c r="F259" s="3" t="s">
        <v>1175</v>
      </c>
      <c r="G259" t="s">
        <v>1176</v>
      </c>
      <c r="H259" s="4">
        <v>1930280</v>
      </c>
      <c r="I259" s="4">
        <v>26262.31292517007</v>
      </c>
      <c r="J259" s="5" t="s">
        <v>29</v>
      </c>
      <c r="K259" s="5">
        <v>5.86</v>
      </c>
      <c r="L259" s="4">
        <v>1313.1</v>
      </c>
      <c r="M259">
        <v>4480</v>
      </c>
      <c r="N259" t="s">
        <v>1177</v>
      </c>
      <c r="O259">
        <v>20</v>
      </c>
      <c r="P259" s="6">
        <v>100</v>
      </c>
      <c r="Q259" t="s">
        <v>31</v>
      </c>
      <c r="R259" t="s">
        <v>32</v>
      </c>
      <c r="S259" s="2" t="str">
        <f>HYPERLINK("https://yandex.ru/maps/?&amp;text=54.971967, 73.452842", "54.971967, 73.452842")</f>
        <v>54.971967, 73.452842</v>
      </c>
      <c r="T259" s="2" t="str">
        <f>HYPERLINK("D:\venv_torgi\env\cache\objs_in_district/54.971967_73.452842.json", "54.971967_73.452842.json")</f>
        <v>54.971967_73.452842.json</v>
      </c>
      <c r="U259" t="s">
        <v>1178</v>
      </c>
      <c r="V259" s="7" t="s">
        <v>34</v>
      </c>
      <c r="W259" s="19">
        <v>28791.780206219712</v>
      </c>
      <c r="X259" s="21">
        <v>2529.4672810496409</v>
      </c>
      <c r="Y259">
        <v>0</v>
      </c>
    </row>
    <row r="260" spans="1:25">
      <c r="A260" s="8">
        <v>260</v>
      </c>
      <c r="B260">
        <v>56</v>
      </c>
      <c r="C260" s="1">
        <v>179.7</v>
      </c>
      <c r="D260" s="2" t="str">
        <f>HYPERLINK("https://torgi.gov.ru/new/public/lots/lot/22000101880000000001_1/(lotInfo:info)", "22000101880000000001_1")</f>
        <v>22000101880000000001_1</v>
      </c>
      <c r="E260" t="s">
        <v>1179</v>
      </c>
      <c r="F260" s="3" t="s">
        <v>1180</v>
      </c>
      <c r="G260" t="s">
        <v>1181</v>
      </c>
      <c r="H260" s="4">
        <v>600000</v>
      </c>
      <c r="I260" s="4">
        <v>3338.8981636060098</v>
      </c>
      <c r="J260" s="5" t="s">
        <v>29</v>
      </c>
      <c r="K260" s="5">
        <v>13.74</v>
      </c>
      <c r="L260" s="4">
        <v>1112.67</v>
      </c>
      <c r="M260">
        <v>243</v>
      </c>
      <c r="N260" t="s">
        <v>1182</v>
      </c>
      <c r="O260">
        <v>3</v>
      </c>
      <c r="Q260" t="s">
        <v>31</v>
      </c>
      <c r="R260" t="s">
        <v>32</v>
      </c>
      <c r="S260" s="2" t="str">
        <f>HYPERLINK("https://yandex.ru/maps/?&amp;text=51.667953, 54.198029", "51.667953, 54.198029")</f>
        <v>51.667953, 54.198029</v>
      </c>
      <c r="T260" s="2" t="str">
        <f>HYPERLINK("D:\venv_torgi\env\cache\objs_in_district/51.667953_54.198029.json", "51.667953_54.198029.json")</f>
        <v>51.667953_54.198029.json</v>
      </c>
      <c r="U260" t="s">
        <v>1183</v>
      </c>
      <c r="V260" s="7" t="s">
        <v>34</v>
      </c>
      <c r="W260" s="19">
        <v>10661.45189182739</v>
      </c>
      <c r="X260" s="21">
        <v>7322.5537282213836</v>
      </c>
      <c r="Y260">
        <v>0</v>
      </c>
    </row>
    <row r="261" spans="1:25">
      <c r="A261" s="8">
        <v>261</v>
      </c>
      <c r="B261">
        <v>56</v>
      </c>
      <c r="C261" s="1">
        <v>129.9</v>
      </c>
      <c r="D261" s="2" t="str">
        <f>HYPERLINK("https://torgi.gov.ru/new/public/lots/lot/21000028380000000003_5/(lotInfo:info)", "21000028380000000003_5")</f>
        <v>21000028380000000003_5</v>
      </c>
      <c r="E261" t="s">
        <v>1184</v>
      </c>
      <c r="F261" s="3" t="s">
        <v>1185</v>
      </c>
      <c r="G261" t="s">
        <v>1186</v>
      </c>
      <c r="H261" s="4">
        <v>1642800</v>
      </c>
      <c r="I261" s="4">
        <v>12646.651270207851</v>
      </c>
      <c r="J261" s="5" t="s">
        <v>29</v>
      </c>
      <c r="K261" s="5">
        <v>2.08</v>
      </c>
      <c r="L261" s="4">
        <v>395.19</v>
      </c>
      <c r="M261">
        <v>6066</v>
      </c>
      <c r="N261" t="s">
        <v>1187</v>
      </c>
      <c r="O261">
        <v>32</v>
      </c>
      <c r="P261" s="6">
        <v>300</v>
      </c>
      <c r="Q261" t="s">
        <v>31</v>
      </c>
      <c r="R261" t="s">
        <v>32</v>
      </c>
      <c r="S261" s="2" t="str">
        <f>HYPERLINK("https://yandex.ru/maps/?&amp;text=51.83182, 55.1298", "51.83182, 55.1298")</f>
        <v>51.83182, 55.1298</v>
      </c>
      <c r="T261" s="2" t="str">
        <f>HYPERLINK("D:\venv_torgi\env\cache\objs_in_district/51.83182_55.1298.json", "51.83182_55.1298.json")</f>
        <v>51.83182_55.1298.json</v>
      </c>
      <c r="U261" t="s">
        <v>1188</v>
      </c>
      <c r="V261" s="7" t="s">
        <v>34</v>
      </c>
      <c r="W261" s="19">
        <v>28791.780206219712</v>
      </c>
      <c r="X261" s="21">
        <v>16145.128936011861</v>
      </c>
      <c r="Y261">
        <v>0</v>
      </c>
    </row>
    <row r="262" spans="1:25">
      <c r="A262" s="8">
        <v>262</v>
      </c>
      <c r="B262">
        <v>56</v>
      </c>
      <c r="C262" s="1">
        <v>69.8</v>
      </c>
      <c r="D262" s="2" t="str">
        <f>HYPERLINK("https://torgi.gov.ru/new/public/lots/lot/21000028810000000001_1/(lotInfo:info)", "21000028810000000001_1")</f>
        <v>21000028810000000001_1</v>
      </c>
      <c r="E262" t="s">
        <v>1189</v>
      </c>
      <c r="F262" s="3" t="s">
        <v>1190</v>
      </c>
      <c r="G262" t="s">
        <v>1191</v>
      </c>
      <c r="H262" s="4">
        <v>1576975</v>
      </c>
      <c r="I262" s="4">
        <v>22592.76504297994</v>
      </c>
      <c r="J262" s="5" t="s">
        <v>29</v>
      </c>
      <c r="K262" s="5">
        <v>11.65</v>
      </c>
      <c r="L262" s="4">
        <v>1026.9100000000001</v>
      </c>
      <c r="M262">
        <v>1939</v>
      </c>
      <c r="N262" t="s">
        <v>1192</v>
      </c>
      <c r="O262">
        <v>22</v>
      </c>
      <c r="P262" s="6">
        <v>200</v>
      </c>
      <c r="Q262" t="s">
        <v>31</v>
      </c>
      <c r="R262" t="s">
        <v>32</v>
      </c>
      <c r="S262" s="2" t="str">
        <f>HYPERLINK("https://yandex.ru/maps/?&amp;text=51.766443, 52.750637", "51.766443, 52.750637")</f>
        <v>51.766443, 52.750637</v>
      </c>
      <c r="T262" s="2" t="str">
        <f>HYPERLINK("D:\venv_torgi\env\cache\objs_in_district/51.766443_52.750637.json", "51.766443_52.750637.json")</f>
        <v>51.766443_52.750637.json</v>
      </c>
      <c r="U262" t="s">
        <v>1193</v>
      </c>
      <c r="V262" s="7" t="s">
        <v>34</v>
      </c>
      <c r="W262" s="19">
        <v>25005.921007216992</v>
      </c>
      <c r="X262" s="21">
        <v>2413.1559642370521</v>
      </c>
      <c r="Y262">
        <v>0</v>
      </c>
    </row>
    <row r="263" spans="1:25">
      <c r="A263" s="8">
        <v>263</v>
      </c>
      <c r="B263">
        <v>57</v>
      </c>
      <c r="C263" s="1">
        <v>90.6</v>
      </c>
      <c r="D263" s="2" t="str">
        <f>HYPERLINK("https://torgi.gov.ru/new/public/lots/lot/21000020880000000004_1/(lotInfo:info)", "21000020880000000004_1")</f>
        <v>21000020880000000004_1</v>
      </c>
      <c r="E263" t="s">
        <v>1194</v>
      </c>
      <c r="F263" s="3" t="s">
        <v>1195</v>
      </c>
      <c r="G263" t="s">
        <v>1196</v>
      </c>
      <c r="H263" s="4">
        <v>1031857.25</v>
      </c>
      <c r="I263" s="4">
        <v>11389.152869757179</v>
      </c>
      <c r="J263" s="5" t="s">
        <v>29</v>
      </c>
      <c r="K263" s="10">
        <v>90.39</v>
      </c>
      <c r="L263" s="11"/>
      <c r="M263">
        <v>1561</v>
      </c>
      <c r="N263" t="s">
        <v>1197</v>
      </c>
      <c r="O263" t="s">
        <v>39</v>
      </c>
      <c r="P263" s="6">
        <v>1100</v>
      </c>
      <c r="Q263" t="s">
        <v>40</v>
      </c>
      <c r="R263" t="s">
        <v>32</v>
      </c>
      <c r="S263" s="2" t="str">
        <f>HYPERLINK("https://yandex.ru/maps/?&amp;text=52.224174, 37.02622", "52.224174, 37.02622")</f>
        <v>52.224174, 37.02622</v>
      </c>
      <c r="T263" s="12" t="str">
        <f>HYPERLINK("D:\venv_torgi\env\cache\objs_in_district/52.224174_37.02622.json", "52.224174_37.02622.json")</f>
        <v>52.224174_37.02622.json</v>
      </c>
      <c r="U263" t="s">
        <v>1198</v>
      </c>
      <c r="V263" s="7" t="s">
        <v>34</v>
      </c>
      <c r="W263" s="19">
        <v>14930.943770233611</v>
      </c>
      <c r="X263" s="21">
        <v>3541.7909004764329</v>
      </c>
      <c r="Y263">
        <v>0</v>
      </c>
    </row>
    <row r="264" spans="1:25">
      <c r="A264" s="8">
        <v>264</v>
      </c>
      <c r="B264">
        <v>57</v>
      </c>
      <c r="C264" s="1">
        <v>101</v>
      </c>
      <c r="D264" s="2" t="str">
        <f>HYPERLINK("https://torgi.gov.ru/new/public/lots/lot/22000042460000000004_5/(lotInfo:info)", "22000042460000000004_5")</f>
        <v>22000042460000000004_5</v>
      </c>
      <c r="E264" t="s">
        <v>1199</v>
      </c>
      <c r="F264" s="3" t="s">
        <v>1200</v>
      </c>
      <c r="G264" t="s">
        <v>1201</v>
      </c>
      <c r="H264" s="4">
        <v>1376630</v>
      </c>
      <c r="I264" s="4">
        <v>13630</v>
      </c>
      <c r="J264" s="5" t="s">
        <v>29</v>
      </c>
      <c r="K264" s="5">
        <v>13.48</v>
      </c>
      <c r="L264" s="4">
        <v>13630</v>
      </c>
      <c r="M264">
        <v>1011</v>
      </c>
      <c r="N264" t="s">
        <v>1202</v>
      </c>
      <c r="O264">
        <v>1</v>
      </c>
      <c r="P264" s="6">
        <v>1000</v>
      </c>
      <c r="Q264" t="s">
        <v>31</v>
      </c>
      <c r="R264" t="s">
        <v>32</v>
      </c>
      <c r="S264" s="2" t="str">
        <f>HYPERLINK("https://yandex.ru/maps/?&amp;text=53.00078, 36.1259", "53.00078, 36.1259")</f>
        <v>53.00078, 36.1259</v>
      </c>
      <c r="T264" s="2" t="str">
        <f>HYPERLINK("D:\venv_torgi\env\cache\objs_in_district/53.00078_36.1259.json", "53.00078_36.1259.json")</f>
        <v>53.00078_36.1259.json</v>
      </c>
      <c r="V264" s="7" t="s">
        <v>39</v>
      </c>
      <c r="W264" s="19">
        <v>28791.780206219712</v>
      </c>
      <c r="X264" s="21">
        <v>15161.78020621971</v>
      </c>
      <c r="Y264">
        <v>0</v>
      </c>
    </row>
    <row r="265" spans="1:25">
      <c r="A265" s="8">
        <v>265</v>
      </c>
      <c r="B265">
        <v>57</v>
      </c>
      <c r="C265" s="1">
        <v>89.5</v>
      </c>
      <c r="D265" s="2" t="str">
        <f>HYPERLINK("https://torgi.gov.ru/new/public/lots/lot/22000057140000000005_1/(lotInfo:info)", "22000057140000000005_1")</f>
        <v>22000057140000000005_1</v>
      </c>
      <c r="E265" t="s">
        <v>1203</v>
      </c>
      <c r="F265" s="3" t="s">
        <v>1204</v>
      </c>
      <c r="G265" t="s">
        <v>1205</v>
      </c>
      <c r="H265" s="4">
        <v>1477000</v>
      </c>
      <c r="I265" s="4">
        <v>16502.793296089381</v>
      </c>
      <c r="J265" s="5" t="s">
        <v>29</v>
      </c>
      <c r="K265" s="5">
        <v>8.48</v>
      </c>
      <c r="L265" s="4">
        <v>1500.18</v>
      </c>
      <c r="M265">
        <v>1947</v>
      </c>
      <c r="N265" t="s">
        <v>1206</v>
      </c>
      <c r="O265">
        <v>11</v>
      </c>
      <c r="P265" s="6">
        <v>100</v>
      </c>
      <c r="Q265" t="s">
        <v>31</v>
      </c>
      <c r="R265" t="s">
        <v>32</v>
      </c>
      <c r="S265" s="2" t="str">
        <f>HYPERLINK("https://yandex.ru/maps/?&amp;text=52.42687, 37.610188", "52.42687, 37.610188")</f>
        <v>52.42687, 37.610188</v>
      </c>
      <c r="T265" s="2" t="str">
        <f>HYPERLINK("D:\venv_torgi\env\cache\objs_in_district/52.42687_37.610188.json", "52.42687_37.610188.json")</f>
        <v>52.42687_37.610188.json</v>
      </c>
      <c r="U265" t="s">
        <v>1207</v>
      </c>
      <c r="V265" s="7" t="s">
        <v>34</v>
      </c>
      <c r="W265" s="19">
        <v>25005.921007216992</v>
      </c>
      <c r="X265" s="21">
        <v>8503.1277111276104</v>
      </c>
      <c r="Y265">
        <v>0</v>
      </c>
    </row>
    <row r="266" spans="1:25">
      <c r="A266" s="8">
        <v>266</v>
      </c>
      <c r="B266">
        <v>58</v>
      </c>
      <c r="C266" s="1">
        <v>308</v>
      </c>
      <c r="D266" s="2" t="str">
        <f>HYPERLINK("https://torgi.gov.ru/new/public/lots/lot/21000015830000000002_1/(lotInfo:info)", "21000015830000000002_1")</f>
        <v>21000015830000000002_1</v>
      </c>
      <c r="E266" t="s">
        <v>1208</v>
      </c>
      <c r="F266" s="3" t="s">
        <v>1209</v>
      </c>
      <c r="G266" t="s">
        <v>1210</v>
      </c>
      <c r="H266" s="4">
        <v>722000</v>
      </c>
      <c r="I266" s="4">
        <v>2344.1558441558441</v>
      </c>
      <c r="J266" s="5" t="s">
        <v>29</v>
      </c>
      <c r="K266" s="5">
        <v>4.32</v>
      </c>
      <c r="L266" s="4">
        <v>2344</v>
      </c>
      <c r="M266">
        <v>543</v>
      </c>
      <c r="N266" t="s">
        <v>1211</v>
      </c>
      <c r="O266">
        <v>1</v>
      </c>
      <c r="P266" s="6">
        <v>900</v>
      </c>
      <c r="Q266" t="s">
        <v>40</v>
      </c>
      <c r="R266" t="s">
        <v>32</v>
      </c>
      <c r="S266" s="2" t="str">
        <f>HYPERLINK("https://yandex.ru/maps/?&amp;text=52.785229, 46.748714", "52.785229, 46.748714")</f>
        <v>52.785229, 46.748714</v>
      </c>
      <c r="T266" s="2" t="str">
        <f>HYPERLINK("D:\venv_torgi\env\cache\objs_in_district/52.785229_46.748714.json", "52.785229_46.748714.json")</f>
        <v>52.785229_46.748714.json</v>
      </c>
      <c r="U266" t="s">
        <v>1212</v>
      </c>
      <c r="W266" s="19">
        <v>4605.2933995586654</v>
      </c>
      <c r="X266" s="21">
        <v>2261.1375554028209</v>
      </c>
      <c r="Y266">
        <v>0</v>
      </c>
    </row>
    <row r="267" spans="1:25">
      <c r="A267" s="8">
        <v>267</v>
      </c>
      <c r="B267">
        <v>58</v>
      </c>
      <c r="C267" s="1">
        <v>137.6</v>
      </c>
      <c r="D267" s="2" t="str">
        <f>HYPERLINK("https://torgi.gov.ru/new/public/lots/lot/22000072770000000002_1/(lotInfo:info)", "22000072770000000002_1")</f>
        <v>22000072770000000002_1</v>
      </c>
      <c r="E267" t="s">
        <v>1213</v>
      </c>
      <c r="F267" s="3" t="s">
        <v>1214</v>
      </c>
      <c r="G267" t="s">
        <v>1215</v>
      </c>
      <c r="H267" s="4">
        <v>1238000</v>
      </c>
      <c r="I267" s="4">
        <v>8997.0930232558148</v>
      </c>
      <c r="J267" s="5" t="s">
        <v>2078</v>
      </c>
      <c r="K267" s="5">
        <v>5.21</v>
      </c>
      <c r="L267" s="4">
        <v>8997</v>
      </c>
      <c r="M267">
        <v>1726</v>
      </c>
      <c r="N267" t="s">
        <v>1216</v>
      </c>
      <c r="O267">
        <v>1</v>
      </c>
      <c r="P267" s="6">
        <v>700</v>
      </c>
      <c r="Q267" t="s">
        <v>31</v>
      </c>
      <c r="R267" t="s">
        <v>32</v>
      </c>
      <c r="S267" s="2" t="str">
        <f>HYPERLINK("https://yandex.ru/maps/?&amp;text=53.932034, 43.188663", "53.932034, 43.188663")</f>
        <v>53.932034, 43.188663</v>
      </c>
      <c r="T267" s="2" t="str">
        <f>HYPERLINK("D:\venv_torgi\env\cache\objs_in_district/53.932034_43.188663.json", "53.932034_43.188663.json")</f>
        <v>53.932034_43.188663.json</v>
      </c>
      <c r="U267" t="s">
        <v>1217</v>
      </c>
      <c r="V267" s="7" t="s">
        <v>34</v>
      </c>
      <c r="W267" s="19">
        <v>14930.943770233611</v>
      </c>
      <c r="X267" s="21">
        <v>5933.8507469777978</v>
      </c>
      <c r="Y267">
        <v>0</v>
      </c>
    </row>
    <row r="268" spans="1:25">
      <c r="A268" s="8">
        <v>268</v>
      </c>
      <c r="B268">
        <v>58</v>
      </c>
      <c r="C268" s="1">
        <v>144.69999999999999</v>
      </c>
      <c r="D268" s="2" t="str">
        <f>HYPERLINK("https://torgi.gov.ru/new/public/lots/lot/22000061470000000001_10/(lotInfo:info)", "22000061470000000001_10")</f>
        <v>22000061470000000001_10</v>
      </c>
      <c r="E268" t="s">
        <v>1218</v>
      </c>
      <c r="F268" s="3" t="s">
        <v>1219</v>
      </c>
      <c r="G268" t="s">
        <v>1220</v>
      </c>
      <c r="H268" s="4">
        <v>1680000</v>
      </c>
      <c r="I268" s="4">
        <v>11610.22805805114</v>
      </c>
      <c r="J268" s="5" t="s">
        <v>29</v>
      </c>
      <c r="K268" s="5">
        <v>4.12</v>
      </c>
      <c r="L268" s="4">
        <v>2322</v>
      </c>
      <c r="M268">
        <v>2817</v>
      </c>
      <c r="N268" t="s">
        <v>1221</v>
      </c>
      <c r="O268">
        <v>5</v>
      </c>
      <c r="P268" s="6">
        <v>400</v>
      </c>
      <c r="Q268" t="s">
        <v>31</v>
      </c>
      <c r="R268" t="s">
        <v>32</v>
      </c>
      <c r="S268" s="2" t="str">
        <f>HYPERLINK("https://yandex.ru/maps/?&amp;text=52.460484, 44.205044", "52.460484, 44.205044")</f>
        <v>52.460484, 44.205044</v>
      </c>
      <c r="T268" s="2" t="str">
        <f>HYPERLINK("D:\venv_torgi\env\cache\objs_in_district/52.460484_44.205044.json", "52.460484_44.205044.json")</f>
        <v>52.460484_44.205044.json</v>
      </c>
      <c r="U268" t="s">
        <v>1222</v>
      </c>
      <c r="V268" s="7" t="s">
        <v>34</v>
      </c>
      <c r="W268" s="19">
        <v>25005.921007216992</v>
      </c>
      <c r="X268" s="21">
        <v>13395.69294916585</v>
      </c>
      <c r="Y268">
        <v>0</v>
      </c>
    </row>
    <row r="269" spans="1:25">
      <c r="A269" s="8">
        <v>269</v>
      </c>
      <c r="B269">
        <v>58</v>
      </c>
      <c r="C269" s="1">
        <v>90.1</v>
      </c>
      <c r="D269" s="2" t="str">
        <f>HYPERLINK("https://torgi.gov.ru/new/public/lots/lot/21000025550000000019_8/(lotInfo:info)", "21000025550000000019_8")</f>
        <v>21000025550000000019_8</v>
      </c>
      <c r="E269" t="s">
        <v>1223</v>
      </c>
      <c r="F269" s="3" t="s">
        <v>1224</v>
      </c>
      <c r="G269" t="s">
        <v>1225</v>
      </c>
      <c r="H269" s="4">
        <v>2161052.9300000002</v>
      </c>
      <c r="I269" s="4">
        <v>23985.049167591569</v>
      </c>
      <c r="J269" s="5" t="s">
        <v>29</v>
      </c>
      <c r="K269" s="5">
        <v>5.9</v>
      </c>
      <c r="L269" s="4">
        <v>406.53</v>
      </c>
      <c r="M269">
        <v>4068</v>
      </c>
      <c r="N269" t="s">
        <v>1221</v>
      </c>
      <c r="O269">
        <v>59</v>
      </c>
      <c r="P269" s="6">
        <v>300</v>
      </c>
      <c r="Q269" t="s">
        <v>31</v>
      </c>
      <c r="R269" t="s">
        <v>51</v>
      </c>
      <c r="S269" s="2" t="str">
        <f>HYPERLINK("https://yandex.ru/maps/?&amp;text=52.477464, 44.21683", "52.477464, 44.21683")</f>
        <v>52.477464, 44.21683</v>
      </c>
      <c r="T269" s="2" t="str">
        <f>HYPERLINK("D:\venv_torgi\env\cache\objs_in_district/52.477464_44.21683.json", "52.477464_44.21683.json")</f>
        <v>52.477464_44.21683.json</v>
      </c>
      <c r="U269" t="s">
        <v>1226</v>
      </c>
      <c r="W269" s="19">
        <v>25005.921007216992</v>
      </c>
      <c r="X269" s="21">
        <v>1020.871839625423</v>
      </c>
      <c r="Y269">
        <v>0</v>
      </c>
    </row>
    <row r="270" spans="1:25">
      <c r="A270" s="8">
        <v>270</v>
      </c>
      <c r="B270">
        <v>59</v>
      </c>
      <c r="C270" s="1">
        <v>662.3</v>
      </c>
      <c r="D270" s="2" t="str">
        <f>HYPERLINK("https://torgi.gov.ru/new/public/lots/lot/22000022050000000014_1/(lotInfo:info)", "22000022050000000014_1")</f>
        <v>22000022050000000014_1</v>
      </c>
      <c r="E270" t="s">
        <v>1227</v>
      </c>
      <c r="F270" s="3" t="s">
        <v>1228</v>
      </c>
      <c r="G270" t="s">
        <v>1229</v>
      </c>
      <c r="H270" s="4">
        <v>2500000</v>
      </c>
      <c r="I270" s="4">
        <v>3774.724445115507</v>
      </c>
      <c r="J270" s="5" t="s">
        <v>29</v>
      </c>
      <c r="K270" s="5">
        <v>1.75</v>
      </c>
      <c r="L270" s="4">
        <v>125.8</v>
      </c>
      <c r="M270">
        <v>2162</v>
      </c>
      <c r="N270" t="s">
        <v>1230</v>
      </c>
      <c r="O270">
        <v>30</v>
      </c>
      <c r="P270" s="6">
        <v>500</v>
      </c>
      <c r="Q270" t="s">
        <v>40</v>
      </c>
      <c r="R270" t="s">
        <v>32</v>
      </c>
      <c r="S270" s="2" t="str">
        <f>HYPERLINK("https://yandex.ru/maps/?&amp;text=58.085632, 55.76859", "58.085632, 55.76859")</f>
        <v>58.085632, 55.76859</v>
      </c>
      <c r="T270" s="2" t="str">
        <f>HYPERLINK("D:\venv_torgi\env\cache\objs_in_district/58.085632_55.76859.json", "58.085632_55.76859.json")</f>
        <v>58.085632_55.76859.json</v>
      </c>
      <c r="U270" t="s">
        <v>1231</v>
      </c>
      <c r="V270" s="7" t="s">
        <v>107</v>
      </c>
      <c r="W270" s="19">
        <v>13468.057755033909</v>
      </c>
      <c r="X270" s="17">
        <v>9693.3333099184019</v>
      </c>
      <c r="Y270">
        <v>0</v>
      </c>
    </row>
    <row r="271" spans="1:25">
      <c r="A271" s="8">
        <v>271</v>
      </c>
      <c r="B271">
        <v>59</v>
      </c>
      <c r="C271" s="1">
        <v>185</v>
      </c>
      <c r="D271" s="2" t="str">
        <f>HYPERLINK("https://torgi.gov.ru/new/public/lots/lot/22000019350000000001_2/(lotInfo:info)", "22000019350000000001_2")</f>
        <v>22000019350000000001_2</v>
      </c>
      <c r="E271" t="s">
        <v>1232</v>
      </c>
      <c r="F271" s="3" t="s">
        <v>1233</v>
      </c>
      <c r="G271" t="s">
        <v>1234</v>
      </c>
      <c r="H271" s="4">
        <v>933390</v>
      </c>
      <c r="I271" s="4">
        <v>5045.3513513513517</v>
      </c>
      <c r="J271" s="5" t="s">
        <v>2080</v>
      </c>
      <c r="K271" s="5">
        <v>1.56</v>
      </c>
      <c r="L271" s="4">
        <v>1261.25</v>
      </c>
      <c r="M271">
        <v>3230</v>
      </c>
      <c r="N271" t="s">
        <v>1235</v>
      </c>
      <c r="O271">
        <v>4</v>
      </c>
      <c r="P271" s="6">
        <v>800</v>
      </c>
      <c r="Q271" t="s">
        <v>31</v>
      </c>
      <c r="R271" t="s">
        <v>32</v>
      </c>
      <c r="S271" s="2" t="str">
        <f>HYPERLINK("https://yandex.ru/maps/?&amp;text=57.28459, 55.464176", "57.28459, 55.464176")</f>
        <v>57.28459, 55.464176</v>
      </c>
      <c r="T271" s="2" t="str">
        <f>HYPERLINK("D:\venv_torgi\env\cache\objs_in_district/57.28459_55.464176.json", "57.28459_55.464176.json")</f>
        <v>57.28459_55.464176.json</v>
      </c>
      <c r="U271" t="s">
        <v>1236</v>
      </c>
      <c r="V271" s="7" t="s">
        <v>34</v>
      </c>
      <c r="W271" s="19">
        <v>13468.057755033909</v>
      </c>
      <c r="X271" s="17">
        <v>8422.7064036825577</v>
      </c>
      <c r="Y271">
        <v>0</v>
      </c>
    </row>
    <row r="272" spans="1:25">
      <c r="A272" s="8">
        <v>272</v>
      </c>
      <c r="B272">
        <v>59</v>
      </c>
      <c r="C272" s="1">
        <v>319.3</v>
      </c>
      <c r="D272" s="2" t="str">
        <f>HYPERLINK("https://torgi.gov.ru/new/public/lots/lot/22000013150000000004_1/(lotInfo:info)", "22000013150000000004_1")</f>
        <v>22000013150000000004_1</v>
      </c>
      <c r="E272" t="s">
        <v>1237</v>
      </c>
      <c r="F272" s="3" t="s">
        <v>1238</v>
      </c>
      <c r="G272" t="s">
        <v>1239</v>
      </c>
      <c r="H272" s="4">
        <v>1818000</v>
      </c>
      <c r="I272" s="4">
        <v>5693.7049796429692</v>
      </c>
      <c r="J272" s="5" t="s">
        <v>29</v>
      </c>
      <c r="K272" s="5">
        <v>1.83</v>
      </c>
      <c r="L272" s="4">
        <v>218.96</v>
      </c>
      <c r="M272">
        <v>3118</v>
      </c>
      <c r="N272" t="s">
        <v>1240</v>
      </c>
      <c r="O272">
        <v>26</v>
      </c>
      <c r="P272" s="6">
        <v>400</v>
      </c>
      <c r="Q272" t="s">
        <v>31</v>
      </c>
      <c r="R272" t="s">
        <v>32</v>
      </c>
      <c r="S272" s="2" t="str">
        <f>HYPERLINK("https://yandex.ru/maps/?&amp;text=59.637165, 56.74355", "59.637165, 56.74355")</f>
        <v>59.637165, 56.74355</v>
      </c>
      <c r="T272" s="2" t="str">
        <f>HYPERLINK("D:\venv_torgi\env\cache\objs_in_district/59.637165_56.74355.json", "59.637165_56.74355.json")</f>
        <v>59.637165_56.74355.json</v>
      </c>
      <c r="U272" t="s">
        <v>1241</v>
      </c>
      <c r="V272" s="7" t="s">
        <v>34</v>
      </c>
      <c r="W272" s="16">
        <v>13468.057755033909</v>
      </c>
      <c r="X272" s="17">
        <v>7774.3527753909402</v>
      </c>
      <c r="Y272">
        <v>0</v>
      </c>
    </row>
    <row r="273" spans="1:26">
      <c r="A273" s="8">
        <v>273</v>
      </c>
      <c r="B273">
        <v>59</v>
      </c>
      <c r="C273" s="1">
        <v>128.9</v>
      </c>
      <c r="D273" s="2" t="str">
        <f>HYPERLINK("https://torgi.gov.ru/new/public/lots/lot/21000032160000000004_1/(lotInfo:info)", "21000032160000000004_1")</f>
        <v>21000032160000000004_1</v>
      </c>
      <c r="E273" t="s">
        <v>1242</v>
      </c>
      <c r="F273" s="3" t="s">
        <v>1243</v>
      </c>
      <c r="G273" t="s">
        <v>1244</v>
      </c>
      <c r="H273" s="4">
        <v>870000</v>
      </c>
      <c r="I273" s="4">
        <v>6749.4181536074466</v>
      </c>
      <c r="J273" s="5" t="s">
        <v>29</v>
      </c>
      <c r="K273" s="5">
        <v>1.93</v>
      </c>
      <c r="L273" s="4">
        <v>293.43</v>
      </c>
      <c r="M273">
        <v>3495</v>
      </c>
      <c r="N273" t="s">
        <v>1245</v>
      </c>
      <c r="O273">
        <v>23</v>
      </c>
      <c r="P273" s="6">
        <v>200</v>
      </c>
      <c r="Q273" t="s">
        <v>31</v>
      </c>
      <c r="R273" t="s">
        <v>32</v>
      </c>
      <c r="S273" s="2" t="str">
        <f>HYPERLINK("https://yandex.ru/maps/?&amp;text=58.100716, 57.806335", "58.100716, 57.806335")</f>
        <v>58.100716, 57.806335</v>
      </c>
      <c r="T273" s="2" t="str">
        <f>HYPERLINK("D:\venv_torgi\env\cache\objs_in_district/58.100716_57.806335.json", "58.100716_57.806335.json")</f>
        <v>58.100716_57.806335.json</v>
      </c>
      <c r="U273" t="s">
        <v>1246</v>
      </c>
      <c r="V273" s="7" t="s">
        <v>39</v>
      </c>
      <c r="W273" s="16">
        <v>13468.057755033909</v>
      </c>
      <c r="X273" s="17">
        <v>6718.6396014264628</v>
      </c>
      <c r="Y273">
        <v>0</v>
      </c>
    </row>
    <row r="274" spans="1:26">
      <c r="A274" s="8">
        <v>274</v>
      </c>
      <c r="B274">
        <v>59</v>
      </c>
      <c r="C274" s="1">
        <v>141.19999999999999</v>
      </c>
      <c r="D274" s="2" t="str">
        <f>HYPERLINK("https://torgi.gov.ru/new/public/lots/lot/21000020210000000032_12/(lotInfo:info)", "21000020210000000032_12")</f>
        <v>21000020210000000032_12</v>
      </c>
      <c r="E274" t="s">
        <v>1247</v>
      </c>
      <c r="F274" s="3" t="s">
        <v>1248</v>
      </c>
      <c r="G274" t="s">
        <v>1249</v>
      </c>
      <c r="H274" s="4">
        <v>1100000</v>
      </c>
      <c r="I274" s="4">
        <v>7790.368271954675</v>
      </c>
      <c r="J274" s="5" t="s">
        <v>29</v>
      </c>
      <c r="K274" s="5">
        <v>15.33</v>
      </c>
      <c r="L274" s="4">
        <v>299.62</v>
      </c>
      <c r="M274">
        <v>508</v>
      </c>
      <c r="N274" t="s">
        <v>1250</v>
      </c>
      <c r="O274">
        <v>26</v>
      </c>
      <c r="P274" s="6">
        <v>200</v>
      </c>
      <c r="Q274" t="s">
        <v>40</v>
      </c>
      <c r="R274" t="s">
        <v>32</v>
      </c>
      <c r="S274" s="2" t="str">
        <f>HYPERLINK("https://yandex.ru/maps/?&amp;text=59.428734, 56.68382", "59.428734, 56.68382")</f>
        <v>59.428734, 56.68382</v>
      </c>
      <c r="T274" s="2" t="str">
        <f>HYPERLINK("D:\venv_torgi\env\cache\objs_in_district/59.428734_56.68382.json", "59.428734_56.68382.json")</f>
        <v>59.428734_56.68382.json</v>
      </c>
      <c r="U274" t="s">
        <v>1251</v>
      </c>
      <c r="V274" s="7" t="s">
        <v>128</v>
      </c>
      <c r="W274" s="16">
        <v>13468.057755033909</v>
      </c>
      <c r="X274" s="17">
        <v>5677.6894830792344</v>
      </c>
      <c r="Y274">
        <v>0</v>
      </c>
    </row>
    <row r="275" spans="1:26">
      <c r="A275" s="8">
        <v>275</v>
      </c>
      <c r="B275">
        <v>59</v>
      </c>
      <c r="C275" s="1">
        <v>205.3</v>
      </c>
      <c r="D275" s="2" t="str">
        <f>HYPERLINK("https://torgi.gov.ru/new/public/lots/lot/22000013150000000007_1/(lotInfo:info)", "22000013150000000007_1")</f>
        <v>22000013150000000007_1</v>
      </c>
      <c r="E275" t="s">
        <v>1252</v>
      </c>
      <c r="F275" s="3" t="s">
        <v>1253</v>
      </c>
      <c r="G275" t="s">
        <v>1254</v>
      </c>
      <c r="H275" s="4">
        <v>1609000</v>
      </c>
      <c r="I275" s="4">
        <v>7837.3112518265943</v>
      </c>
      <c r="J275" s="5" t="s">
        <v>29</v>
      </c>
      <c r="K275" s="5">
        <v>2.68</v>
      </c>
      <c r="L275" s="4">
        <v>356.23</v>
      </c>
      <c r="M275">
        <v>2925</v>
      </c>
      <c r="N275" t="s">
        <v>1240</v>
      </c>
      <c r="O275">
        <v>22</v>
      </c>
      <c r="P275" s="6">
        <v>200</v>
      </c>
      <c r="Q275" t="s">
        <v>31</v>
      </c>
      <c r="R275" t="s">
        <v>32</v>
      </c>
      <c r="S275" s="2" t="str">
        <f>HYPERLINK("https://yandex.ru/maps/?&amp;text=59.640835, 56.749783", "59.640835, 56.749783")</f>
        <v>59.640835, 56.749783</v>
      </c>
      <c r="T275" s="2" t="str">
        <f>HYPERLINK("D:\venv_torgi\env\cache\objs_in_district/59.640835_56.749783.json", "59.640835_56.749783.json")</f>
        <v>59.640835_56.749783.json</v>
      </c>
      <c r="U275" t="s">
        <v>1255</v>
      </c>
      <c r="V275" s="7" t="s">
        <v>34</v>
      </c>
      <c r="W275" s="16">
        <v>13468.057755033909</v>
      </c>
      <c r="X275" s="17">
        <v>5630.7465032073151</v>
      </c>
      <c r="Y275">
        <v>0</v>
      </c>
    </row>
    <row r="276" spans="1:26">
      <c r="A276" s="8">
        <v>276</v>
      </c>
      <c r="B276">
        <v>59</v>
      </c>
      <c r="C276" s="1">
        <v>78.2</v>
      </c>
      <c r="D276" s="2" t="str">
        <f>HYPERLINK("https://torgi.gov.ru/new/public/lots/lot/21000012310000000004_4/(lotInfo:info)", "21000012310000000004_4")</f>
        <v>21000012310000000004_4</v>
      </c>
      <c r="E276" t="s">
        <v>1256</v>
      </c>
      <c r="F276" s="3" t="s">
        <v>1257</v>
      </c>
      <c r="G276" t="s">
        <v>1258</v>
      </c>
      <c r="H276" s="4">
        <v>652500</v>
      </c>
      <c r="I276" s="4">
        <v>8343.9897698209716</v>
      </c>
      <c r="J276" s="5" t="s">
        <v>29</v>
      </c>
      <c r="K276" s="5">
        <v>2.38</v>
      </c>
      <c r="L276" s="4">
        <v>1668.6</v>
      </c>
      <c r="M276">
        <v>3504</v>
      </c>
      <c r="N276" t="s">
        <v>1259</v>
      </c>
      <c r="O276">
        <v>5</v>
      </c>
      <c r="P276" s="6">
        <v>800</v>
      </c>
      <c r="Q276" t="s">
        <v>31</v>
      </c>
      <c r="R276" t="s">
        <v>32</v>
      </c>
      <c r="S276" s="2" t="str">
        <f>HYPERLINK("https://yandex.ru/maps/?&amp;text=58.13516, 56.381195", "58.13516, 56.381195")</f>
        <v>58.13516, 56.381195</v>
      </c>
      <c r="T276" s="2" t="str">
        <f>HYPERLINK("D:\venv_torgi\env\cache\objs_in_district/58.13516_56.381195.json", "58.13516_56.381195.json")</f>
        <v>58.13516_56.381195.json</v>
      </c>
      <c r="U276" t="s">
        <v>1260</v>
      </c>
      <c r="V276" s="7" t="s">
        <v>39</v>
      </c>
      <c r="W276" s="16">
        <v>13468.057755033909</v>
      </c>
      <c r="X276" s="17">
        <v>5124.0679852129379</v>
      </c>
      <c r="Y276">
        <v>0</v>
      </c>
    </row>
    <row r="277" spans="1:26">
      <c r="A277" s="8">
        <v>277</v>
      </c>
      <c r="B277">
        <v>59</v>
      </c>
      <c r="C277" s="1">
        <v>89.3</v>
      </c>
      <c r="D277" s="2" t="str">
        <f>HYPERLINK("https://torgi.gov.ru/new/public/lots/lot/22000019350000000001_3/(lotInfo:info)", "22000019350000000001_3")</f>
        <v>22000019350000000001_3</v>
      </c>
      <c r="E277" t="s">
        <v>1261</v>
      </c>
      <c r="F277" s="3" t="s">
        <v>1233</v>
      </c>
      <c r="G277" t="s">
        <v>1234</v>
      </c>
      <c r="H277" s="4">
        <v>802880</v>
      </c>
      <c r="I277" s="4">
        <v>8990.817469204927</v>
      </c>
      <c r="J277" s="5" t="s">
        <v>2080</v>
      </c>
      <c r="K277" s="5">
        <v>2.78</v>
      </c>
      <c r="L277" s="4">
        <v>2247.5</v>
      </c>
      <c r="M277">
        <v>3230</v>
      </c>
      <c r="N277" t="s">
        <v>1235</v>
      </c>
      <c r="O277">
        <v>4</v>
      </c>
      <c r="P277" s="6">
        <v>800</v>
      </c>
      <c r="Q277" t="s">
        <v>31</v>
      </c>
      <c r="R277" t="s">
        <v>32</v>
      </c>
      <c r="S277" s="2" t="str">
        <f>HYPERLINK("https://yandex.ru/maps/?&amp;text=57.28459, 55.464176", "57.28459, 55.464176")</f>
        <v>57.28459, 55.464176</v>
      </c>
      <c r="T277" s="2" t="str">
        <f>HYPERLINK("D:\venv_torgi\env\cache\objs_in_district/57.28459_55.464176.json", "57.28459_55.464176.json")</f>
        <v>57.28459_55.464176.json</v>
      </c>
      <c r="U277" t="s">
        <v>1262</v>
      </c>
      <c r="V277" s="7" t="s">
        <v>34</v>
      </c>
      <c r="W277" s="16">
        <v>13468.057755033909</v>
      </c>
      <c r="X277" s="17">
        <v>4477.2402858289825</v>
      </c>
      <c r="Y277">
        <v>0</v>
      </c>
    </row>
    <row r="278" spans="1:26">
      <c r="A278" s="8">
        <v>278</v>
      </c>
      <c r="B278">
        <v>59</v>
      </c>
      <c r="C278" s="1">
        <v>91.4</v>
      </c>
      <c r="D278" s="2" t="str">
        <f>HYPERLINK("https://torgi.gov.ru/new/public/lots/lot/21000012310000000007_2/(lotInfo:info)", "21000012310000000007_2")</f>
        <v>21000012310000000007_2</v>
      </c>
      <c r="E278" t="s">
        <v>1263</v>
      </c>
      <c r="F278" s="3" t="s">
        <v>130</v>
      </c>
      <c r="G278" t="s">
        <v>1264</v>
      </c>
      <c r="H278" s="4">
        <v>960000</v>
      </c>
      <c r="I278" s="4">
        <v>10503.282275711161</v>
      </c>
      <c r="J278" s="5" t="s">
        <v>952</v>
      </c>
      <c r="K278" s="5">
        <v>2.95</v>
      </c>
      <c r="L278" s="4">
        <v>1167</v>
      </c>
      <c r="M278">
        <v>3558</v>
      </c>
      <c r="N278" t="s">
        <v>1259</v>
      </c>
      <c r="O278">
        <v>9</v>
      </c>
      <c r="P278" s="6">
        <v>200</v>
      </c>
      <c r="Q278" t="s">
        <v>31</v>
      </c>
      <c r="R278" t="s">
        <v>32</v>
      </c>
      <c r="S278" s="2" t="str">
        <f>HYPERLINK("https://yandex.ru/maps/?&amp;text=58.114758, 56.31765", "58.114758, 56.31765")</f>
        <v>58.114758, 56.31765</v>
      </c>
      <c r="T278" s="2" t="str">
        <f>HYPERLINK("D:\venv_torgi\env\cache\objs_in_district/58.114758_56.31765.json", "58.114758_56.31765.json")</f>
        <v>58.114758_56.31765.json</v>
      </c>
      <c r="U278" t="s">
        <v>1265</v>
      </c>
      <c r="V278" s="7" t="s">
        <v>39</v>
      </c>
      <c r="W278" s="16">
        <v>13468.057755033909</v>
      </c>
      <c r="X278" s="17">
        <v>2964.7754793227491</v>
      </c>
      <c r="Y278">
        <v>0</v>
      </c>
    </row>
    <row r="279" spans="1:26">
      <c r="A279" s="8">
        <v>279</v>
      </c>
      <c r="B279">
        <v>59</v>
      </c>
      <c r="C279" s="1">
        <v>110.2</v>
      </c>
      <c r="D279" s="2" t="str">
        <f>HYPERLINK("https://torgi.gov.ru/new/public/lots/lot/21000023740000000001_3/(lotInfo:info)", "21000023740000000001_3")</f>
        <v>21000023740000000001_3</v>
      </c>
      <c r="E279" t="s">
        <v>1266</v>
      </c>
      <c r="F279" s="3" t="s">
        <v>1267</v>
      </c>
      <c r="G279" t="s">
        <v>1268</v>
      </c>
      <c r="H279" s="4">
        <v>1790000</v>
      </c>
      <c r="I279" s="4">
        <v>16243.194192377499</v>
      </c>
      <c r="J279" s="5" t="s">
        <v>29</v>
      </c>
      <c r="K279" s="5">
        <v>3.03</v>
      </c>
      <c r="L279" s="4">
        <v>416.49</v>
      </c>
      <c r="M279">
        <v>5358</v>
      </c>
      <c r="N279" t="s">
        <v>1269</v>
      </c>
      <c r="O279">
        <v>39</v>
      </c>
      <c r="P279" s="6">
        <v>600</v>
      </c>
      <c r="Q279" t="s">
        <v>31</v>
      </c>
      <c r="R279" t="s">
        <v>32</v>
      </c>
      <c r="S279" s="2" t="str">
        <f>HYPERLINK("https://yandex.ru/maps/?&amp;text=58.467343, 56.397779", "58.467343, 56.397779")</f>
        <v>58.467343, 56.397779</v>
      </c>
      <c r="T279" s="2" t="str">
        <f>HYPERLINK("D:\venv_torgi\env\cache\objs_in_district/58.467343_56.397779.json", "58.467343_56.397779.json")</f>
        <v>58.467343_56.397779.json</v>
      </c>
      <c r="U279" t="s">
        <v>1270</v>
      </c>
      <c r="V279" s="7" t="s">
        <v>34</v>
      </c>
      <c r="W279" s="16">
        <v>28561.270488224061</v>
      </c>
      <c r="X279" s="17">
        <v>12318.07629584656</v>
      </c>
      <c r="Y279">
        <v>0</v>
      </c>
    </row>
    <row r="280" spans="1:26">
      <c r="A280" s="8">
        <v>280</v>
      </c>
      <c r="B280">
        <v>59</v>
      </c>
      <c r="C280" s="1">
        <v>48.5</v>
      </c>
      <c r="D280" s="2" t="str">
        <f>HYPERLINK("https://torgi.gov.ru/new/public/lots/lot/21000012310000000004_3/(lotInfo:info)", "21000012310000000004_3")</f>
        <v>21000012310000000004_3</v>
      </c>
      <c r="E280" t="s">
        <v>1271</v>
      </c>
      <c r="F280" s="3" t="s">
        <v>1257</v>
      </c>
      <c r="G280" t="s">
        <v>1272</v>
      </c>
      <c r="H280" s="4">
        <v>800000</v>
      </c>
      <c r="I280" s="4">
        <v>16494.84536082474</v>
      </c>
      <c r="J280" s="5" t="s">
        <v>29</v>
      </c>
      <c r="K280" s="5">
        <v>2.4500000000000002</v>
      </c>
      <c r="L280" s="4">
        <v>687.25</v>
      </c>
      <c r="M280">
        <v>6723</v>
      </c>
      <c r="N280" t="s">
        <v>1259</v>
      </c>
      <c r="O280">
        <v>24</v>
      </c>
      <c r="P280" s="6">
        <v>700</v>
      </c>
      <c r="Q280" t="s">
        <v>31</v>
      </c>
      <c r="R280" t="s">
        <v>32</v>
      </c>
      <c r="S280" s="2" t="str">
        <f>HYPERLINK("https://yandex.ru/maps/?&amp;text=58.107048, 56.298634", "58.107048, 56.298634")</f>
        <v>58.107048, 56.298634</v>
      </c>
      <c r="T280" s="2" t="str">
        <f>HYPERLINK("D:\venv_torgi\env\cache\objs_in_district/58.107048_56.298634.json", "58.107048_56.298634.json")</f>
        <v>58.107048_56.298634.json</v>
      </c>
      <c r="U280" t="s">
        <v>1273</v>
      </c>
      <c r="V280" s="7" t="s">
        <v>34</v>
      </c>
      <c r="W280" s="16">
        <v>13468.057755033909</v>
      </c>
      <c r="X280" s="18">
        <v>-3026.7876057908311</v>
      </c>
      <c r="Y280">
        <v>0</v>
      </c>
    </row>
    <row r="281" spans="1:26">
      <c r="A281" s="8">
        <v>281</v>
      </c>
      <c r="B281">
        <v>59</v>
      </c>
      <c r="C281" s="1">
        <v>199.6</v>
      </c>
      <c r="D281" s="2" t="str">
        <f>HYPERLINK("https://torgi.gov.ru/new/public/lots/lot/21000012310000000004_1/(lotInfo:info)", "21000012310000000004_1")</f>
        <v>21000012310000000004_1</v>
      </c>
      <c r="E281" t="s">
        <v>1274</v>
      </c>
      <c r="F281" s="3" t="s">
        <v>1257</v>
      </c>
      <c r="G281" t="s">
        <v>1275</v>
      </c>
      <c r="H281" s="4">
        <v>6405000</v>
      </c>
      <c r="I281" s="4">
        <v>32089.17835671343</v>
      </c>
      <c r="J281" s="5" t="s">
        <v>29</v>
      </c>
      <c r="K281" s="5">
        <v>3.55</v>
      </c>
      <c r="L281" s="4">
        <v>1069.6300000000001</v>
      </c>
      <c r="M281">
        <v>9051</v>
      </c>
      <c r="N281" t="s">
        <v>1259</v>
      </c>
      <c r="O281">
        <v>30</v>
      </c>
      <c r="Q281" t="s">
        <v>31</v>
      </c>
      <c r="R281" t="s">
        <v>32</v>
      </c>
      <c r="S281" s="2" t="str">
        <f>HYPERLINK("https://yandex.ru/maps/?&amp;text=57.999315, 56.290232", "57.999315, 56.290232")</f>
        <v>57.999315, 56.290232</v>
      </c>
      <c r="T281" s="2" t="str">
        <f>HYPERLINK("D:\venv_torgi\env\cache\objs_in_district/57.999315_56.290232.json", "57.999315_56.290232.json")</f>
        <v>57.999315_56.290232.json</v>
      </c>
      <c r="U281" t="s">
        <v>1276</v>
      </c>
      <c r="V281" s="7" t="s">
        <v>122</v>
      </c>
      <c r="W281" s="16">
        <v>13468.057755033909</v>
      </c>
      <c r="X281" s="18">
        <v>-18621.120601679519</v>
      </c>
      <c r="Y281">
        <v>0</v>
      </c>
    </row>
    <row r="282" spans="1:26">
      <c r="A282" s="8">
        <v>282</v>
      </c>
      <c r="B282">
        <v>59</v>
      </c>
      <c r="C282" s="1">
        <v>26.7</v>
      </c>
      <c r="D282" s="2" t="str">
        <f>HYPERLINK("https://torgi.gov.ru/new/public/lots/lot/21000012310000000011_5/(lotInfo:info)", "21000012310000000011_5")</f>
        <v>21000012310000000011_5</v>
      </c>
      <c r="E282" t="s">
        <v>1277</v>
      </c>
      <c r="F282" s="3" t="s">
        <v>1278</v>
      </c>
      <c r="G282" t="s">
        <v>1279</v>
      </c>
      <c r="H282" s="4">
        <v>1100000</v>
      </c>
      <c r="I282" s="4">
        <v>41198.501872659181</v>
      </c>
      <c r="J282" s="5" t="s">
        <v>29</v>
      </c>
      <c r="K282" s="5">
        <v>11.85</v>
      </c>
      <c r="L282" s="4">
        <v>1420.62</v>
      </c>
      <c r="M282">
        <v>3477</v>
      </c>
      <c r="N282" t="s">
        <v>1259</v>
      </c>
      <c r="O282">
        <v>29</v>
      </c>
      <c r="P282" s="6">
        <v>200</v>
      </c>
      <c r="Q282" t="s">
        <v>31</v>
      </c>
      <c r="R282" t="s">
        <v>32</v>
      </c>
      <c r="S282" s="2" t="str">
        <f>HYPERLINK("https://yandex.ru/maps/?&amp;text=58.043272, 56.088057", "58.043272, 56.088057")</f>
        <v>58.043272, 56.088057</v>
      </c>
      <c r="T282" s="2" t="str">
        <f>HYPERLINK("D:\venv_torgi\env\cache\objs_in_district/58.043272_56.088057.json", "58.043272_56.088057.json")</f>
        <v>58.043272_56.088057.json</v>
      </c>
      <c r="U282" t="s">
        <v>1280</v>
      </c>
      <c r="V282" s="7" t="s">
        <v>34</v>
      </c>
      <c r="W282" s="16">
        <v>43230.857511277092</v>
      </c>
      <c r="X282" s="17">
        <v>2032.3556386179121</v>
      </c>
      <c r="Y282">
        <v>0</v>
      </c>
    </row>
    <row r="283" spans="1:26">
      <c r="A283" s="8">
        <v>283</v>
      </c>
      <c r="B283">
        <v>59</v>
      </c>
      <c r="C283" s="1">
        <v>15.3</v>
      </c>
      <c r="D283" s="2" t="str">
        <f>HYPERLINK("https://torgi.gov.ru/new/public/lots/lot/21000012310000000003_1/(lotInfo:info)", "21000012310000000003_1")</f>
        <v>21000012310000000003_1</v>
      </c>
      <c r="E283" t="s">
        <v>1281</v>
      </c>
      <c r="F283" s="3" t="s">
        <v>690</v>
      </c>
      <c r="G283" t="s">
        <v>1282</v>
      </c>
      <c r="H283" s="4">
        <v>647500</v>
      </c>
      <c r="I283" s="4">
        <v>42320.261437908492</v>
      </c>
      <c r="J283" s="5" t="s">
        <v>29</v>
      </c>
      <c r="K283" s="5">
        <v>5.52</v>
      </c>
      <c r="L283" s="4">
        <v>1143.78</v>
      </c>
      <c r="M283">
        <v>7668</v>
      </c>
      <c r="N283" t="s">
        <v>1259</v>
      </c>
      <c r="O283">
        <v>37</v>
      </c>
      <c r="P283" s="6">
        <v>800</v>
      </c>
      <c r="Q283" t="s">
        <v>31</v>
      </c>
      <c r="R283" t="s">
        <v>32</v>
      </c>
      <c r="S283" s="2" t="str">
        <f>HYPERLINK("https://yandex.ru/maps/?&amp;text=57.9852, 56.202126", "57.9852, 56.202126")</f>
        <v>57.9852, 56.202126</v>
      </c>
      <c r="T283" s="2" t="str">
        <f>HYPERLINK("D:\venv_torgi\env\cache\objs_in_district/57.9852_56.202126.json", "57.9852_56.202126.json")</f>
        <v>57.9852_56.202126.json</v>
      </c>
      <c r="U283" t="s">
        <v>1283</v>
      </c>
      <c r="V283" s="7" t="s">
        <v>34</v>
      </c>
      <c r="W283" s="16">
        <v>43230.857511277092</v>
      </c>
      <c r="X283" s="19">
        <v>910.59607336860063</v>
      </c>
      <c r="Y283">
        <v>0</v>
      </c>
    </row>
    <row r="284" spans="1:26">
      <c r="A284" s="8">
        <v>284</v>
      </c>
      <c r="B284">
        <v>59</v>
      </c>
      <c r="C284" s="1">
        <v>33</v>
      </c>
      <c r="D284" s="2" t="str">
        <f>HYPERLINK("https://torgi.gov.ru/new/public/lots/lot/21000012310000000011_7/(lotInfo:info)", "21000012310000000011_7")</f>
        <v>21000012310000000011_7</v>
      </c>
      <c r="E284" t="s">
        <v>1284</v>
      </c>
      <c r="F284" s="3" t="s">
        <v>1278</v>
      </c>
      <c r="G284" t="s">
        <v>1285</v>
      </c>
      <c r="H284" s="4">
        <v>1650000</v>
      </c>
      <c r="I284" s="4">
        <v>50000</v>
      </c>
      <c r="J284" s="5" t="s">
        <v>29</v>
      </c>
      <c r="K284" s="5">
        <v>7.81</v>
      </c>
      <c r="L284" s="4">
        <v>714.29</v>
      </c>
      <c r="M284">
        <v>6405</v>
      </c>
      <c r="N284" t="s">
        <v>1259</v>
      </c>
      <c r="O284">
        <v>70</v>
      </c>
      <c r="P284" s="6">
        <v>100</v>
      </c>
      <c r="Q284" t="s">
        <v>31</v>
      </c>
      <c r="R284" t="s">
        <v>32</v>
      </c>
      <c r="S284" s="2" t="str">
        <f>HYPERLINK("https://yandex.ru/maps/?&amp;text=57.9897578, 56.2493681", "57.9897578, 56.2493681")</f>
        <v>57.9897578, 56.2493681</v>
      </c>
      <c r="T284" s="2" t="str">
        <f>HYPERLINK("D:\venv_torgi\env\cache\objs_in_district/57.9897578_56.2493681.json", "57.9897578_56.2493681.json")</f>
        <v>57.9897578_56.2493681.json</v>
      </c>
      <c r="U284" t="s">
        <v>1286</v>
      </c>
      <c r="V284" s="7" t="s">
        <v>107</v>
      </c>
      <c r="W284" s="16">
        <v>43230.857511277092</v>
      </c>
      <c r="X284" s="18">
        <v>-6769.1424887229077</v>
      </c>
      <c r="Y284">
        <v>0</v>
      </c>
    </row>
    <row r="285" spans="1:26">
      <c r="A285" s="8">
        <v>285</v>
      </c>
      <c r="B285">
        <v>59</v>
      </c>
      <c r="C285" s="1">
        <v>37.200000000000003</v>
      </c>
      <c r="D285" s="2" t="str">
        <f>HYPERLINK("https://torgi.gov.ru/new/public/lots/lot/21000012310000000011_3/(lotInfo:info)", "21000012310000000011_3")</f>
        <v>21000012310000000011_3</v>
      </c>
      <c r="E285" t="s">
        <v>1287</v>
      </c>
      <c r="F285" s="3" t="s">
        <v>1278</v>
      </c>
      <c r="G285" t="s">
        <v>1288</v>
      </c>
      <c r="H285" s="4">
        <v>2175000</v>
      </c>
      <c r="I285" s="4">
        <v>58467.741935483857</v>
      </c>
      <c r="J285" s="5" t="s">
        <v>29</v>
      </c>
      <c r="K285" s="5">
        <v>11.54</v>
      </c>
      <c r="L285" s="4">
        <v>1827.09</v>
      </c>
      <c r="M285">
        <v>5067</v>
      </c>
      <c r="N285" t="s">
        <v>1259</v>
      </c>
      <c r="O285">
        <v>32</v>
      </c>
      <c r="P285" s="6">
        <v>100</v>
      </c>
      <c r="Q285" t="s">
        <v>31</v>
      </c>
      <c r="R285" t="s">
        <v>32</v>
      </c>
      <c r="S285" s="2" t="str">
        <f>HYPERLINK("https://yandex.ru/maps/?&amp;text=58.01995, 56.27859", "58.01995, 56.27859")</f>
        <v>58.01995, 56.27859</v>
      </c>
      <c r="T285" s="2" t="str">
        <f>HYPERLINK("D:\venv_torgi\env\cache\objs_in_district/58.01995_56.27859.json", "58.01995_56.27859.json")</f>
        <v>58.01995_56.27859.json</v>
      </c>
      <c r="U285" t="s">
        <v>1289</v>
      </c>
      <c r="V285" s="7" t="s">
        <v>34</v>
      </c>
      <c r="W285" s="16">
        <v>43230.857511277092</v>
      </c>
      <c r="X285" s="18">
        <v>-15236.884424206761</v>
      </c>
      <c r="Y285">
        <v>0</v>
      </c>
    </row>
    <row r="286" spans="1:26">
      <c r="A286" s="8">
        <v>286</v>
      </c>
      <c r="B286">
        <v>59</v>
      </c>
      <c r="C286" s="1">
        <v>11.5</v>
      </c>
      <c r="D286" s="2" t="str">
        <f>HYPERLINK("https://torgi.gov.ru/new/public/lots/lot/21000012310000000004_2/(lotInfo:info)", "21000012310000000004_2")</f>
        <v>21000012310000000004_2</v>
      </c>
      <c r="E286" t="s">
        <v>1290</v>
      </c>
      <c r="F286" s="3" t="s">
        <v>1257</v>
      </c>
      <c r="G286" t="s">
        <v>1291</v>
      </c>
      <c r="H286" s="4">
        <v>2035000</v>
      </c>
      <c r="I286" s="4">
        <v>176956.5217391304</v>
      </c>
      <c r="J286" s="5" t="s">
        <v>952</v>
      </c>
      <c r="K286" s="5">
        <v>26.95</v>
      </c>
      <c r="L286" s="4">
        <v>4021.73</v>
      </c>
      <c r="M286">
        <v>6567</v>
      </c>
      <c r="N286" t="s">
        <v>1259</v>
      </c>
      <c r="O286">
        <v>44</v>
      </c>
      <c r="P286" s="6">
        <v>500</v>
      </c>
      <c r="Q286" t="s">
        <v>31</v>
      </c>
      <c r="R286" t="s">
        <v>32</v>
      </c>
      <c r="S286" s="2" t="str">
        <f>HYPERLINK("https://yandex.ru/maps/?&amp;text=58.01732, 56.242406", "58.01732, 56.242406")</f>
        <v>58.01732, 56.242406</v>
      </c>
      <c r="T286" s="2" t="str">
        <f>HYPERLINK("D:\venv_torgi\env\cache\objs_in_district/58.01732_56.242406.json", "58.01732_56.242406.json")</f>
        <v>58.01732_56.242406.json</v>
      </c>
      <c r="U286" t="s">
        <v>1292</v>
      </c>
      <c r="V286" s="7" t="s">
        <v>34</v>
      </c>
      <c r="W286" s="16">
        <v>176956.5217391304</v>
      </c>
      <c r="X286" s="19">
        <v>0</v>
      </c>
      <c r="Y286">
        <v>0</v>
      </c>
    </row>
    <row r="287" spans="1:26">
      <c r="A287" s="8">
        <v>287</v>
      </c>
      <c r="B287">
        <v>59</v>
      </c>
      <c r="C287" s="1">
        <v>12.8</v>
      </c>
      <c r="D287" s="2" t="str">
        <f>HYPERLINK("https://torgi.gov.ru/new/public/lots/lot/21000012310000000003_2/(lotInfo:info)", "21000012310000000003_2")</f>
        <v>21000012310000000003_2</v>
      </c>
      <c r="E287" t="s">
        <v>1293</v>
      </c>
      <c r="F287" s="3" t="s">
        <v>690</v>
      </c>
      <c r="G287" t="s">
        <v>1294</v>
      </c>
      <c r="H287" s="4">
        <v>2370000</v>
      </c>
      <c r="I287" s="4">
        <v>185156.25</v>
      </c>
      <c r="J287" s="5" t="s">
        <v>29</v>
      </c>
      <c r="K287" s="5">
        <v>21.14</v>
      </c>
      <c r="L287" s="4">
        <v>3560.69</v>
      </c>
      <c r="M287">
        <v>8760</v>
      </c>
      <c r="N287" t="s">
        <v>1259</v>
      </c>
      <c r="O287">
        <v>52</v>
      </c>
      <c r="P287" s="6">
        <v>500</v>
      </c>
      <c r="Q287" t="s">
        <v>31</v>
      </c>
      <c r="R287" t="s">
        <v>32</v>
      </c>
      <c r="S287" s="2" t="str">
        <f>HYPERLINK("https://yandex.ru/maps/?&amp;text=57.997913, 56.1437", "57.997913, 56.1437")</f>
        <v>57.997913, 56.1437</v>
      </c>
      <c r="T287" s="2" t="str">
        <f>HYPERLINK("D:\venv_torgi\env\cache\objs_in_district/57.997913_56.1437.json", "57.997913_56.1437.json")</f>
        <v>57.997913_56.1437.json</v>
      </c>
      <c r="U287" t="s">
        <v>1295</v>
      </c>
      <c r="V287" s="7" t="s">
        <v>34</v>
      </c>
      <c r="W287" s="16">
        <v>43230.857511277092</v>
      </c>
      <c r="X287" s="18">
        <v>-141925.39248872289</v>
      </c>
      <c r="Y287">
        <v>0</v>
      </c>
    </row>
    <row r="288" spans="1:26">
      <c r="A288" s="8">
        <v>288</v>
      </c>
      <c r="B288">
        <v>60</v>
      </c>
      <c r="C288" s="1">
        <v>219</v>
      </c>
      <c r="D288" s="2" t="str">
        <f>HYPERLINK("https://torgi.gov.ru/new/public/lots/lot/21000033830000000006_1/(lotInfo:info)", "21000033830000000006_1")</f>
        <v>21000033830000000006_1</v>
      </c>
      <c r="E288" t="s">
        <v>1296</v>
      </c>
      <c r="F288" s="3" t="s">
        <v>1297</v>
      </c>
      <c r="G288" t="s">
        <v>1298</v>
      </c>
      <c r="H288" s="4">
        <v>1805700</v>
      </c>
      <c r="I288" s="4">
        <v>8245.2054794520554</v>
      </c>
      <c r="J288" s="5" t="s">
        <v>2079</v>
      </c>
      <c r="K288" s="5">
        <v>4.1100000000000003</v>
      </c>
      <c r="L288" s="4">
        <v>132.97999999999999</v>
      </c>
      <c r="M288">
        <v>2007</v>
      </c>
      <c r="N288" t="s">
        <v>1299</v>
      </c>
      <c r="O288">
        <v>62</v>
      </c>
      <c r="P288" s="6">
        <v>300</v>
      </c>
      <c r="Q288" t="s">
        <v>31</v>
      </c>
      <c r="R288" t="s">
        <v>32</v>
      </c>
      <c r="S288" s="2" t="str">
        <f>HYPERLINK("https://yandex.ru/maps/?&amp;text=57.813397, 27.613826", "57.813397, 27.613826")</f>
        <v>57.813397, 27.613826</v>
      </c>
      <c r="T288" s="2" t="str">
        <f>HYPERLINK("D:\venv_torgi\env\cache\objs_in_district/57.813397_27.613826.json", "57.813397_27.613826.json")</f>
        <v>57.813397_27.613826.json</v>
      </c>
      <c r="U288" t="s">
        <v>1300</v>
      </c>
      <c r="V288" s="7" t="s">
        <v>128</v>
      </c>
      <c r="W288" s="16">
        <v>19931.15122427437</v>
      </c>
      <c r="X288" s="21">
        <v>11685.94574482232</v>
      </c>
      <c r="Y288">
        <v>0</v>
      </c>
      <c r="Z288">
        <v>1</v>
      </c>
    </row>
    <row r="289" spans="1:26">
      <c r="A289" s="8">
        <v>289</v>
      </c>
      <c r="B289">
        <v>60</v>
      </c>
      <c r="C289" s="1">
        <v>190.8</v>
      </c>
      <c r="D289" s="2" t="str">
        <f>HYPERLINK("https://torgi.gov.ru/new/public/lots/lot/21000018880000000001_1/(lotInfo:info)", "21000018880000000001_1")</f>
        <v>21000018880000000001_1</v>
      </c>
      <c r="E289" t="s">
        <v>1301</v>
      </c>
      <c r="F289" s="3" t="s">
        <v>1302</v>
      </c>
      <c r="G289" t="s">
        <v>1303</v>
      </c>
      <c r="H289" s="4">
        <v>2094996</v>
      </c>
      <c r="I289" s="4">
        <v>10980.06289308176</v>
      </c>
      <c r="J289" s="5" t="s">
        <v>29</v>
      </c>
      <c r="K289" s="5">
        <v>9.89</v>
      </c>
      <c r="L289" s="4">
        <v>183</v>
      </c>
      <c r="M289">
        <v>1110</v>
      </c>
      <c r="N289" t="s">
        <v>1304</v>
      </c>
      <c r="O289">
        <v>60</v>
      </c>
      <c r="P289" s="6">
        <v>800</v>
      </c>
      <c r="Q289" t="s">
        <v>855</v>
      </c>
      <c r="R289" t="s">
        <v>32</v>
      </c>
      <c r="S289" s="2" t="str">
        <f>HYPERLINK("https://yandex.ru/maps/?&amp;text=57.825256, 28.330519", "57.825256, 28.330519")</f>
        <v>57.825256, 28.330519</v>
      </c>
      <c r="T289" s="2" t="str">
        <f>HYPERLINK("D:\venv_torgi\env\cache\objs_in_district/57.825256_28.330519.json", "57.825256_28.330519.json")</f>
        <v>57.825256_28.330519.json</v>
      </c>
      <c r="U289" t="s">
        <v>1305</v>
      </c>
      <c r="W289" s="16">
        <v>19931.15122427437</v>
      </c>
      <c r="X289" s="21">
        <v>8951.0883311926136</v>
      </c>
      <c r="Y289">
        <v>0</v>
      </c>
      <c r="Z289">
        <v>1</v>
      </c>
    </row>
    <row r="290" spans="1:26">
      <c r="A290" s="8">
        <v>290</v>
      </c>
      <c r="B290">
        <v>61</v>
      </c>
      <c r="C290" s="1">
        <v>419</v>
      </c>
      <c r="D290" s="2" t="str">
        <f>HYPERLINK("https://torgi.gov.ru/new/public/lots/lot/22000056320000000003_3/(lotInfo:info)", "22000056320000000003_3")</f>
        <v>22000056320000000003_3</v>
      </c>
      <c r="E290" t="s">
        <v>1306</v>
      </c>
      <c r="F290" s="3" t="s">
        <v>1307</v>
      </c>
      <c r="G290" t="s">
        <v>1308</v>
      </c>
      <c r="H290" s="4">
        <v>750000</v>
      </c>
      <c r="I290" s="4">
        <v>1789.976133651551</v>
      </c>
      <c r="J290" s="5" t="s">
        <v>29</v>
      </c>
      <c r="K290" s="5">
        <v>0.72</v>
      </c>
      <c r="L290" s="4">
        <v>127.79</v>
      </c>
      <c r="M290">
        <v>2480</v>
      </c>
      <c r="N290" t="s">
        <v>1309</v>
      </c>
      <c r="O290">
        <v>14</v>
      </c>
      <c r="P290" s="6">
        <v>1700</v>
      </c>
      <c r="Q290" t="s">
        <v>574</v>
      </c>
      <c r="R290" t="s">
        <v>32</v>
      </c>
      <c r="S290" s="2" t="str">
        <f>HYPERLINK("https://yandex.ru/maps/?&amp;text=47.718725, 40.234221", "47.718725, 40.234221")</f>
        <v>47.718725, 40.234221</v>
      </c>
      <c r="T290" s="2" t="str">
        <f>HYPERLINK("D:\venv_torgi\env\cache\objs_in_district/47.718725_40.234221.json", "47.718725_40.234221.json")</f>
        <v>47.718725_40.234221.json</v>
      </c>
      <c r="U290" t="s">
        <v>1310</v>
      </c>
      <c r="V290" s="7" t="s">
        <v>34</v>
      </c>
      <c r="W290" s="19">
        <v>7354.489883546642</v>
      </c>
      <c r="X290" s="21">
        <v>5564.5137498950908</v>
      </c>
      <c r="Y290">
        <v>0</v>
      </c>
    </row>
    <row r="291" spans="1:26">
      <c r="A291" s="8">
        <v>291</v>
      </c>
      <c r="B291">
        <v>61</v>
      </c>
      <c r="C291" s="1">
        <v>371.6</v>
      </c>
      <c r="D291" s="2" t="str">
        <f>HYPERLINK("https://torgi.gov.ru/new/public/lots/lot/22000006690000000004_1/(lotInfo:info)", "22000006690000000004_1")</f>
        <v>22000006690000000004_1</v>
      </c>
      <c r="E291" t="s">
        <v>1311</v>
      </c>
      <c r="F291" s="3" t="s">
        <v>1312</v>
      </c>
      <c r="G291" t="s">
        <v>1313</v>
      </c>
      <c r="H291" s="4">
        <v>3090000</v>
      </c>
      <c r="I291" s="4">
        <v>8315.3928955866522</v>
      </c>
      <c r="J291" s="5" t="s">
        <v>29</v>
      </c>
      <c r="K291" s="5">
        <v>3.59</v>
      </c>
      <c r="L291" s="4">
        <v>251.97</v>
      </c>
      <c r="M291">
        <v>2319</v>
      </c>
      <c r="N291" t="s">
        <v>1314</v>
      </c>
      <c r="O291">
        <v>33</v>
      </c>
      <c r="P291" s="6">
        <v>700</v>
      </c>
      <c r="Q291" t="s">
        <v>31</v>
      </c>
      <c r="R291" t="s">
        <v>32</v>
      </c>
      <c r="S291" s="2" t="str">
        <f>HYPERLINK("https://yandex.ru/maps/?&amp;text=47.642797, 40.872842", "47.642797, 40.872842")</f>
        <v>47.642797, 40.872842</v>
      </c>
      <c r="T291" s="2" t="str">
        <f>HYPERLINK("D:\venv_torgi\env\cache\objs_in_district/47.642797_40.872842.json", "47.642797_40.872842.json")</f>
        <v>47.642797_40.872842.json</v>
      </c>
      <c r="U291" t="s">
        <v>1315</v>
      </c>
      <c r="V291" s="7" t="s">
        <v>34</v>
      </c>
      <c r="W291" s="19">
        <v>7354.489883546642</v>
      </c>
      <c r="X291" s="20">
        <v>-960.90301204001025</v>
      </c>
      <c r="Y291">
        <v>0</v>
      </c>
    </row>
    <row r="292" spans="1:26">
      <c r="A292" s="8">
        <v>292</v>
      </c>
      <c r="B292">
        <v>61</v>
      </c>
      <c r="C292" s="1">
        <v>243</v>
      </c>
      <c r="D292" s="2" t="str">
        <f>HYPERLINK("https://torgi.gov.ru/new/public/lots/lot/21000021890000000005_8/(lotInfo:info)", "21000021890000000005_8")</f>
        <v>21000021890000000005_8</v>
      </c>
      <c r="E292" t="s">
        <v>1316</v>
      </c>
      <c r="F292" s="3" t="s">
        <v>1317</v>
      </c>
      <c r="G292" t="s">
        <v>1318</v>
      </c>
      <c r="H292" s="4">
        <v>2849904</v>
      </c>
      <c r="I292" s="4">
        <v>11728</v>
      </c>
      <c r="J292" s="5" t="s">
        <v>29</v>
      </c>
      <c r="K292" s="5">
        <v>39.090000000000003</v>
      </c>
      <c r="M292">
        <v>300</v>
      </c>
      <c r="N292">
        <v>250287</v>
      </c>
      <c r="Q292" t="s">
        <v>31</v>
      </c>
      <c r="R292" t="s">
        <v>32</v>
      </c>
      <c r="U292" t="s">
        <v>1319</v>
      </c>
      <c r="V292" s="7" t="s">
        <v>34</v>
      </c>
      <c r="W292" s="19">
        <v>10661.45189182739</v>
      </c>
      <c r="X292" s="20">
        <v>-1066.548108172607</v>
      </c>
      <c r="Y292">
        <v>0</v>
      </c>
    </row>
    <row r="293" spans="1:26">
      <c r="A293" s="8">
        <v>293</v>
      </c>
      <c r="B293">
        <v>62</v>
      </c>
      <c r="C293" s="1">
        <v>971.8</v>
      </c>
      <c r="D293" s="2" t="str">
        <f>HYPERLINK("https://torgi.gov.ru/new/public/lots/lot/21000001570000000011_1/(lotInfo:info)", "21000001570000000011_1")</f>
        <v>21000001570000000011_1</v>
      </c>
      <c r="E293" t="s">
        <v>1320</v>
      </c>
      <c r="F293" s="3" t="s">
        <v>1321</v>
      </c>
      <c r="G293" t="s">
        <v>1322</v>
      </c>
      <c r="H293" s="4">
        <v>1577777.77</v>
      </c>
      <c r="I293" s="4">
        <v>1623.5622247376</v>
      </c>
      <c r="J293" s="5" t="s">
        <v>29</v>
      </c>
      <c r="K293" s="5">
        <v>0.38</v>
      </c>
      <c r="L293" s="4">
        <v>124.85</v>
      </c>
      <c r="M293">
        <v>4259</v>
      </c>
      <c r="N293" t="s">
        <v>1323</v>
      </c>
      <c r="O293">
        <v>13</v>
      </c>
      <c r="Q293" t="s">
        <v>574</v>
      </c>
      <c r="R293" t="s">
        <v>32</v>
      </c>
      <c r="S293" s="2" t="str">
        <f>HYPERLINK("https://yandex.ru/maps/?&amp;text=54.535416, 39.7807", "54.535416, 39.7807")</f>
        <v>54.535416, 39.7807</v>
      </c>
      <c r="T293" s="2" t="str">
        <f>HYPERLINK("D:\venv_torgi\env\cache\objs_in_district/54.535416_39.7807.json", "54.535416_39.7807.json")</f>
        <v>54.535416_39.7807.json</v>
      </c>
      <c r="U293" t="s">
        <v>1324</v>
      </c>
      <c r="V293" s="7" t="s">
        <v>34</v>
      </c>
      <c r="W293" s="19">
        <v>7354.489883546642</v>
      </c>
      <c r="X293" s="21">
        <v>5730.9276588090424</v>
      </c>
      <c r="Y293">
        <v>0</v>
      </c>
    </row>
    <row r="294" spans="1:26">
      <c r="A294" s="8">
        <v>294</v>
      </c>
      <c r="B294">
        <v>62</v>
      </c>
      <c r="C294" s="1">
        <v>109.7</v>
      </c>
      <c r="D294" s="2" t="str">
        <f>HYPERLINK("https://torgi.gov.ru/new/public/lots/lot/21000002760000000002_1/(lotInfo:info)", "21000002760000000002_1")</f>
        <v>21000002760000000002_1</v>
      </c>
      <c r="E294" t="s">
        <v>1325</v>
      </c>
      <c r="F294" s="3" t="s">
        <v>1326</v>
      </c>
      <c r="G294" t="s">
        <v>1327</v>
      </c>
      <c r="H294" s="4">
        <v>1527517.6</v>
      </c>
      <c r="I294" s="4">
        <v>13924.499544211491</v>
      </c>
      <c r="J294" s="5" t="s">
        <v>29</v>
      </c>
      <c r="K294" s="5">
        <v>4.97</v>
      </c>
      <c r="L294" s="4">
        <v>1547.11</v>
      </c>
      <c r="M294">
        <v>2801</v>
      </c>
      <c r="N294" t="s">
        <v>1323</v>
      </c>
      <c r="O294">
        <v>9</v>
      </c>
      <c r="P294" s="6">
        <v>1500</v>
      </c>
      <c r="Q294" t="s">
        <v>31</v>
      </c>
      <c r="R294" t="s">
        <v>32</v>
      </c>
      <c r="S294" s="2" t="str">
        <f>HYPERLINK("https://yandex.ru/maps/?&amp;text=54.605704, 39.736752", "54.605704, 39.736752")</f>
        <v>54.605704, 39.736752</v>
      </c>
      <c r="T294" s="2" t="str">
        <f>HYPERLINK("D:\venv_torgi\env\cache\objs_in_district/54.605704_39.736752.json", "54.605704_39.736752.json")</f>
        <v>54.605704_39.736752.json</v>
      </c>
      <c r="U294" t="s">
        <v>1328</v>
      </c>
      <c r="V294" s="7" t="s">
        <v>34</v>
      </c>
      <c r="W294" s="19">
        <v>28791.780206219712</v>
      </c>
      <c r="X294" s="21">
        <v>14867.280662008219</v>
      </c>
      <c r="Y294">
        <v>0</v>
      </c>
    </row>
    <row r="295" spans="1:26">
      <c r="A295" s="8">
        <v>295</v>
      </c>
      <c r="B295">
        <v>63</v>
      </c>
      <c r="C295" s="1">
        <v>293</v>
      </c>
      <c r="D295" s="2" t="str">
        <f>HYPERLINK("https://torgi.gov.ru/new/public/lots/lot/21000017990000000016_1/(lotInfo:info)", "21000017990000000016_1")</f>
        <v>21000017990000000016_1</v>
      </c>
      <c r="E295" t="s">
        <v>1329</v>
      </c>
      <c r="F295" s="3" t="s">
        <v>1330</v>
      </c>
      <c r="G295" t="s">
        <v>1331</v>
      </c>
      <c r="H295" s="4">
        <v>935700</v>
      </c>
      <c r="I295" s="4">
        <v>3193.5153583617748</v>
      </c>
      <c r="J295" s="5" t="s">
        <v>29</v>
      </c>
      <c r="K295" s="5">
        <v>1.21</v>
      </c>
      <c r="L295" s="4">
        <v>177.39</v>
      </c>
      <c r="M295">
        <v>2631</v>
      </c>
      <c r="N295" t="s">
        <v>1332</v>
      </c>
      <c r="O295">
        <v>18</v>
      </c>
      <c r="P295" s="6">
        <v>500</v>
      </c>
      <c r="Q295" t="s">
        <v>40</v>
      </c>
      <c r="R295" t="s">
        <v>32</v>
      </c>
      <c r="S295" s="2" t="str">
        <f>HYPERLINK("https://yandex.ru/maps/?&amp;text=53.395314, 49.496157", "53.395314, 49.496157")</f>
        <v>53.395314, 49.496157</v>
      </c>
      <c r="T295" s="2" t="str">
        <f>HYPERLINK("D:\venv_torgi\env\cache\objs_in_district/53.395314_49.496157.json", "53.395314_49.496157.json")</f>
        <v>53.395314_49.496157.json</v>
      </c>
      <c r="V295" s="7" t="s">
        <v>34</v>
      </c>
      <c r="W295" s="19">
        <v>10661.45189182739</v>
      </c>
      <c r="X295" s="21">
        <v>7467.9365334656186</v>
      </c>
      <c r="Y295">
        <v>0</v>
      </c>
    </row>
    <row r="296" spans="1:26">
      <c r="A296" s="8">
        <v>297</v>
      </c>
      <c r="B296">
        <v>63</v>
      </c>
      <c r="C296" s="1">
        <v>29.8</v>
      </c>
      <c r="D296" s="2" t="str">
        <f>HYPERLINK("https://torgi.gov.ru/new/public/lots/lot/21000002520000000001_12/(lotInfo:info)", "21000002520000000001_12")</f>
        <v>21000002520000000001_12</v>
      </c>
      <c r="E296" t="s">
        <v>1335</v>
      </c>
      <c r="F296" s="3" t="s">
        <v>1333</v>
      </c>
      <c r="G296" t="s">
        <v>1336</v>
      </c>
      <c r="H296" s="4">
        <v>580000</v>
      </c>
      <c r="I296" s="4">
        <v>19463.08724832215</v>
      </c>
      <c r="J296" s="5" t="s">
        <v>29</v>
      </c>
      <c r="K296" s="5">
        <v>3.39</v>
      </c>
      <c r="L296" s="4">
        <v>1769.36</v>
      </c>
      <c r="M296">
        <v>5733</v>
      </c>
      <c r="N296" t="s">
        <v>1334</v>
      </c>
      <c r="O296">
        <v>11</v>
      </c>
      <c r="P296" s="6">
        <v>400</v>
      </c>
      <c r="Q296" t="s">
        <v>31</v>
      </c>
      <c r="R296" t="s">
        <v>32</v>
      </c>
      <c r="S296" s="2" t="str">
        <f>HYPERLINK("https://yandex.ru/maps/?&amp;text=53.215763, 50.271313", "53.215763, 50.271313")</f>
        <v>53.215763, 50.271313</v>
      </c>
      <c r="T296" s="2" t="str">
        <f>HYPERLINK("D:\venv_torgi\env\cache\objs_in_district/53.215763_50.271313.json", "53.215763_50.271313.json")</f>
        <v>53.215763_50.271313.json</v>
      </c>
      <c r="U296" t="s">
        <v>1337</v>
      </c>
      <c r="V296" s="7" t="s">
        <v>34</v>
      </c>
      <c r="W296" s="19">
        <v>28791.780206219712</v>
      </c>
      <c r="X296" s="21">
        <v>9328.6929578975614</v>
      </c>
      <c r="Y296">
        <v>0</v>
      </c>
    </row>
    <row r="297" spans="1:26">
      <c r="A297" s="8">
        <v>298</v>
      </c>
      <c r="B297">
        <v>63</v>
      </c>
      <c r="C297" s="1">
        <v>25.6</v>
      </c>
      <c r="D297" s="2" t="str">
        <f>HYPERLINK("https://torgi.gov.ru/new/public/lots/lot/21000002520000000004_5/(lotInfo:info)", "21000002520000000004_5")</f>
        <v>21000002520000000004_5</v>
      </c>
      <c r="E297" t="s">
        <v>1338</v>
      </c>
      <c r="F297" s="3" t="s">
        <v>1339</v>
      </c>
      <c r="G297" t="s">
        <v>1340</v>
      </c>
      <c r="H297" s="4">
        <v>502500</v>
      </c>
      <c r="I297" s="4">
        <v>19628.90625</v>
      </c>
      <c r="J297" s="5" t="s">
        <v>29</v>
      </c>
      <c r="K297" s="5">
        <v>5.65</v>
      </c>
      <c r="L297" s="4">
        <v>1154.5899999999999</v>
      </c>
      <c r="M297">
        <v>3474</v>
      </c>
      <c r="N297" t="s">
        <v>1334</v>
      </c>
      <c r="O297">
        <v>17</v>
      </c>
      <c r="P297" s="6">
        <v>500</v>
      </c>
      <c r="Q297" t="s">
        <v>40</v>
      </c>
      <c r="R297" t="s">
        <v>32</v>
      </c>
      <c r="S297" s="2" t="str">
        <f>HYPERLINK("https://yandex.ru/maps/?&amp;text=53.145057, 50.046609", "53.145057, 50.046609")</f>
        <v>53.145057, 50.046609</v>
      </c>
      <c r="T297" s="2" t="str">
        <f>HYPERLINK("D:\venv_torgi\env\cache\objs_in_district/53.145057_50.046609.json", "53.145057_50.046609.json")</f>
        <v>53.145057_50.046609.json</v>
      </c>
      <c r="U297" t="s">
        <v>1341</v>
      </c>
      <c r="V297" s="7" t="s">
        <v>34</v>
      </c>
      <c r="W297" s="19">
        <v>28791.780206219712</v>
      </c>
      <c r="X297" s="21">
        <v>9162.8739562197115</v>
      </c>
      <c r="Y297">
        <v>0</v>
      </c>
    </row>
    <row r="298" spans="1:26">
      <c r="A298" s="8">
        <v>300</v>
      </c>
      <c r="B298">
        <v>63</v>
      </c>
      <c r="C298" s="1">
        <v>64.3</v>
      </c>
      <c r="D298" s="2" t="str">
        <f>HYPERLINK("https://torgi.gov.ru/new/public/lots/lot/22000071240000000002_1/(lotInfo:info)", "22000071240000000002_1")</f>
        <v>22000071240000000002_1</v>
      </c>
      <c r="E298" t="s">
        <v>1342</v>
      </c>
      <c r="F298" s="3" t="s">
        <v>1343</v>
      </c>
      <c r="G298" t="s">
        <v>1344</v>
      </c>
      <c r="H298" s="4">
        <v>1505000</v>
      </c>
      <c r="I298" s="4">
        <v>23405.909797822711</v>
      </c>
      <c r="J298" s="5" t="s">
        <v>29</v>
      </c>
      <c r="K298" s="5">
        <v>17.77</v>
      </c>
      <c r="L298" s="4">
        <v>1950.42</v>
      </c>
      <c r="M298">
        <v>1317</v>
      </c>
      <c r="N298" t="s">
        <v>1345</v>
      </c>
      <c r="O298">
        <v>12</v>
      </c>
      <c r="P298" s="6">
        <v>100</v>
      </c>
      <c r="Q298" t="s">
        <v>31</v>
      </c>
      <c r="R298" t="s">
        <v>32</v>
      </c>
      <c r="S298" s="2" t="str">
        <f>HYPERLINK("https://yandex.ru/maps/?&amp;text=52.794323, 51.156445", "52.794323, 51.156445")</f>
        <v>52.794323, 51.156445</v>
      </c>
      <c r="T298" s="2" t="str">
        <f>HYPERLINK("D:\venv_torgi\env\cache\objs_in_district/52.794323_51.156445.json", "52.794323_51.156445.json")</f>
        <v>52.794323_51.156445.json</v>
      </c>
      <c r="U298" t="s">
        <v>1346</v>
      </c>
      <c r="W298" s="19">
        <v>25005.921007216992</v>
      </c>
      <c r="X298" s="21">
        <v>1600.011209394281</v>
      </c>
      <c r="Y298">
        <v>0</v>
      </c>
    </row>
    <row r="299" spans="1:26">
      <c r="A299" s="8">
        <v>301</v>
      </c>
      <c r="B299">
        <v>63</v>
      </c>
      <c r="C299" s="1">
        <v>70.8</v>
      </c>
      <c r="D299" s="2" t="str">
        <f>HYPERLINK("https://torgi.gov.ru/new/public/lots/lot/21000002520000000004_1/(lotInfo:info)", "21000002520000000004_1")</f>
        <v>21000002520000000004_1</v>
      </c>
      <c r="E299" t="s">
        <v>1347</v>
      </c>
      <c r="F299" s="3" t="s">
        <v>1339</v>
      </c>
      <c r="G299" t="s">
        <v>1348</v>
      </c>
      <c r="H299" s="4">
        <v>1683000</v>
      </c>
      <c r="I299" s="4">
        <v>23771.186440677971</v>
      </c>
      <c r="J299" s="5" t="s">
        <v>29</v>
      </c>
      <c r="K299" s="5">
        <v>3.68</v>
      </c>
      <c r="L299" s="4">
        <v>540.25</v>
      </c>
      <c r="M299">
        <v>6459</v>
      </c>
      <c r="N299" t="s">
        <v>1334</v>
      </c>
      <c r="O299">
        <v>44</v>
      </c>
      <c r="P299" s="6">
        <v>100</v>
      </c>
      <c r="Q299" t="s">
        <v>40</v>
      </c>
      <c r="R299" t="s">
        <v>32</v>
      </c>
      <c r="S299" s="2" t="str">
        <f>HYPERLINK("https://yandex.ru/maps/?&amp;text=53.188913, 50.189737", "53.188913, 50.189737")</f>
        <v>53.188913, 50.189737</v>
      </c>
      <c r="T299" s="2" t="str">
        <f>HYPERLINK("D:\venv_torgi\env\cache\objs_in_district/53.188913_50.189737.json", "53.188913_50.189737.json")</f>
        <v>53.188913_50.189737.json</v>
      </c>
      <c r="U299" t="s">
        <v>1349</v>
      </c>
      <c r="V299" s="7" t="s">
        <v>128</v>
      </c>
      <c r="W299" s="19">
        <v>28791.780206219712</v>
      </c>
      <c r="X299" s="21">
        <v>5020.5937655417401</v>
      </c>
      <c r="Y299">
        <v>0</v>
      </c>
    </row>
    <row r="300" spans="1:26">
      <c r="A300" s="8">
        <v>302</v>
      </c>
      <c r="B300">
        <v>63</v>
      </c>
      <c r="C300" s="1">
        <v>127.1</v>
      </c>
      <c r="D300" s="2" t="str">
        <f>HYPERLINK("https://torgi.gov.ru/new/public/lots/lot/21000002520000000001_7/(lotInfo:info)", "21000002520000000001_7")</f>
        <v>21000002520000000001_7</v>
      </c>
      <c r="E300" t="s">
        <v>1350</v>
      </c>
      <c r="F300" s="3" t="s">
        <v>1333</v>
      </c>
      <c r="G300" t="s">
        <v>1351</v>
      </c>
      <c r="H300" s="4">
        <v>3200500</v>
      </c>
      <c r="I300" s="4">
        <v>25180.959874114869</v>
      </c>
      <c r="J300" s="5" t="s">
        <v>29</v>
      </c>
      <c r="K300" s="5">
        <v>3.34</v>
      </c>
      <c r="L300" s="4">
        <v>599.52</v>
      </c>
      <c r="M300">
        <v>7549</v>
      </c>
      <c r="N300" t="s">
        <v>1334</v>
      </c>
      <c r="O300">
        <v>42</v>
      </c>
      <c r="P300" s="6">
        <v>500</v>
      </c>
      <c r="Q300" t="s">
        <v>31</v>
      </c>
      <c r="R300" t="s">
        <v>32</v>
      </c>
      <c r="S300" s="2" t="str">
        <f>HYPERLINK("https://yandex.ru/maps/?&amp;text=53.198775, 50.128679", "53.198775, 50.128679")</f>
        <v>53.198775, 50.128679</v>
      </c>
      <c r="T300" s="2" t="str">
        <f>HYPERLINK("D:\venv_torgi\env\cache\objs_in_district/53.198775_50.128679.json", "53.198775_50.128679.json")</f>
        <v>53.198775_50.128679.json</v>
      </c>
      <c r="U300" t="s">
        <v>1352</v>
      </c>
      <c r="V300" s="7" t="s">
        <v>39</v>
      </c>
      <c r="W300" s="19">
        <v>28791.780206219712</v>
      </c>
      <c r="X300" s="21">
        <v>3610.8203321048418</v>
      </c>
      <c r="Y300">
        <v>0</v>
      </c>
    </row>
    <row r="301" spans="1:26">
      <c r="A301" s="8">
        <v>303</v>
      </c>
      <c r="B301">
        <v>63</v>
      </c>
      <c r="C301" s="1">
        <v>35</v>
      </c>
      <c r="D301" s="2" t="str">
        <f>HYPERLINK("https://torgi.gov.ru/new/public/lots/lot/21000014860000000002_1/(lotInfo:info)", "21000014860000000002_1")</f>
        <v>21000014860000000002_1</v>
      </c>
      <c r="E301" t="s">
        <v>1353</v>
      </c>
      <c r="F301" s="3" t="s">
        <v>1354</v>
      </c>
      <c r="G301" t="s">
        <v>1355</v>
      </c>
      <c r="H301" s="4">
        <v>1086645</v>
      </c>
      <c r="I301" s="4">
        <v>31047</v>
      </c>
      <c r="J301" s="5" t="s">
        <v>29</v>
      </c>
      <c r="K301" s="5">
        <v>3.71</v>
      </c>
      <c r="L301" s="4">
        <v>1724.83</v>
      </c>
      <c r="M301">
        <v>8361</v>
      </c>
      <c r="N301" t="s">
        <v>1356</v>
      </c>
      <c r="O301">
        <v>18</v>
      </c>
      <c r="P301" s="6">
        <v>300</v>
      </c>
      <c r="Q301" t="s">
        <v>31</v>
      </c>
      <c r="R301" t="s">
        <v>32</v>
      </c>
      <c r="S301" s="2" t="str">
        <f>HYPERLINK("https://yandex.ru/maps/?&amp;text=53.092045, 49.98071", "53.092045, 49.98071")</f>
        <v>53.092045, 49.98071</v>
      </c>
      <c r="T301" s="2" t="str">
        <f>HYPERLINK("D:\venv_torgi\env\cache\objs_in_district/53.092045_49.98071.json", "53.092045_49.98071.json")</f>
        <v>53.092045_49.98071.json</v>
      </c>
      <c r="V301" s="7" t="s">
        <v>34</v>
      </c>
      <c r="W301" s="19">
        <v>25005.921007216992</v>
      </c>
      <c r="X301" s="20">
        <v>-6041.0789927830083</v>
      </c>
      <c r="Y301">
        <v>0</v>
      </c>
    </row>
    <row r="302" spans="1:26">
      <c r="A302" s="8">
        <v>304</v>
      </c>
      <c r="B302">
        <v>63</v>
      </c>
      <c r="C302" s="1">
        <v>19.399999999999999</v>
      </c>
      <c r="D302" s="2" t="str">
        <f>HYPERLINK("https://torgi.gov.ru/new/public/lots/lot/21000002520000000001_9/(lotInfo:info)", "21000002520000000001_9")</f>
        <v>21000002520000000001_9</v>
      </c>
      <c r="E302" t="s">
        <v>1357</v>
      </c>
      <c r="F302" s="3" t="s">
        <v>1333</v>
      </c>
      <c r="G302" t="s">
        <v>1358</v>
      </c>
      <c r="H302" s="4">
        <v>612000</v>
      </c>
      <c r="I302" s="4">
        <v>31546.391752577321</v>
      </c>
      <c r="J302" s="5" t="s">
        <v>29</v>
      </c>
      <c r="K302" s="5">
        <v>6.59</v>
      </c>
      <c r="L302" s="4">
        <v>876.28</v>
      </c>
      <c r="M302">
        <v>4788</v>
      </c>
      <c r="N302" t="s">
        <v>1334</v>
      </c>
      <c r="O302">
        <v>36</v>
      </c>
      <c r="P302" s="6">
        <v>100</v>
      </c>
      <c r="Q302" t="s">
        <v>31</v>
      </c>
      <c r="R302" t="s">
        <v>32</v>
      </c>
      <c r="S302" s="2" t="str">
        <f>HYPERLINK("https://yandex.ru/maps/?&amp;text=53.216783, 50.252485", "53.216783, 50.252485")</f>
        <v>53.216783, 50.252485</v>
      </c>
      <c r="T302" s="2" t="str">
        <f>HYPERLINK("D:\venv_torgi\env\cache\objs_in_district/53.216783_50.252485.json", "53.216783_50.252485.json")</f>
        <v>53.216783_50.252485.json</v>
      </c>
      <c r="U302" t="s">
        <v>1359</v>
      </c>
      <c r="V302" s="7" t="s">
        <v>34</v>
      </c>
      <c r="W302" s="19">
        <v>28791.780206219712</v>
      </c>
      <c r="X302" s="20">
        <v>-2754.6115463576102</v>
      </c>
      <c r="Y302">
        <v>0</v>
      </c>
    </row>
    <row r="303" spans="1:26">
      <c r="A303" s="8">
        <v>305</v>
      </c>
      <c r="B303">
        <v>63</v>
      </c>
      <c r="C303" s="1">
        <v>19.5</v>
      </c>
      <c r="D303" s="2" t="str">
        <f>HYPERLINK("https://torgi.gov.ru/new/public/lots/lot/21000002520000000001_10/(lotInfo:info)", "21000002520000000001_10")</f>
        <v>21000002520000000001_10</v>
      </c>
      <c r="E303" t="s">
        <v>1360</v>
      </c>
      <c r="F303" s="3" t="s">
        <v>1333</v>
      </c>
      <c r="G303" t="s">
        <v>1358</v>
      </c>
      <c r="H303" s="4">
        <v>624000</v>
      </c>
      <c r="I303" s="4">
        <v>32000</v>
      </c>
      <c r="J303" s="5" t="s">
        <v>29</v>
      </c>
      <c r="K303" s="5">
        <v>6.68</v>
      </c>
      <c r="L303" s="4">
        <v>888.89</v>
      </c>
      <c r="M303">
        <v>4788</v>
      </c>
      <c r="N303" t="s">
        <v>1334</v>
      </c>
      <c r="O303">
        <v>36</v>
      </c>
      <c r="P303" s="6">
        <v>100</v>
      </c>
      <c r="Q303" t="s">
        <v>31</v>
      </c>
      <c r="R303" t="s">
        <v>32</v>
      </c>
      <c r="S303" s="2" t="str">
        <f>HYPERLINK("https://yandex.ru/maps/?&amp;text=53.216783, 50.252485", "53.216783, 50.252485")</f>
        <v>53.216783, 50.252485</v>
      </c>
      <c r="T303" s="2" t="str">
        <f>HYPERLINK("D:\venv_torgi\env\cache\objs_in_district/53.216783_50.252485.json", "53.216783_50.252485.json")</f>
        <v>53.216783_50.252485.json</v>
      </c>
      <c r="U303" t="s">
        <v>1361</v>
      </c>
      <c r="V303" s="7" t="s">
        <v>34</v>
      </c>
      <c r="W303" s="19">
        <v>28791.780206219712</v>
      </c>
      <c r="X303" s="20">
        <v>-3208.219793780288</v>
      </c>
      <c r="Y303">
        <v>0</v>
      </c>
    </row>
    <row r="304" spans="1:26">
      <c r="A304" s="8">
        <v>306</v>
      </c>
      <c r="B304">
        <v>63</v>
      </c>
      <c r="C304" s="1">
        <v>29.3</v>
      </c>
      <c r="D304" s="2" t="str">
        <f>HYPERLINK("https://torgi.gov.ru/new/public/lots/lot/21000002520000000001_16/(lotInfo:info)", "21000002520000000001_16")</f>
        <v>21000002520000000001_16</v>
      </c>
      <c r="E304" t="s">
        <v>1362</v>
      </c>
      <c r="F304" s="3" t="s">
        <v>1333</v>
      </c>
      <c r="G304" t="s">
        <v>1363</v>
      </c>
      <c r="H304" s="4">
        <v>1015000</v>
      </c>
      <c r="I304" s="4">
        <v>34641.638225255971</v>
      </c>
      <c r="J304" s="5" t="s">
        <v>29</v>
      </c>
      <c r="K304" s="5">
        <v>3.69</v>
      </c>
      <c r="L304" s="4">
        <v>1574.59</v>
      </c>
      <c r="M304">
        <v>9396</v>
      </c>
      <c r="N304" t="s">
        <v>1334</v>
      </c>
      <c r="O304">
        <v>22</v>
      </c>
      <c r="P304" s="6">
        <v>400</v>
      </c>
      <c r="Q304" t="s">
        <v>31</v>
      </c>
      <c r="R304" t="s">
        <v>32</v>
      </c>
      <c r="S304" s="2" t="str">
        <f>HYPERLINK("https://yandex.ru/maps/?&amp;text=53.200808, 50.225966", "53.200808, 50.225966")</f>
        <v>53.200808, 50.225966</v>
      </c>
      <c r="T304" s="2" t="str">
        <f>HYPERLINK("D:\venv_torgi\env\cache\objs_in_district/53.200808_50.225966.json", "53.200808_50.225966.json")</f>
        <v>53.200808_50.225966.json</v>
      </c>
      <c r="U304" t="s">
        <v>1364</v>
      </c>
      <c r="V304" s="7" t="s">
        <v>34</v>
      </c>
      <c r="W304" s="19">
        <v>28791.780206219712</v>
      </c>
      <c r="X304" s="20">
        <v>-5849.8580190362591</v>
      </c>
      <c r="Y304">
        <v>0</v>
      </c>
    </row>
    <row r="305" spans="1:26">
      <c r="A305" s="8">
        <v>307</v>
      </c>
      <c r="B305">
        <v>63</v>
      </c>
      <c r="C305" s="1">
        <v>35.9</v>
      </c>
      <c r="D305" s="2" t="str">
        <f>HYPERLINK("https://torgi.gov.ru/new/public/lots/lot/21000014860000000002_2/(lotInfo:info)", "21000014860000000002_2")</f>
        <v>21000014860000000002_2</v>
      </c>
      <c r="E305" t="s">
        <v>1353</v>
      </c>
      <c r="F305" s="3" t="s">
        <v>1354</v>
      </c>
      <c r="G305" t="s">
        <v>1365</v>
      </c>
      <c r="H305" s="4">
        <v>1433025</v>
      </c>
      <c r="I305" s="4">
        <v>39917.130919220057</v>
      </c>
      <c r="J305" s="5" t="s">
        <v>29</v>
      </c>
      <c r="K305" s="5">
        <v>4.54</v>
      </c>
      <c r="L305" s="4">
        <v>2494.81</v>
      </c>
      <c r="M305">
        <v>8796</v>
      </c>
      <c r="N305" t="s">
        <v>1356</v>
      </c>
      <c r="O305">
        <v>16</v>
      </c>
      <c r="P305" s="6">
        <v>300</v>
      </c>
      <c r="Q305" t="s">
        <v>31</v>
      </c>
      <c r="R305" t="s">
        <v>32</v>
      </c>
      <c r="S305" s="2" t="str">
        <f>HYPERLINK("https://yandex.ru/maps/?&amp;text=53.08905, 49.989243", "53.08905, 49.989243")</f>
        <v>53.08905, 49.989243</v>
      </c>
      <c r="T305" s="2" t="str">
        <f>HYPERLINK("D:\venv_torgi\env\cache\objs_in_district/53.08905_49.989243.json", "53.08905_49.989243.json")</f>
        <v>53.08905_49.989243.json</v>
      </c>
      <c r="V305" s="7" t="s">
        <v>34</v>
      </c>
      <c r="W305" s="19">
        <v>25005.921007216992</v>
      </c>
      <c r="X305" s="20">
        <v>-14911.209912003071</v>
      </c>
      <c r="Y305">
        <v>0</v>
      </c>
    </row>
    <row r="306" spans="1:26">
      <c r="A306" s="8">
        <v>308</v>
      </c>
      <c r="B306">
        <v>63</v>
      </c>
      <c r="C306" s="1">
        <v>15.1</v>
      </c>
      <c r="D306" s="2" t="str">
        <f>HYPERLINK("https://torgi.gov.ru/new/public/lots/lot/21000002520000000001_11/(lotInfo:info)", "21000002520000000001_11")</f>
        <v>21000002520000000001_11</v>
      </c>
      <c r="E306" t="s">
        <v>1366</v>
      </c>
      <c r="F306" s="3" t="s">
        <v>1333</v>
      </c>
      <c r="G306" t="s">
        <v>1367</v>
      </c>
      <c r="H306" s="4">
        <v>646000</v>
      </c>
      <c r="I306" s="4">
        <v>42781.456953642388</v>
      </c>
      <c r="J306" s="5" t="s">
        <v>29</v>
      </c>
      <c r="K306" s="5">
        <v>7.14</v>
      </c>
      <c r="L306" s="4">
        <v>3565.08</v>
      </c>
      <c r="M306">
        <v>5991</v>
      </c>
      <c r="N306" t="s">
        <v>1334</v>
      </c>
      <c r="O306">
        <v>12</v>
      </c>
      <c r="P306" s="6">
        <v>400</v>
      </c>
      <c r="Q306" t="s">
        <v>31</v>
      </c>
      <c r="R306" t="s">
        <v>32</v>
      </c>
      <c r="S306" s="2" t="str">
        <f>HYPERLINK("https://yandex.ru/maps/?&amp;text=53.249493, 50.2018", "53.249493, 50.2018")</f>
        <v>53.249493, 50.2018</v>
      </c>
      <c r="T306" s="2" t="str">
        <f>HYPERLINK("D:\venv_torgi\env\cache\objs_in_district/53.249493_50.2018.json", "53.249493_50.2018.json")</f>
        <v>53.249493_50.2018.json</v>
      </c>
      <c r="U306" t="s">
        <v>1368</v>
      </c>
      <c r="V306" s="7" t="s">
        <v>34</v>
      </c>
      <c r="W306" s="19">
        <v>46084.220656344281</v>
      </c>
      <c r="X306" s="21">
        <v>3302.7637027018941</v>
      </c>
      <c r="Y306">
        <v>0</v>
      </c>
    </row>
    <row r="307" spans="1:26">
      <c r="A307" s="8">
        <v>309</v>
      </c>
      <c r="B307">
        <v>64</v>
      </c>
      <c r="C307" s="1">
        <v>74.400000000000006</v>
      </c>
      <c r="D307" s="2" t="str">
        <f>HYPERLINK("https://torgi.gov.ru/new/public/lots/lot/21000015660000000024_1/(lotInfo:info)", "21000015660000000024_1")</f>
        <v>21000015660000000024_1</v>
      </c>
      <c r="E307" t="s">
        <v>1369</v>
      </c>
      <c r="F307" s="3" t="s">
        <v>1370</v>
      </c>
      <c r="G307" t="s">
        <v>1371</v>
      </c>
      <c r="H307" s="4">
        <v>806884.4</v>
      </c>
      <c r="I307" s="4">
        <v>10845.220430107531</v>
      </c>
      <c r="J307" s="5" t="s">
        <v>29</v>
      </c>
      <c r="K307" s="5">
        <v>3.99</v>
      </c>
      <c r="L307" s="4">
        <v>570.79</v>
      </c>
      <c r="M307">
        <v>2721</v>
      </c>
      <c r="N307" t="s">
        <v>1372</v>
      </c>
      <c r="O307">
        <v>19</v>
      </c>
      <c r="P307" s="6">
        <v>800</v>
      </c>
      <c r="Q307" t="s">
        <v>31</v>
      </c>
      <c r="R307" t="s">
        <v>32</v>
      </c>
      <c r="S307" s="2" t="str">
        <f>HYPERLINK("https://yandex.ru/maps/?&amp;text=51.481354, 46.14403", "51.481354, 46.14403")</f>
        <v>51.481354, 46.14403</v>
      </c>
      <c r="T307" s="2" t="str">
        <f>HYPERLINK("D:\venv_torgi\env\cache\objs_in_district/51.481354_46.14403.json", "51.481354_46.14403.json")</f>
        <v>51.481354_46.14403.json</v>
      </c>
      <c r="U307" t="s">
        <v>1373</v>
      </c>
      <c r="W307" s="19">
        <v>14930.943770233611</v>
      </c>
      <c r="X307" s="21">
        <v>4085.7233401260819</v>
      </c>
      <c r="Y307">
        <v>0</v>
      </c>
    </row>
    <row r="308" spans="1:26">
      <c r="A308" s="8">
        <v>310</v>
      </c>
      <c r="B308">
        <v>66</v>
      </c>
      <c r="C308" s="1">
        <v>197.6</v>
      </c>
      <c r="D308" s="2" t="str">
        <f>HYPERLINK("https://torgi.gov.ru/new/public/lots/lot/21000020190000000010_2/(lotInfo:info)", "21000020190000000010_2")</f>
        <v>21000020190000000010_2</v>
      </c>
      <c r="E308" t="s">
        <v>1374</v>
      </c>
      <c r="F308" s="3" t="s">
        <v>1375</v>
      </c>
      <c r="G308" t="s">
        <v>1376</v>
      </c>
      <c r="H308" s="4">
        <v>1024200</v>
      </c>
      <c r="I308" s="4">
        <v>5183.1983805668006</v>
      </c>
      <c r="J308" s="5" t="s">
        <v>2082</v>
      </c>
      <c r="K308" s="5">
        <v>1.87</v>
      </c>
      <c r="L308" s="4">
        <v>259.14999999999998</v>
      </c>
      <c r="M308">
        <v>2769</v>
      </c>
      <c r="N308" t="s">
        <v>1377</v>
      </c>
      <c r="O308">
        <v>20</v>
      </c>
      <c r="P308" s="6">
        <v>400</v>
      </c>
      <c r="Q308" t="s">
        <v>40</v>
      </c>
      <c r="R308" t="s">
        <v>32</v>
      </c>
      <c r="S308" s="2" t="str">
        <f>HYPERLINK("https://yandex.ru/maps/?&amp;text=56.991758, 59.568742", "56.991758, 59.568742")</f>
        <v>56.991758, 59.568742</v>
      </c>
      <c r="T308" s="2" t="str">
        <f>HYPERLINK("D:\venv_torgi\env\cache\objs_in_district/56.991758_59.568742.json", "56.991758_59.568742.json")</f>
        <v>56.991758_59.568742.json</v>
      </c>
      <c r="U308" t="s">
        <v>1378</v>
      </c>
      <c r="V308" s="7" t="s">
        <v>128</v>
      </c>
      <c r="W308" s="19">
        <v>10661.45189182739</v>
      </c>
      <c r="X308" s="21">
        <v>5478.2535112605929</v>
      </c>
      <c r="Y308">
        <v>0</v>
      </c>
    </row>
    <row r="309" spans="1:26">
      <c r="A309" s="8">
        <v>311</v>
      </c>
      <c r="B309">
        <v>66</v>
      </c>
      <c r="C309" s="1">
        <v>125.3</v>
      </c>
      <c r="D309" s="2" t="str">
        <f>HYPERLINK("https://torgi.gov.ru/new/public/lots/lot/21000014250000000031_1/(lotInfo:info)", "21000014250000000031_1")</f>
        <v>21000014250000000031_1</v>
      </c>
      <c r="E309" t="s">
        <v>1379</v>
      </c>
      <c r="F309" s="3" t="s">
        <v>1380</v>
      </c>
      <c r="G309" t="s">
        <v>1381</v>
      </c>
      <c r="H309" s="4">
        <v>721000</v>
      </c>
      <c r="I309" s="4">
        <v>5754.1899441340784</v>
      </c>
      <c r="J309" s="5" t="s">
        <v>29</v>
      </c>
      <c r="K309" s="5">
        <v>0.98</v>
      </c>
      <c r="L309" s="4">
        <v>261.55</v>
      </c>
      <c r="M309">
        <v>5877</v>
      </c>
      <c r="N309" t="s">
        <v>1382</v>
      </c>
      <c r="O309">
        <v>22</v>
      </c>
      <c r="P309" s="6">
        <v>1000</v>
      </c>
      <c r="Q309" t="s">
        <v>31</v>
      </c>
      <c r="R309" t="s">
        <v>32</v>
      </c>
      <c r="S309" s="2" t="str">
        <f>HYPERLINK("https://yandex.ru/maps/?&amp;text=57.908356, 59.95094", "57.908356, 59.95094")</f>
        <v>57.908356, 59.95094</v>
      </c>
      <c r="T309" s="2" t="str">
        <f>HYPERLINK("D:\venv_torgi\env\cache\objs_in_district/57.908356_59.95094.json", "57.908356_59.95094.json")</f>
        <v>57.908356_59.95094.json</v>
      </c>
      <c r="U309" t="s">
        <v>1383</v>
      </c>
      <c r="V309" s="7" t="s">
        <v>39</v>
      </c>
      <c r="W309" s="19">
        <v>28791.780206219712</v>
      </c>
      <c r="X309" s="21">
        <v>23037.590262085629</v>
      </c>
      <c r="Y309">
        <v>0</v>
      </c>
    </row>
    <row r="310" spans="1:26">
      <c r="A310" s="8">
        <v>312</v>
      </c>
      <c r="B310">
        <v>66</v>
      </c>
      <c r="C310" s="1">
        <v>62.5</v>
      </c>
      <c r="D310" s="2" t="str">
        <f>HYPERLINK("https://torgi.gov.ru/new/public/lots/lot/22000061910000000001_3/(lotInfo:info)", "22000061910000000001_3")</f>
        <v>22000061910000000001_3</v>
      </c>
      <c r="E310" t="s">
        <v>1384</v>
      </c>
      <c r="F310" s="3" t="s">
        <v>1385</v>
      </c>
      <c r="G310" t="s">
        <v>1386</v>
      </c>
      <c r="H310" s="4">
        <v>730800</v>
      </c>
      <c r="I310" s="4">
        <v>11692.8</v>
      </c>
      <c r="J310" s="5" t="s">
        <v>2080</v>
      </c>
      <c r="K310" s="5">
        <v>2.08</v>
      </c>
      <c r="L310" s="4">
        <v>615.37</v>
      </c>
      <c r="M310">
        <v>5622</v>
      </c>
      <c r="N310" t="s">
        <v>1387</v>
      </c>
      <c r="O310">
        <v>19</v>
      </c>
      <c r="P310" s="6">
        <v>200</v>
      </c>
      <c r="Q310" t="s">
        <v>31</v>
      </c>
      <c r="R310" t="s">
        <v>32</v>
      </c>
      <c r="S310" s="2" t="str">
        <f>HYPERLINK("https://yandex.ru/maps/?&amp;text=56.802135, 61.322693", "56.802135, 61.322693")</f>
        <v>56.802135, 61.322693</v>
      </c>
      <c r="T310" s="2" t="str">
        <f>HYPERLINK("D:\venv_torgi\env\cache\objs_in_district/56.802135_61.322693.json", "56.802135_61.322693.json")</f>
        <v>56.802135_61.322693.json</v>
      </c>
      <c r="U310" t="s">
        <v>1388</v>
      </c>
      <c r="V310" s="7" t="s">
        <v>34</v>
      </c>
      <c r="W310" s="19">
        <v>25005.921007216992</v>
      </c>
      <c r="X310" s="21">
        <v>13313.121007216991</v>
      </c>
      <c r="Y310">
        <v>0</v>
      </c>
    </row>
    <row r="311" spans="1:26">
      <c r="A311" s="8">
        <v>313</v>
      </c>
      <c r="B311">
        <v>66</v>
      </c>
      <c r="C311" s="1">
        <v>96.4</v>
      </c>
      <c r="D311" s="2" t="str">
        <f>HYPERLINK("https://torgi.gov.ru/new/public/lots/lot/22000040720000000001_1/(lotInfo:info)", "22000040720000000001_1")</f>
        <v>22000040720000000001_1</v>
      </c>
      <c r="E311" t="s">
        <v>1389</v>
      </c>
      <c r="F311" s="3" t="s">
        <v>1390</v>
      </c>
      <c r="G311" t="s">
        <v>1391</v>
      </c>
      <c r="H311" s="4">
        <v>1150000</v>
      </c>
      <c r="I311" s="4">
        <v>11929.460580912861</v>
      </c>
      <c r="J311" s="5" t="s">
        <v>29</v>
      </c>
      <c r="K311" s="5">
        <v>14.73</v>
      </c>
      <c r="L311" s="4">
        <v>917.62</v>
      </c>
      <c r="M311">
        <v>810</v>
      </c>
      <c r="N311" t="s">
        <v>1392</v>
      </c>
      <c r="O311">
        <v>13</v>
      </c>
      <c r="P311" s="6">
        <v>200</v>
      </c>
      <c r="Q311" t="s">
        <v>31</v>
      </c>
      <c r="R311" t="s">
        <v>32</v>
      </c>
      <c r="S311" s="2" t="str">
        <f>HYPERLINK("https://yandex.ru/maps/?&amp;text=57.01859, 61.465696", "57.01859, 61.465696")</f>
        <v>57.01859, 61.465696</v>
      </c>
      <c r="T311" s="2" t="str">
        <f>HYPERLINK("D:\venv_torgi\env\cache\objs_in_district/57.01859_61.465696.json", "57.01859_61.465696.json")</f>
        <v>57.01859_61.465696.json</v>
      </c>
      <c r="U311" t="s">
        <v>1393</v>
      </c>
      <c r="V311" s="7" t="s">
        <v>34</v>
      </c>
      <c r="W311" s="19">
        <v>25005.921007216992</v>
      </c>
      <c r="X311" s="21">
        <v>13076.460426304129</v>
      </c>
      <c r="Y311">
        <v>0</v>
      </c>
    </row>
    <row r="312" spans="1:26">
      <c r="A312" s="8">
        <v>314</v>
      </c>
      <c r="B312">
        <v>66</v>
      </c>
      <c r="C312" s="1">
        <v>436.1</v>
      </c>
      <c r="D312" s="2" t="str">
        <f>HYPERLINK("https://torgi.gov.ru/new/public/lots/lot/21000004700000000002_2/(lotInfo:info)", "21000004700000000002_2")</f>
        <v>21000004700000000002_2</v>
      </c>
      <c r="E312" t="s">
        <v>1394</v>
      </c>
      <c r="F312" s="3" t="s">
        <v>1395</v>
      </c>
      <c r="G312" t="s">
        <v>1396</v>
      </c>
      <c r="H312" s="4">
        <v>5563000</v>
      </c>
      <c r="I312" s="4">
        <v>12756.248566842471</v>
      </c>
      <c r="J312" s="5" t="s">
        <v>56</v>
      </c>
      <c r="K312" s="5">
        <v>17.940000000000001</v>
      </c>
      <c r="L312" s="4">
        <v>531.5</v>
      </c>
      <c r="M312">
        <v>711</v>
      </c>
      <c r="N312" t="s">
        <v>39</v>
      </c>
      <c r="O312">
        <v>24</v>
      </c>
      <c r="P312" s="6">
        <v>300</v>
      </c>
      <c r="Q312" t="s">
        <v>31</v>
      </c>
      <c r="R312" t="s">
        <v>32</v>
      </c>
      <c r="S312" s="2" t="str">
        <f>HYPERLINK("https://yandex.ru/maps/?&amp;text=57.265945, 60.132244", "57.265945, 60.132244")</f>
        <v>57.265945, 60.132244</v>
      </c>
      <c r="T312" s="2" t="str">
        <f>HYPERLINK("D:\venv_torgi\env\cache\objs_in_district/57.265945_60.132244.json", "57.265945_60.132244.json")</f>
        <v>57.265945_60.132244.json</v>
      </c>
      <c r="U312" t="s">
        <v>1397</v>
      </c>
      <c r="V312" s="7" t="s">
        <v>128</v>
      </c>
      <c r="W312" s="19">
        <v>7354.489883546642</v>
      </c>
      <c r="X312" s="20">
        <v>-5401.7586832958286</v>
      </c>
      <c r="Y312">
        <v>0</v>
      </c>
    </row>
    <row r="313" spans="1:26">
      <c r="A313" s="8">
        <v>315</v>
      </c>
      <c r="B313">
        <v>66</v>
      </c>
      <c r="C313" s="1">
        <v>123.3</v>
      </c>
      <c r="D313" s="2" t="str">
        <f>HYPERLINK("https://torgi.gov.ru/new/public/lots/lot/21000000900000000002_7/(lotInfo:info)", "21000000900000000002_7")</f>
        <v>21000000900000000002_7</v>
      </c>
      <c r="E313" t="s">
        <v>1398</v>
      </c>
      <c r="F313" s="3" t="s">
        <v>1399</v>
      </c>
      <c r="G313" t="s">
        <v>1400</v>
      </c>
      <c r="H313" s="4">
        <v>1638138.37</v>
      </c>
      <c r="I313" s="4">
        <v>13285.79375506894</v>
      </c>
      <c r="J313" s="5" t="s">
        <v>29</v>
      </c>
      <c r="K313" s="5">
        <v>4.26</v>
      </c>
      <c r="L313" s="4">
        <v>738.06</v>
      </c>
      <c r="M313">
        <v>3115</v>
      </c>
      <c r="N313" t="s">
        <v>1401</v>
      </c>
      <c r="O313">
        <v>18</v>
      </c>
      <c r="P313" s="6">
        <v>500</v>
      </c>
      <c r="Q313" t="s">
        <v>31</v>
      </c>
      <c r="R313" t="s">
        <v>32</v>
      </c>
      <c r="S313" s="2" t="str">
        <f>HYPERLINK("https://yandex.ru/maps/?&amp;text=57.245434, 60.087276", "57.245434, 60.087276")</f>
        <v>57.245434, 60.087276</v>
      </c>
      <c r="T313" s="2" t="str">
        <f>HYPERLINK("D:\venv_torgi\env\cache\objs_in_district/57.245434_60.087276.json", "57.245434_60.087276.json")</f>
        <v>57.245434_60.087276.json</v>
      </c>
      <c r="U313" t="s">
        <v>1402</v>
      </c>
      <c r="V313" s="7" t="s">
        <v>39</v>
      </c>
      <c r="W313" s="19">
        <v>14930.943770233611</v>
      </c>
      <c r="X313" s="21">
        <v>1645.1500151646719</v>
      </c>
      <c r="Y313">
        <v>0</v>
      </c>
    </row>
    <row r="314" spans="1:26">
      <c r="A314" s="8">
        <v>316</v>
      </c>
      <c r="B314">
        <v>66</v>
      </c>
      <c r="C314" s="1">
        <v>56.1</v>
      </c>
      <c r="D314" s="2" t="str">
        <f>HYPERLINK("https://torgi.gov.ru/new/public/lots/lot/22000042370000000005_2/(lotInfo:info)", "22000042370000000005_2")</f>
        <v>22000042370000000005_2</v>
      </c>
      <c r="E314" t="s">
        <v>1403</v>
      </c>
      <c r="F314" s="3" t="s">
        <v>1404</v>
      </c>
      <c r="G314" t="s">
        <v>1405</v>
      </c>
      <c r="H314" s="4">
        <v>780014</v>
      </c>
      <c r="I314" s="4">
        <v>13903.992869875219</v>
      </c>
      <c r="J314" s="5" t="s">
        <v>29</v>
      </c>
      <c r="K314" s="5">
        <v>21.66</v>
      </c>
      <c r="L314" s="4">
        <v>4634.33</v>
      </c>
      <c r="M314">
        <v>642</v>
      </c>
      <c r="N314" t="s">
        <v>1406</v>
      </c>
      <c r="O314">
        <v>3</v>
      </c>
      <c r="P314" s="6">
        <v>3800</v>
      </c>
      <c r="Q314" t="s">
        <v>31</v>
      </c>
      <c r="R314" t="s">
        <v>32</v>
      </c>
      <c r="S314" s="2" t="str">
        <f>HYPERLINK("https://yandex.ru/maps/?&amp;text=56.442244, 61.810254", "56.442244, 61.810254")</f>
        <v>56.442244, 61.810254</v>
      </c>
      <c r="T314" s="2" t="str">
        <f>HYPERLINK("D:\venv_torgi\env\cache\objs_in_district/56.442244_61.810254.json", "56.442244_61.810254.json")</f>
        <v>56.442244_61.810254.json</v>
      </c>
      <c r="U314" t="s">
        <v>1407</v>
      </c>
      <c r="V314" s="7" t="s">
        <v>34</v>
      </c>
      <c r="W314" s="19">
        <v>14930.943770233611</v>
      </c>
      <c r="X314" s="21">
        <v>1026.950900358393</v>
      </c>
      <c r="Y314">
        <v>0</v>
      </c>
    </row>
    <row r="315" spans="1:26">
      <c r="A315" s="8">
        <v>317</v>
      </c>
      <c r="B315">
        <v>66</v>
      </c>
      <c r="C315" s="1">
        <v>205.7</v>
      </c>
      <c r="D315" s="2" t="str">
        <f>HYPERLINK("https://torgi.gov.ru/new/public/lots/lot/21000020190000000001_3/(lotInfo:info)", "21000020190000000001_3")</f>
        <v>21000020190000000001_3</v>
      </c>
      <c r="E315" t="s">
        <v>1408</v>
      </c>
      <c r="F315" s="3" t="s">
        <v>1409</v>
      </c>
      <c r="G315" t="s">
        <v>1410</v>
      </c>
      <c r="H315" s="4">
        <v>3211250</v>
      </c>
      <c r="I315" s="4">
        <v>15611.3271754983</v>
      </c>
      <c r="J315" s="5" t="s">
        <v>29</v>
      </c>
      <c r="K315" s="5">
        <v>4.2</v>
      </c>
      <c r="L315" s="4">
        <v>1115.07</v>
      </c>
      <c r="M315">
        <v>3720</v>
      </c>
      <c r="N315" t="s">
        <v>1377</v>
      </c>
      <c r="O315">
        <v>14</v>
      </c>
      <c r="P315" s="6">
        <v>1300</v>
      </c>
      <c r="Q315" t="s">
        <v>31</v>
      </c>
      <c r="R315" t="s">
        <v>32</v>
      </c>
      <c r="S315" s="2" t="str">
        <f>HYPERLINK("https://yandex.ru/maps/?&amp;text=56.90548, 59.92929", "56.90548, 59.92929")</f>
        <v>56.90548, 59.92929</v>
      </c>
      <c r="T315" s="2" t="str">
        <f>HYPERLINK("D:\venv_torgi\env\cache\objs_in_district/56.90548_59.92929.json", "56.90548_59.92929.json")</f>
        <v>56.90548_59.92929.json</v>
      </c>
      <c r="U315" t="s">
        <v>1411</v>
      </c>
      <c r="W315" s="19">
        <v>10661.45189182739</v>
      </c>
      <c r="X315" s="20">
        <v>-4949.8752836709064</v>
      </c>
      <c r="Y315">
        <v>1</v>
      </c>
    </row>
    <row r="316" spans="1:26">
      <c r="A316" s="8">
        <v>318</v>
      </c>
      <c r="B316">
        <v>66</v>
      </c>
      <c r="C316" s="1">
        <v>299.89999999999998</v>
      </c>
      <c r="D316" s="2" t="str">
        <f>HYPERLINK("https://torgi.gov.ru/new/public/lots/lot/21000024130000000004_1/(lotInfo:info)", "21000024130000000004_1")</f>
        <v>21000024130000000004_1</v>
      </c>
      <c r="E316" t="s">
        <v>1412</v>
      </c>
      <c r="F316" s="3" t="s">
        <v>1413</v>
      </c>
      <c r="G316" t="s">
        <v>1414</v>
      </c>
      <c r="H316" s="4">
        <v>9401000</v>
      </c>
      <c r="I316" s="4">
        <v>31347.115705235079</v>
      </c>
      <c r="J316" s="5" t="s">
        <v>29</v>
      </c>
      <c r="K316" s="5">
        <v>6.3</v>
      </c>
      <c r="L316" s="4">
        <v>287.58999999999997</v>
      </c>
      <c r="M316">
        <v>4977</v>
      </c>
      <c r="N316" t="s">
        <v>1415</v>
      </c>
      <c r="O316">
        <v>109</v>
      </c>
      <c r="P316" s="6">
        <v>1000</v>
      </c>
      <c r="Q316" t="s">
        <v>31</v>
      </c>
      <c r="R316" t="s">
        <v>32</v>
      </c>
      <c r="S316" s="2" t="str">
        <f>HYPERLINK("https://yandex.ru/maps/?&amp;text=56.83279, 60.60257", "56.83279, 60.60257")</f>
        <v>56.83279, 60.60257</v>
      </c>
      <c r="T316" s="2" t="str">
        <f>HYPERLINK("D:\venv_torgi\env\cache\objs_in_district/56.83279_60.60257.json", "56.83279_60.60257.json")</f>
        <v>56.83279_60.60257.json</v>
      </c>
      <c r="U316" t="s">
        <v>1416</v>
      </c>
      <c r="V316" s="7" t="s">
        <v>34</v>
      </c>
      <c r="W316" s="19">
        <v>19931.15122427437</v>
      </c>
      <c r="X316" s="20">
        <v>-11415.964480960711</v>
      </c>
      <c r="Y316">
        <v>0</v>
      </c>
    </row>
    <row r="317" spans="1:26">
      <c r="A317" s="8">
        <v>319</v>
      </c>
      <c r="B317">
        <v>66</v>
      </c>
      <c r="C317" s="1">
        <v>201.1</v>
      </c>
      <c r="D317" s="2" t="str">
        <f>HYPERLINK("https://torgi.gov.ru/new/public/lots/lot/22000034760000000022_1/(lotInfo:info)", "22000034760000000022_1")</f>
        <v>22000034760000000022_1</v>
      </c>
      <c r="E317" t="s">
        <v>1417</v>
      </c>
      <c r="F317" s="3" t="s">
        <v>1418</v>
      </c>
      <c r="G317" t="s">
        <v>1419</v>
      </c>
      <c r="H317" s="4">
        <v>6407000</v>
      </c>
      <c r="I317" s="4">
        <v>31859.77125808056</v>
      </c>
      <c r="J317" s="5" t="s">
        <v>2082</v>
      </c>
      <c r="K317" s="5">
        <v>3.51</v>
      </c>
      <c r="L317" s="4">
        <v>182.05</v>
      </c>
      <c r="M317">
        <v>9079</v>
      </c>
      <c r="N317" t="s">
        <v>1415</v>
      </c>
      <c r="O317">
        <v>175</v>
      </c>
      <c r="P317" s="6">
        <v>300</v>
      </c>
      <c r="Q317" t="s">
        <v>855</v>
      </c>
      <c r="R317" t="s">
        <v>32</v>
      </c>
      <c r="S317" s="2" t="str">
        <f>HYPERLINK("https://yandex.ru/maps/?&amp;text=56.842384, 60.621172", "56.842384, 60.621172")</f>
        <v>56.842384, 60.621172</v>
      </c>
      <c r="T317" s="2" t="str">
        <f>HYPERLINK("D:\venv_torgi\env\cache\objs_in_district/56.842384_60.621172.json", "56.842384_60.621172.json")</f>
        <v>56.842384_60.621172.json</v>
      </c>
      <c r="U317" t="s">
        <v>1420</v>
      </c>
      <c r="W317" s="19">
        <v>19931.15122427437</v>
      </c>
      <c r="X317" s="20">
        <v>-11928.62003380619</v>
      </c>
      <c r="Y317">
        <v>0</v>
      </c>
      <c r="Z317">
        <v>1</v>
      </c>
    </row>
    <row r="318" spans="1:26">
      <c r="A318" s="8">
        <v>320</v>
      </c>
      <c r="B318">
        <v>66</v>
      </c>
      <c r="C318" s="1">
        <v>138</v>
      </c>
      <c r="D318" s="2" t="str">
        <f>HYPERLINK("https://torgi.gov.ru/new/public/lots/lot/21000024130000000022_1/(lotInfo:info)", "21000024130000000022_1")</f>
        <v>21000024130000000022_1</v>
      </c>
      <c r="E318" t="s">
        <v>1421</v>
      </c>
      <c r="F318" s="3" t="s">
        <v>1422</v>
      </c>
      <c r="G318" t="s">
        <v>1423</v>
      </c>
      <c r="H318" s="4">
        <v>5700000</v>
      </c>
      <c r="I318" s="4">
        <v>41304.34782608696</v>
      </c>
      <c r="J318" s="5" t="s">
        <v>29</v>
      </c>
      <c r="K318" s="5">
        <v>4.9400000000000004</v>
      </c>
      <c r="L318" s="4">
        <v>189.47</v>
      </c>
      <c r="M318">
        <v>8359</v>
      </c>
      <c r="N318" t="s">
        <v>1415</v>
      </c>
      <c r="O318">
        <v>218</v>
      </c>
      <c r="P318" s="6">
        <v>200</v>
      </c>
      <c r="Q318" t="s">
        <v>855</v>
      </c>
      <c r="R318" t="s">
        <v>32</v>
      </c>
      <c r="S318" s="2" t="str">
        <f>HYPERLINK("https://yandex.ru/maps/?&amp;text=56.835018, 60.594977", "56.835018, 60.594977")</f>
        <v>56.835018, 60.594977</v>
      </c>
      <c r="T318" s="2" t="str">
        <f>HYPERLINK("D:\venv_torgi\env\cache\objs_in_district/56.835018_60.594977.json", "56.835018_60.594977.json")</f>
        <v>56.835018_60.594977.json</v>
      </c>
      <c r="U318" t="s">
        <v>1424</v>
      </c>
      <c r="V318" s="7" t="s">
        <v>34</v>
      </c>
      <c r="W318" s="19">
        <v>38444.778783778936</v>
      </c>
      <c r="X318" s="20">
        <v>-2859.5690423080159</v>
      </c>
      <c r="Y318">
        <v>0</v>
      </c>
      <c r="Z318">
        <v>1</v>
      </c>
    </row>
    <row r="319" spans="1:26">
      <c r="A319" s="8">
        <v>321</v>
      </c>
      <c r="B319">
        <v>66</v>
      </c>
      <c r="C319" s="1">
        <v>134.69999999999999</v>
      </c>
      <c r="D319" s="2" t="str">
        <f>HYPERLINK("https://torgi.gov.ru/new/public/lots/lot/22000034760000000031_1/(lotInfo:info)", "22000034760000000031_1")</f>
        <v>22000034760000000031_1</v>
      </c>
      <c r="E319" t="s">
        <v>348</v>
      </c>
      <c r="F319" s="3" t="s">
        <v>1425</v>
      </c>
      <c r="G319" t="s">
        <v>1426</v>
      </c>
      <c r="H319" s="4">
        <v>6283200</v>
      </c>
      <c r="I319" s="4">
        <v>46645.879732739428</v>
      </c>
      <c r="J319" s="5" t="s">
        <v>29</v>
      </c>
      <c r="K319" s="5">
        <v>9.68</v>
      </c>
      <c r="L319" s="4">
        <v>2455</v>
      </c>
      <c r="M319">
        <v>4821</v>
      </c>
      <c r="N319" t="s">
        <v>1415</v>
      </c>
      <c r="O319">
        <v>19</v>
      </c>
      <c r="P319" s="6">
        <v>700</v>
      </c>
      <c r="Q319" t="s">
        <v>31</v>
      </c>
      <c r="R319" t="s">
        <v>32</v>
      </c>
      <c r="S319" s="2" t="str">
        <f>HYPERLINK("https://yandex.ru/maps/?&amp;text=56.846245, 60.582508", "56.846245, 60.582508")</f>
        <v>56.846245, 60.582508</v>
      </c>
      <c r="T319" s="2" t="str">
        <f>HYPERLINK("D:\venv_torgi\env\cache\objs_in_district/56.846245_60.582508.json", "56.846245_60.582508.json")</f>
        <v>56.846245_60.582508.json</v>
      </c>
      <c r="U319" t="s">
        <v>1427</v>
      </c>
      <c r="W319" s="19">
        <v>28791.780206219712</v>
      </c>
      <c r="X319" s="20">
        <v>-17854.09952651972</v>
      </c>
      <c r="Y319">
        <v>0</v>
      </c>
    </row>
    <row r="320" spans="1:26">
      <c r="A320" s="8">
        <v>322</v>
      </c>
      <c r="B320">
        <v>66</v>
      </c>
      <c r="C320" s="1">
        <v>42.7</v>
      </c>
      <c r="D320" s="2" t="str">
        <f>HYPERLINK("https://torgi.gov.ru/new/public/lots/lot/21000024130000000015_1/(lotInfo:info)", "21000024130000000015_1")</f>
        <v>21000024130000000015_1</v>
      </c>
      <c r="E320" t="s">
        <v>1428</v>
      </c>
      <c r="F320" s="3" t="s">
        <v>1429</v>
      </c>
      <c r="G320" t="s">
        <v>1430</v>
      </c>
      <c r="H320" s="4">
        <v>2275000</v>
      </c>
      <c r="I320" s="4">
        <v>53278.688524590158</v>
      </c>
      <c r="J320" s="5" t="s">
        <v>29</v>
      </c>
      <c r="K320" s="5">
        <v>56.14</v>
      </c>
      <c r="L320" s="4">
        <v>1065.56</v>
      </c>
      <c r="M320">
        <v>949</v>
      </c>
      <c r="N320" t="s">
        <v>2074</v>
      </c>
      <c r="O320">
        <v>50</v>
      </c>
      <c r="Q320" t="s">
        <v>855</v>
      </c>
      <c r="R320" t="s">
        <v>32</v>
      </c>
      <c r="T320" s="2" t="str">
        <f>HYPERLINK("D:\venv_torgi\env\cache\objs_in_district/None_None.json", "None_None.json")</f>
        <v>None_None.json</v>
      </c>
      <c r="U320" t="s">
        <v>1431</v>
      </c>
      <c r="V320" s="7" t="s">
        <v>128</v>
      </c>
      <c r="W320" s="19">
        <v>59025.866005460521</v>
      </c>
      <c r="X320" s="21">
        <v>5747.1774808703631</v>
      </c>
      <c r="Y320">
        <v>0</v>
      </c>
      <c r="Z320">
        <v>1</v>
      </c>
    </row>
    <row r="321" spans="1:25">
      <c r="A321" s="8">
        <v>323</v>
      </c>
      <c r="B321">
        <v>68</v>
      </c>
      <c r="C321" s="1">
        <v>467.8</v>
      </c>
      <c r="D321" s="2" t="str">
        <f>HYPERLINK("https://torgi.gov.ru/new/public/lots/lot/22000009410000000002_1/(lotInfo:info)", "22000009410000000002_1")</f>
        <v>22000009410000000002_1</v>
      </c>
      <c r="E321" t="s">
        <v>1432</v>
      </c>
      <c r="F321" s="3" t="s">
        <v>1219</v>
      </c>
      <c r="G321" t="s">
        <v>1433</v>
      </c>
      <c r="H321" s="4">
        <v>1751270</v>
      </c>
      <c r="I321" s="4">
        <v>3743.629756306113</v>
      </c>
      <c r="J321" s="5" t="s">
        <v>1434</v>
      </c>
      <c r="K321" s="5">
        <v>0.86</v>
      </c>
      <c r="L321" s="4">
        <v>24.62</v>
      </c>
      <c r="M321">
        <v>4353</v>
      </c>
      <c r="N321" t="s">
        <v>1435</v>
      </c>
      <c r="O321">
        <v>152</v>
      </c>
      <c r="P321" s="6">
        <v>200</v>
      </c>
      <c r="Q321" t="s">
        <v>31</v>
      </c>
      <c r="R321" t="s">
        <v>32</v>
      </c>
      <c r="S321" s="2" t="str">
        <f>HYPERLINK("https://yandex.ru/maps/?&amp;text=52.585243, 41.49728", "52.585243, 41.49728")</f>
        <v>52.585243, 41.49728</v>
      </c>
      <c r="T321" s="2" t="str">
        <f>HYPERLINK("D:\venv_torgi\env\cache\objs_in_district/52.585243_41.49728.json", "52.585243_41.49728.json")</f>
        <v>52.585243_41.49728.json</v>
      </c>
      <c r="U321" t="s">
        <v>1436</v>
      </c>
      <c r="V321" s="7" t="s">
        <v>34</v>
      </c>
      <c r="W321" s="19">
        <v>7354.489883546642</v>
      </c>
      <c r="X321" s="21">
        <v>3610.860127240529</v>
      </c>
      <c r="Y321">
        <v>0</v>
      </c>
    </row>
    <row r="322" spans="1:25">
      <c r="A322" s="8">
        <v>324</v>
      </c>
      <c r="B322">
        <v>68</v>
      </c>
      <c r="C322" s="1">
        <v>95.6</v>
      </c>
      <c r="D322" s="2" t="str">
        <f>HYPERLINK("https://torgi.gov.ru/new/public/lots/lot/22000109930000000001_1/(lotInfo:info)", "22000109930000000001_1")</f>
        <v>22000109930000000001_1</v>
      </c>
      <c r="E322" t="s">
        <v>1437</v>
      </c>
      <c r="F322" s="3" t="s">
        <v>1438</v>
      </c>
      <c r="G322" t="s">
        <v>1439</v>
      </c>
      <c r="H322" s="4">
        <v>1147080</v>
      </c>
      <c r="I322" s="4">
        <v>11998.74476987448</v>
      </c>
      <c r="J322" s="5" t="s">
        <v>29</v>
      </c>
      <c r="K322" s="5">
        <v>5.38</v>
      </c>
      <c r="L322" s="4">
        <v>222.19</v>
      </c>
      <c r="M322">
        <v>2231</v>
      </c>
      <c r="N322" t="s">
        <v>1440</v>
      </c>
      <c r="O322">
        <v>54</v>
      </c>
      <c r="P322" s="6">
        <v>300</v>
      </c>
      <c r="Q322" t="s">
        <v>31</v>
      </c>
      <c r="R322" t="s">
        <v>32</v>
      </c>
      <c r="S322" s="2" t="str">
        <f>HYPERLINK("https://yandex.ru/maps/?&amp;text=52.649563, 42.726326", "52.649563, 42.726326")</f>
        <v>52.649563, 42.726326</v>
      </c>
      <c r="T322" s="2" t="str">
        <f>HYPERLINK("D:\venv_torgi\env\cache\objs_in_district/52.649563_42.726326.json", "52.649563_42.726326.json")</f>
        <v>52.649563_42.726326.json</v>
      </c>
      <c r="U322" t="s">
        <v>1441</v>
      </c>
      <c r="V322" s="7" t="s">
        <v>34</v>
      </c>
      <c r="W322" s="19">
        <v>25005.921007216992</v>
      </c>
      <c r="X322" s="21">
        <v>13007.17623734251</v>
      </c>
      <c r="Y322">
        <v>0</v>
      </c>
    </row>
    <row r="323" spans="1:25">
      <c r="A323" s="8">
        <v>325</v>
      </c>
      <c r="B323">
        <v>69</v>
      </c>
      <c r="C323" s="1">
        <v>36.5</v>
      </c>
      <c r="D323" s="2" t="str">
        <f>HYPERLINK("https://torgi.gov.ru/new/public/lots/lot/22000038240000000001_1/(lotInfo:info)", "22000038240000000001_1")</f>
        <v>22000038240000000001_1</v>
      </c>
      <c r="E323" t="s">
        <v>1442</v>
      </c>
      <c r="F323" s="3" t="s">
        <v>1443</v>
      </c>
      <c r="G323" t="s">
        <v>1444</v>
      </c>
      <c r="H323" s="4">
        <v>630000</v>
      </c>
      <c r="I323" s="4">
        <v>17260.273972602739</v>
      </c>
      <c r="J323" s="5" t="s">
        <v>29</v>
      </c>
      <c r="K323" s="5">
        <v>6.93</v>
      </c>
      <c r="L323" s="4">
        <v>595.16999999999996</v>
      </c>
      <c r="M323">
        <v>2490</v>
      </c>
      <c r="N323" t="s">
        <v>1445</v>
      </c>
      <c r="O323">
        <v>29</v>
      </c>
      <c r="P323" s="6">
        <v>600</v>
      </c>
      <c r="Q323" t="s">
        <v>31</v>
      </c>
      <c r="R323" t="s">
        <v>32</v>
      </c>
      <c r="S323" s="2" t="str">
        <f>HYPERLINK("https://yandex.ru/maps/?&amp;text=57.124472, 35.459963", "57.124472, 35.459963")</f>
        <v>57.124472, 35.459963</v>
      </c>
      <c r="T323" s="2" t="str">
        <f>HYPERLINK("D:\venv_torgi\env\cache\objs_in_district/57.124472_35.459963.json", "57.124472_35.459963.json")</f>
        <v>57.124472_35.459963.json</v>
      </c>
      <c r="U323" t="s">
        <v>1446</v>
      </c>
      <c r="W323" s="19">
        <v>14930.943770233611</v>
      </c>
      <c r="X323" s="20">
        <v>-2329.3302023691272</v>
      </c>
      <c r="Y323">
        <v>0</v>
      </c>
    </row>
    <row r="324" spans="1:25">
      <c r="A324" s="8">
        <v>326</v>
      </c>
      <c r="B324">
        <v>69</v>
      </c>
      <c r="C324" s="1">
        <v>33.700000000000003</v>
      </c>
      <c r="D324" s="2" t="str">
        <f>HYPERLINK("https://torgi.gov.ru/new/public/lots/lot/21000014400000000005_5/(lotInfo:info)", "21000014400000000005_5")</f>
        <v>21000014400000000005_5</v>
      </c>
      <c r="E324" t="s">
        <v>1447</v>
      </c>
      <c r="F324" s="3" t="s">
        <v>272</v>
      </c>
      <c r="G324" t="s">
        <v>1448</v>
      </c>
      <c r="H324" s="4">
        <v>587458</v>
      </c>
      <c r="I324" s="4">
        <v>17431.988130563801</v>
      </c>
      <c r="J324" s="5" t="s">
        <v>29</v>
      </c>
      <c r="K324" s="5">
        <v>2.4300000000000002</v>
      </c>
      <c r="L324" s="4">
        <v>193.68</v>
      </c>
      <c r="M324">
        <v>7173</v>
      </c>
      <c r="N324" t="s">
        <v>1449</v>
      </c>
      <c r="O324">
        <v>90</v>
      </c>
      <c r="Q324" t="s">
        <v>31</v>
      </c>
      <c r="R324" t="s">
        <v>32</v>
      </c>
      <c r="S324" s="2" t="str">
        <f>HYPERLINK("https://yandex.ru/maps/?&amp;text=56.839527, 35.93424", "56.839527, 35.93424")</f>
        <v>56.839527, 35.93424</v>
      </c>
      <c r="T324" s="2" t="str">
        <f>HYPERLINK("D:\venv_torgi\env\cache\objs_in_district/56.839527_35.93424.json", "56.839527_35.93424.json")</f>
        <v>56.839527_35.93424.json</v>
      </c>
      <c r="U324" t="s">
        <v>1450</v>
      </c>
      <c r="V324" s="7" t="s">
        <v>128</v>
      </c>
      <c r="W324" s="19">
        <v>28791.780206219712</v>
      </c>
      <c r="X324" s="21">
        <v>11359.792075655911</v>
      </c>
      <c r="Y324">
        <v>0</v>
      </c>
    </row>
    <row r="325" spans="1:25">
      <c r="A325" s="8">
        <v>327</v>
      </c>
      <c r="B325">
        <v>69</v>
      </c>
      <c r="C325" s="1">
        <v>73.2</v>
      </c>
      <c r="D325" s="2" t="str">
        <f>HYPERLINK("https://torgi.gov.ru/new/public/lots/lot/22000007080000000003_1/(lotInfo:info)", "22000007080000000003_1")</f>
        <v>22000007080000000003_1</v>
      </c>
      <c r="E325" t="s">
        <v>1142</v>
      </c>
      <c r="F325" s="3" t="s">
        <v>1451</v>
      </c>
      <c r="G325" t="s">
        <v>1452</v>
      </c>
      <c r="H325" s="4">
        <v>1575044</v>
      </c>
      <c r="I325" s="4">
        <v>21516.99453551913</v>
      </c>
      <c r="J325" s="5" t="s">
        <v>29</v>
      </c>
      <c r="K325" s="5">
        <v>8.94</v>
      </c>
      <c r="L325" s="4">
        <v>768.43</v>
      </c>
      <c r="M325">
        <v>2406</v>
      </c>
      <c r="N325" t="s">
        <v>1453</v>
      </c>
      <c r="O325">
        <v>28</v>
      </c>
      <c r="P325" s="6">
        <v>600</v>
      </c>
      <c r="Q325" t="s">
        <v>31</v>
      </c>
      <c r="R325" t="s">
        <v>32</v>
      </c>
      <c r="S325" s="2" t="str">
        <f>HYPERLINK("https://yandex.ru/maps/?&amp;text=57.03673, 34.96913", "57.03673, 34.96913")</f>
        <v>57.03673, 34.96913</v>
      </c>
      <c r="T325" s="2" t="str">
        <f>HYPERLINK("D:\venv_torgi\env\cache\objs_in_district/57.03673_34.96913.json", "57.03673_34.96913.json")</f>
        <v>57.03673_34.96913.json</v>
      </c>
      <c r="W325" s="19">
        <v>14930.943770233611</v>
      </c>
      <c r="X325" s="20">
        <v>-6586.0507652855176</v>
      </c>
      <c r="Y325">
        <v>0</v>
      </c>
    </row>
    <row r="326" spans="1:25">
      <c r="A326" s="8">
        <v>328</v>
      </c>
      <c r="B326">
        <v>69</v>
      </c>
      <c r="C326" s="1">
        <v>84.8</v>
      </c>
      <c r="D326" s="2" t="str">
        <f>HYPERLINK("https://torgi.gov.ru/new/public/lots/lot/21000035450000000001_1/(lotInfo:info)", "21000035450000000001_1")</f>
        <v>21000035450000000001_1</v>
      </c>
      <c r="E326" t="s">
        <v>1454</v>
      </c>
      <c r="F326" s="3" t="s">
        <v>1455</v>
      </c>
      <c r="G326" t="s">
        <v>1456</v>
      </c>
      <c r="H326" s="4">
        <v>2570000</v>
      </c>
      <c r="I326" s="4">
        <v>30306.60377358491</v>
      </c>
      <c r="J326" s="5" t="s">
        <v>29</v>
      </c>
      <c r="K326" s="5">
        <v>14.75</v>
      </c>
      <c r="L326" s="4">
        <v>2164.71</v>
      </c>
      <c r="M326">
        <v>2055</v>
      </c>
      <c r="N326" t="s">
        <v>1457</v>
      </c>
      <c r="O326">
        <v>14</v>
      </c>
      <c r="P326" s="6">
        <v>300</v>
      </c>
      <c r="Q326" t="s">
        <v>31</v>
      </c>
      <c r="R326" t="s">
        <v>32</v>
      </c>
      <c r="S326" s="2" t="str">
        <f>HYPERLINK("https://yandex.ru/maps/?&amp;text=56.862625, 37.35082", "56.862625, 37.35082")</f>
        <v>56.862625, 37.35082</v>
      </c>
      <c r="T326" s="2" t="str">
        <f>HYPERLINK("D:\venv_torgi\env\cache\objs_in_district/56.862625_37.35082.json", "56.862625_37.35082.json")</f>
        <v>56.862625_37.35082.json</v>
      </c>
      <c r="U326" t="s">
        <v>1458</v>
      </c>
      <c r="V326" s="7" t="s">
        <v>34</v>
      </c>
      <c r="W326" s="19">
        <v>25005.921007216992</v>
      </c>
      <c r="X326" s="20">
        <v>-5300.6827663679178</v>
      </c>
      <c r="Y326">
        <v>0</v>
      </c>
    </row>
    <row r="327" spans="1:25">
      <c r="A327" s="8">
        <v>329</v>
      </c>
      <c r="B327">
        <v>69</v>
      </c>
      <c r="C327" s="1">
        <v>71.5</v>
      </c>
      <c r="D327" s="2" t="str">
        <f>HYPERLINK("https://torgi.gov.ru/new/public/lots/lot/21000014400000000005_10/(lotInfo:info)", "21000014400000000005_10")</f>
        <v>21000014400000000005_10</v>
      </c>
      <c r="E327" t="s">
        <v>1459</v>
      </c>
      <c r="F327" s="3" t="s">
        <v>272</v>
      </c>
      <c r="G327" t="s">
        <v>1460</v>
      </c>
      <c r="H327" s="4">
        <v>2251349.1</v>
      </c>
      <c r="I327" s="4">
        <v>31487.4</v>
      </c>
      <c r="J327" s="5" t="s">
        <v>29</v>
      </c>
      <c r="K327" s="5">
        <v>3.51</v>
      </c>
      <c r="L327" s="4">
        <v>899.63</v>
      </c>
      <c r="M327">
        <v>8967</v>
      </c>
      <c r="N327" t="s">
        <v>1449</v>
      </c>
      <c r="O327">
        <v>35</v>
      </c>
      <c r="P327" s="6">
        <v>400</v>
      </c>
      <c r="Q327" t="s">
        <v>31</v>
      </c>
      <c r="R327" t="s">
        <v>32</v>
      </c>
      <c r="S327" s="2" t="str">
        <f>HYPERLINK("https://yandex.ru/maps/?&amp;text=56.860029, 35.886142", "56.860029, 35.886142")</f>
        <v>56.860029, 35.886142</v>
      </c>
      <c r="T327" s="2" t="str">
        <f>HYPERLINK("D:\venv_torgi\env\cache\objs_in_district/56.860029_35.886142.json", "56.860029_35.886142.json")</f>
        <v>56.860029_35.886142.json</v>
      </c>
      <c r="U327" t="s">
        <v>1461</v>
      </c>
      <c r="V327" s="7" t="s">
        <v>34</v>
      </c>
      <c r="W327" s="19">
        <v>28791.780206219712</v>
      </c>
      <c r="X327" s="20">
        <v>-2695.6197937802899</v>
      </c>
      <c r="Y327">
        <v>0</v>
      </c>
    </row>
    <row r="328" spans="1:25">
      <c r="A328" s="8">
        <v>330</v>
      </c>
      <c r="B328">
        <v>69</v>
      </c>
      <c r="C328" s="1">
        <v>72.8</v>
      </c>
      <c r="D328" s="2" t="str">
        <f>HYPERLINK("https://torgi.gov.ru/new/public/lots/lot/22000009580000000001_1/(lotInfo:info)", "22000009580000000001_1")</f>
        <v>22000009580000000001_1</v>
      </c>
      <c r="E328" t="s">
        <v>1462</v>
      </c>
      <c r="F328" s="3" t="s">
        <v>586</v>
      </c>
      <c r="G328" t="s">
        <v>1463</v>
      </c>
      <c r="H328" s="4">
        <v>2911125</v>
      </c>
      <c r="I328" s="4">
        <v>39987.980769230773</v>
      </c>
      <c r="J328" s="5" t="s">
        <v>29</v>
      </c>
      <c r="K328" s="5">
        <v>9.5399999999999991</v>
      </c>
      <c r="L328" s="4">
        <v>1378.86</v>
      </c>
      <c r="M328">
        <v>4191</v>
      </c>
      <c r="N328" t="s">
        <v>1464</v>
      </c>
      <c r="O328">
        <v>29</v>
      </c>
      <c r="P328" s="6">
        <v>600</v>
      </c>
      <c r="Q328" t="s">
        <v>31</v>
      </c>
      <c r="R328" t="s">
        <v>32</v>
      </c>
      <c r="S328" s="2" t="str">
        <f>HYPERLINK("https://yandex.ru/maps/?&amp;text=56.269581, 34.328391", "56.269581, 34.328391")</f>
        <v>56.269581, 34.328391</v>
      </c>
      <c r="T328" s="2" t="str">
        <f>HYPERLINK("D:\venv_torgi\env\cache\objs_in_district/56.269581_34.328391.json", "56.269581_34.328391.json")</f>
        <v>56.269581_34.328391.json</v>
      </c>
      <c r="U328" t="s">
        <v>1465</v>
      </c>
      <c r="W328" s="19">
        <v>14930.943770233611</v>
      </c>
      <c r="X328" s="20">
        <v>-25057.036998997159</v>
      </c>
      <c r="Y328">
        <v>0</v>
      </c>
    </row>
    <row r="329" spans="1:25">
      <c r="A329" s="8">
        <v>331</v>
      </c>
      <c r="B329">
        <v>69</v>
      </c>
      <c r="C329" s="1">
        <v>89.8</v>
      </c>
      <c r="D329" s="2" t="str">
        <f>HYPERLINK("https://torgi.gov.ru/new/public/lots/lot/21000014400000000011_5/(lotInfo:info)", "21000014400000000011_5")</f>
        <v>21000014400000000011_5</v>
      </c>
      <c r="E329" t="s">
        <v>1466</v>
      </c>
      <c r="F329" s="3" t="s">
        <v>1467</v>
      </c>
      <c r="G329" t="s">
        <v>1468</v>
      </c>
      <c r="H329" s="4">
        <v>3718259</v>
      </c>
      <c r="I329" s="4">
        <v>41406.002227171492</v>
      </c>
      <c r="J329" s="5" t="s">
        <v>29</v>
      </c>
      <c r="K329" s="5">
        <v>5.35</v>
      </c>
      <c r="L329" s="4">
        <v>900.13</v>
      </c>
      <c r="M329">
        <v>7737</v>
      </c>
      <c r="N329" t="s">
        <v>1449</v>
      </c>
      <c r="O329">
        <v>46</v>
      </c>
      <c r="Q329" t="s">
        <v>31</v>
      </c>
      <c r="R329" t="s">
        <v>32</v>
      </c>
      <c r="S329" s="2" t="str">
        <f>HYPERLINK("https://yandex.ru/maps/?&amp;text=56.830615, 35.924491", "56.830615, 35.924491")</f>
        <v>56.830615, 35.924491</v>
      </c>
      <c r="T329" s="2" t="str">
        <f>HYPERLINK("D:\venv_torgi\env\cache\objs_in_district/56.830615_35.924491.json", "56.830615_35.924491.json")</f>
        <v>56.830615_35.924491.json</v>
      </c>
      <c r="U329" t="s">
        <v>1469</v>
      </c>
      <c r="V329" s="7" t="s">
        <v>34</v>
      </c>
      <c r="W329" s="19">
        <v>28791.780206219712</v>
      </c>
      <c r="X329" s="20">
        <v>-12614.22202095178</v>
      </c>
      <c r="Y329">
        <v>0</v>
      </c>
    </row>
    <row r="330" spans="1:25">
      <c r="A330" s="8">
        <v>332</v>
      </c>
      <c r="B330">
        <v>69</v>
      </c>
      <c r="C330" s="1">
        <v>64.599999999999994</v>
      </c>
      <c r="D330" s="2" t="str">
        <f>HYPERLINK("https://torgi.gov.ru/new/public/lots/lot/21000007870000000002_1/(lotInfo:info)", "21000007870000000002_1")</f>
        <v>21000007870000000002_1</v>
      </c>
      <c r="E330" t="s">
        <v>1470</v>
      </c>
      <c r="F330" s="3" t="s">
        <v>1471</v>
      </c>
      <c r="G330" t="s">
        <v>1472</v>
      </c>
      <c r="H330" s="4">
        <v>2920800</v>
      </c>
      <c r="I330" s="4">
        <v>45213.622291021667</v>
      </c>
      <c r="J330" s="5" t="s">
        <v>2084</v>
      </c>
      <c r="K330" s="5">
        <v>779.53</v>
      </c>
      <c r="L330" s="4">
        <v>45213</v>
      </c>
      <c r="M330">
        <v>58</v>
      </c>
      <c r="N330" t="s">
        <v>1473</v>
      </c>
      <c r="O330">
        <v>1</v>
      </c>
      <c r="P330" s="6">
        <v>100</v>
      </c>
      <c r="Q330" t="s">
        <v>31</v>
      </c>
      <c r="R330" t="s">
        <v>32</v>
      </c>
      <c r="S330" s="2" t="str">
        <f>HYPERLINK("https://yandex.ru/maps/?&amp;text=56.428722, 36.065472", "56.428722, 36.065472")</f>
        <v>56.428722, 36.065472</v>
      </c>
      <c r="T330" s="2" t="str">
        <f>HYPERLINK("D:\venv_torgi\env\cache\objs_in_district/56.428722_36.065472.json", "56.428722_36.065472.json")</f>
        <v>56.428722_36.065472.json</v>
      </c>
      <c r="U330" t="s">
        <v>1474</v>
      </c>
      <c r="V330" s="7" t="s">
        <v>34</v>
      </c>
      <c r="W330" s="19">
        <v>25005.921007216992</v>
      </c>
      <c r="X330" s="20">
        <v>-20207.701283804679</v>
      </c>
      <c r="Y330">
        <v>0</v>
      </c>
    </row>
    <row r="331" spans="1:25">
      <c r="A331" s="8">
        <v>333</v>
      </c>
      <c r="B331">
        <v>70</v>
      </c>
      <c r="C331" s="1">
        <v>62.9</v>
      </c>
      <c r="D331" s="2" t="str">
        <f>HYPERLINK("https://torgi.gov.ru/new/public/lots/lot/21000012290000000007_4/(lotInfo:info)", "21000012290000000007_4")</f>
        <v>21000012290000000007_4</v>
      </c>
      <c r="E331" t="s">
        <v>1475</v>
      </c>
      <c r="F331" s="3" t="s">
        <v>1476</v>
      </c>
      <c r="G331" t="s">
        <v>1477</v>
      </c>
      <c r="H331" s="4">
        <v>776000</v>
      </c>
      <c r="I331" s="4">
        <v>12337.04292527822</v>
      </c>
      <c r="J331" s="5" t="s">
        <v>29</v>
      </c>
      <c r="K331" s="5">
        <v>3.46</v>
      </c>
      <c r="L331" s="4">
        <v>1233.7</v>
      </c>
      <c r="M331">
        <v>3569</v>
      </c>
      <c r="N331" t="s">
        <v>1478</v>
      </c>
      <c r="O331">
        <v>10</v>
      </c>
      <c r="P331" s="6">
        <v>800</v>
      </c>
      <c r="Q331" t="s">
        <v>31</v>
      </c>
      <c r="R331" t="s">
        <v>32</v>
      </c>
      <c r="S331" s="2" t="str">
        <f>HYPERLINK("https://yandex.ru/maps/?&amp;text=56.606663, 84.8876", "56.606663, 84.8876")</f>
        <v>56.606663, 84.8876</v>
      </c>
      <c r="T331" s="2" t="str">
        <f>HYPERLINK("D:\venv_torgi\env\cache\objs_in_district/56.606663_84.8876.json", "56.606663_84.8876.json")</f>
        <v>56.606663_84.8876.json</v>
      </c>
      <c r="U331" t="s">
        <v>1479</v>
      </c>
      <c r="V331" s="7" t="s">
        <v>34</v>
      </c>
      <c r="W331" s="19">
        <v>14930.943770233611</v>
      </c>
      <c r="X331" s="21">
        <v>2593.900844955393</v>
      </c>
      <c r="Y331">
        <v>0</v>
      </c>
    </row>
    <row r="332" spans="1:25">
      <c r="A332" s="8">
        <v>334</v>
      </c>
      <c r="B332">
        <v>71</v>
      </c>
      <c r="C332" s="1">
        <v>256.10000000000002</v>
      </c>
      <c r="D332" s="2" t="str">
        <f>HYPERLINK("https://torgi.gov.ru/new/public/lots/lot/21000018800000000001_2/(lotInfo:info)", "21000018800000000001_2")</f>
        <v>21000018800000000001_2</v>
      </c>
      <c r="E332" t="s">
        <v>1480</v>
      </c>
      <c r="F332" s="3" t="s">
        <v>264</v>
      </c>
      <c r="G332" t="s">
        <v>1481</v>
      </c>
      <c r="H332" s="4">
        <v>1100000</v>
      </c>
      <c r="I332" s="4">
        <v>4295.1971885982039</v>
      </c>
      <c r="J332" s="5" t="s">
        <v>29</v>
      </c>
      <c r="K332" s="5">
        <v>1.41</v>
      </c>
      <c r="L332" s="4">
        <v>134.22</v>
      </c>
      <c r="M332">
        <v>3048</v>
      </c>
      <c r="N332" t="s">
        <v>1482</v>
      </c>
      <c r="O332">
        <v>32</v>
      </c>
      <c r="P332" s="6">
        <v>1300</v>
      </c>
      <c r="Q332" t="s">
        <v>40</v>
      </c>
      <c r="R332" t="s">
        <v>32</v>
      </c>
      <c r="S332" s="2" t="str">
        <f>HYPERLINK("https://yandex.ru/maps/?&amp;text=54.116062, 37.538386", "54.116062, 37.538386")</f>
        <v>54.116062, 37.538386</v>
      </c>
      <c r="T332" s="2" t="str">
        <f>HYPERLINK("D:\venv_torgi\env\cache\objs_in_district/54.116062_37.538386.json", "54.116062_37.538386.json")</f>
        <v>54.116062_37.538386.json</v>
      </c>
      <c r="U332" t="s">
        <v>1483</v>
      </c>
      <c r="V332" s="7" t="s">
        <v>122</v>
      </c>
      <c r="W332" s="19">
        <v>10661.45189182739</v>
      </c>
      <c r="X332" s="21">
        <v>6366.2547032291905</v>
      </c>
      <c r="Y332">
        <v>0</v>
      </c>
    </row>
    <row r="333" spans="1:25">
      <c r="A333" s="8">
        <v>335</v>
      </c>
      <c r="B333">
        <v>71</v>
      </c>
      <c r="C333" s="1">
        <v>164.6</v>
      </c>
      <c r="D333" s="2" t="str">
        <f>HYPERLINK("https://torgi.gov.ru/new/public/lots/lot/21000018800000000009_1/(lotInfo:info)", "21000018800000000009_1")</f>
        <v>21000018800000000009_1</v>
      </c>
      <c r="E333" t="s">
        <v>1484</v>
      </c>
      <c r="F333" s="3" t="s">
        <v>1485</v>
      </c>
      <c r="G333" t="s">
        <v>1486</v>
      </c>
      <c r="H333" s="4">
        <v>1262765</v>
      </c>
      <c r="I333" s="4">
        <v>7671.7193195625759</v>
      </c>
      <c r="J333" s="5" t="s">
        <v>29</v>
      </c>
      <c r="K333" s="5">
        <v>16.71</v>
      </c>
      <c r="L333" s="4">
        <v>1534.2</v>
      </c>
      <c r="M333">
        <v>459</v>
      </c>
      <c r="N333" t="s">
        <v>39</v>
      </c>
      <c r="O333">
        <v>5</v>
      </c>
      <c r="P333" s="6">
        <v>200</v>
      </c>
      <c r="Q333" t="s">
        <v>40</v>
      </c>
      <c r="R333" t="s">
        <v>32</v>
      </c>
      <c r="S333" s="2" t="str">
        <f>HYPERLINK("https://yandex.ru/maps/?&amp;text=54.265112, 37.486293", "54.265112, 37.486293")</f>
        <v>54.265112, 37.486293</v>
      </c>
      <c r="T333" s="2" t="str">
        <f>HYPERLINK("D:\venv_torgi\env\cache\objs_in_district/54.265112_37.486293.json", "54.265112_37.486293.json")</f>
        <v>54.265112_37.486293.json</v>
      </c>
      <c r="U333" t="s">
        <v>1487</v>
      </c>
      <c r="V333" s="7" t="s">
        <v>34</v>
      </c>
      <c r="W333" s="19">
        <v>10661.45189182739</v>
      </c>
      <c r="X333" s="21">
        <v>2989.732572264817</v>
      </c>
      <c r="Y333">
        <v>0</v>
      </c>
    </row>
    <row r="334" spans="1:25">
      <c r="A334" s="8">
        <v>336</v>
      </c>
      <c r="B334">
        <v>71</v>
      </c>
      <c r="C334" s="1">
        <v>84.5</v>
      </c>
      <c r="D334" s="2" t="str">
        <f>HYPERLINK("https://torgi.gov.ru/new/public/lots/lot/21000018800000000002_1/(lotInfo:info)", "21000018800000000002_1")</f>
        <v>21000018800000000002_1</v>
      </c>
      <c r="E334" t="s">
        <v>1488</v>
      </c>
      <c r="F334" s="3" t="s">
        <v>1489</v>
      </c>
      <c r="G334" t="s">
        <v>1490</v>
      </c>
      <c r="H334" s="4">
        <v>868000</v>
      </c>
      <c r="I334" s="4">
        <v>10272.18934911243</v>
      </c>
      <c r="J334" s="5" t="s">
        <v>29</v>
      </c>
      <c r="K334" s="10">
        <v>7.3</v>
      </c>
      <c r="L334" s="11">
        <v>103.76</v>
      </c>
      <c r="M334">
        <v>3666</v>
      </c>
      <c r="N334" t="s">
        <v>1491</v>
      </c>
      <c r="O334" t="s">
        <v>1492</v>
      </c>
      <c r="P334" s="6">
        <v>100</v>
      </c>
      <c r="Q334" t="s">
        <v>855</v>
      </c>
      <c r="R334" t="s">
        <v>32</v>
      </c>
      <c r="S334" s="2" t="str">
        <f>HYPERLINK("https://yandex.ru/maps/?&amp;text=54.205136, 37.619135", "54.205136, 37.619135")</f>
        <v>54.205136, 37.619135</v>
      </c>
      <c r="T334" s="12" t="str">
        <f>HYPERLINK("D:\venv_torgi\env\cache\objs_in_district/54.205136_37.619135.json", "54.205136_37.619135.json")</f>
        <v>54.205136_37.619135.json</v>
      </c>
      <c r="U334" t="s">
        <v>1493</v>
      </c>
      <c r="V334" s="7" t="s">
        <v>128</v>
      </c>
      <c r="W334" s="19">
        <v>22556.32813759123</v>
      </c>
      <c r="X334" s="21">
        <v>12284.1387884788</v>
      </c>
      <c r="Y334">
        <v>0</v>
      </c>
    </row>
    <row r="335" spans="1:25">
      <c r="A335" s="8">
        <v>337</v>
      </c>
      <c r="B335">
        <v>71</v>
      </c>
      <c r="C335" s="1">
        <v>246.6</v>
      </c>
      <c r="D335" s="2" t="str">
        <f>HYPERLINK("https://torgi.gov.ru/new/public/lots/lot/21000029690000000003_1/(lotInfo:info)", "21000029690000000003_1")</f>
        <v>21000029690000000003_1</v>
      </c>
      <c r="E335" t="s">
        <v>1494</v>
      </c>
      <c r="F335" s="3" t="s">
        <v>1495</v>
      </c>
      <c r="G335" t="s">
        <v>1496</v>
      </c>
      <c r="H335" s="4">
        <v>3393994.5</v>
      </c>
      <c r="I335" s="4">
        <v>13763.156934306569</v>
      </c>
      <c r="J335" s="5" t="s">
        <v>29</v>
      </c>
      <c r="K335" s="5">
        <v>4.79</v>
      </c>
      <c r="L335" s="4">
        <v>764.61</v>
      </c>
      <c r="M335">
        <v>2871</v>
      </c>
      <c r="N335" t="s">
        <v>39</v>
      </c>
      <c r="O335">
        <v>18</v>
      </c>
      <c r="P335" s="6">
        <v>100</v>
      </c>
      <c r="Q335" t="s">
        <v>31</v>
      </c>
      <c r="R335" t="s">
        <v>32</v>
      </c>
      <c r="S335" s="2" t="str">
        <f>HYPERLINK("https://yandex.ru/maps/?&amp;text=54.136116, 38.161343", "54.136116, 38.161343")</f>
        <v>54.136116, 38.161343</v>
      </c>
      <c r="T335" s="2" t="str">
        <f>HYPERLINK("D:\venv_torgi\env\cache\objs_in_district/54.136116_38.161343.json", "54.136116_38.161343.json")</f>
        <v>54.136116_38.161343.json</v>
      </c>
      <c r="U335" t="s">
        <v>1497</v>
      </c>
      <c r="V335" s="7" t="s">
        <v>34</v>
      </c>
      <c r="W335" s="19">
        <v>10661.45189182739</v>
      </c>
      <c r="X335" s="20">
        <v>-3101.705042479176</v>
      </c>
      <c r="Y335">
        <v>0</v>
      </c>
    </row>
    <row r="336" spans="1:25">
      <c r="A336" s="8">
        <v>338</v>
      </c>
      <c r="B336">
        <v>72</v>
      </c>
      <c r="C336" s="1">
        <v>1142.5999999999999</v>
      </c>
      <c r="D336" s="2" t="str">
        <f>HYPERLINK("https://torgi.gov.ru/new/public/lots/lot/22000031180000000001_1/(lotInfo:info)", "22000031180000000001_1")</f>
        <v>22000031180000000001_1</v>
      </c>
      <c r="E336" t="s">
        <v>1498</v>
      </c>
      <c r="F336" s="3" t="s">
        <v>1499</v>
      </c>
      <c r="G336" t="s">
        <v>1500</v>
      </c>
      <c r="H336" s="4">
        <v>4894050</v>
      </c>
      <c r="I336" s="4">
        <v>4283.2574829336609</v>
      </c>
      <c r="J336" s="5" t="s">
        <v>1501</v>
      </c>
      <c r="K336" s="5">
        <v>19.29</v>
      </c>
      <c r="L336" s="4">
        <v>4283</v>
      </c>
      <c r="M336">
        <v>222</v>
      </c>
      <c r="N336" t="s">
        <v>1502</v>
      </c>
      <c r="O336">
        <v>1</v>
      </c>
      <c r="P336" s="6">
        <v>5000</v>
      </c>
      <c r="Q336" t="s">
        <v>31</v>
      </c>
      <c r="R336" t="s">
        <v>32</v>
      </c>
      <c r="S336" s="2" t="str">
        <f>HYPERLINK("https://yandex.ru/maps/?&amp;text=57.088886, 65.162659", "57.088886, 65.162659")</f>
        <v>57.088886, 65.162659</v>
      </c>
      <c r="T336" s="2" t="str">
        <f>HYPERLINK("D:\venv_torgi\env\cache\objs_in_district/57.088886_65.162659.json", "57.088886_65.162659.json")</f>
        <v>57.088886_65.162659.json</v>
      </c>
      <c r="U336" t="s">
        <v>1503</v>
      </c>
      <c r="V336" s="7" t="s">
        <v>34</v>
      </c>
      <c r="W336" s="19">
        <v>4605.2933995586654</v>
      </c>
      <c r="X336" s="19">
        <v>322.03591662500457</v>
      </c>
      <c r="Y336">
        <v>0</v>
      </c>
    </row>
    <row r="337" spans="1:25">
      <c r="A337" s="8">
        <v>339</v>
      </c>
      <c r="B337">
        <v>72</v>
      </c>
      <c r="C337" s="1">
        <v>38.700000000000003</v>
      </c>
      <c r="D337" s="2" t="str">
        <f>HYPERLINK("https://torgi.gov.ru/new/public/lots/lot/21000034510000000011_1/(lotInfo:info)", "21000034510000000011_1")</f>
        <v>21000034510000000011_1</v>
      </c>
      <c r="E337" t="s">
        <v>1504</v>
      </c>
      <c r="F337" s="3" t="s">
        <v>1505</v>
      </c>
      <c r="G337" t="s">
        <v>1506</v>
      </c>
      <c r="H337" s="4">
        <v>940141</v>
      </c>
      <c r="I337" s="4">
        <v>24293.049095607232</v>
      </c>
      <c r="J337" s="5" t="s">
        <v>29</v>
      </c>
      <c r="K337" s="5">
        <v>16.16</v>
      </c>
      <c r="L337" s="4">
        <v>391.82</v>
      </c>
      <c r="M337">
        <v>1503</v>
      </c>
      <c r="N337" t="s">
        <v>1507</v>
      </c>
      <c r="O337">
        <v>62</v>
      </c>
      <c r="P337" s="6">
        <v>700</v>
      </c>
      <c r="Q337" t="s">
        <v>31</v>
      </c>
      <c r="R337" t="s">
        <v>32</v>
      </c>
      <c r="S337" s="2" t="str">
        <f>HYPERLINK("https://yandex.ru/maps/?&amp;text=57.674473, 66.17964", "57.674473, 66.17964")</f>
        <v>57.674473, 66.17964</v>
      </c>
      <c r="T337" s="2" t="str">
        <f>HYPERLINK("D:\venv_torgi\env\cache\objs_in_district/57.674473_66.17964.json", "57.674473_66.17964.json")</f>
        <v>57.674473_66.17964.json</v>
      </c>
      <c r="U337" t="s">
        <v>1508</v>
      </c>
      <c r="V337" s="7" t="s">
        <v>34</v>
      </c>
      <c r="W337" s="19">
        <v>14930.943770233611</v>
      </c>
      <c r="X337" s="20">
        <v>-9362.1053253736191</v>
      </c>
      <c r="Y337">
        <v>0</v>
      </c>
    </row>
    <row r="338" spans="1:25">
      <c r="A338" s="8">
        <v>340</v>
      </c>
      <c r="B338">
        <v>73</v>
      </c>
      <c r="C338" s="1">
        <v>327.60000000000002</v>
      </c>
      <c r="D338" s="2" t="str">
        <f>HYPERLINK("https://torgi.gov.ru/new/public/lots/lot/21000013570000000004_3/(lotInfo:info)", "21000013570000000004_3")</f>
        <v>21000013570000000004_3</v>
      </c>
      <c r="E338" t="s">
        <v>1509</v>
      </c>
      <c r="F338" s="3" t="s">
        <v>1510</v>
      </c>
      <c r="G338" t="s">
        <v>1511</v>
      </c>
      <c r="H338" s="4">
        <v>812010.9</v>
      </c>
      <c r="I338" s="4">
        <v>2478.6657509157508</v>
      </c>
      <c r="J338" s="5" t="s">
        <v>29</v>
      </c>
      <c r="K338" s="5">
        <v>0.55000000000000004</v>
      </c>
      <c r="L338" s="4">
        <v>70.8</v>
      </c>
      <c r="M338">
        <v>4525</v>
      </c>
      <c r="N338" t="s">
        <v>1512</v>
      </c>
      <c r="O338">
        <v>35</v>
      </c>
      <c r="P338" s="6">
        <v>400</v>
      </c>
      <c r="Q338" t="s">
        <v>31</v>
      </c>
      <c r="R338" t="s">
        <v>32</v>
      </c>
      <c r="S338" s="2" t="str">
        <f>HYPERLINK("https://yandex.ru/maps/?&amp;text=54.29175, 48.3157", "54.29175, 48.3157")</f>
        <v>54.29175, 48.3157</v>
      </c>
      <c r="T338" s="2" t="str">
        <f>HYPERLINK("D:\venv_torgi\env\cache\objs_in_district/54.29175_48.3157.json", "54.29175_48.3157.json")</f>
        <v>54.29175_48.3157.json</v>
      </c>
      <c r="W338" s="19">
        <v>7354.489883546642</v>
      </c>
      <c r="X338" s="21">
        <v>4875.8241326308907</v>
      </c>
      <c r="Y338">
        <v>0</v>
      </c>
    </row>
    <row r="339" spans="1:25">
      <c r="A339" s="8">
        <v>341</v>
      </c>
      <c r="B339">
        <v>73</v>
      </c>
      <c r="C339" s="1">
        <v>166.1</v>
      </c>
      <c r="D339" s="2" t="str">
        <f>HYPERLINK("https://torgi.gov.ru/new/public/lots/lot/21000013570000000006_1/(lotInfo:info)", "21000013570000000006_1")</f>
        <v>21000013570000000006_1</v>
      </c>
      <c r="E339" t="s">
        <v>1513</v>
      </c>
      <c r="F339" s="3" t="s">
        <v>1514</v>
      </c>
      <c r="G339" t="s">
        <v>1515</v>
      </c>
      <c r="H339" s="4">
        <v>1633365.38</v>
      </c>
      <c r="I339" s="4">
        <v>9833.626610475616</v>
      </c>
      <c r="J339" s="5" t="s">
        <v>29</v>
      </c>
      <c r="K339" s="5">
        <v>1.36</v>
      </c>
      <c r="L339" s="4">
        <v>108.05</v>
      </c>
      <c r="M339">
        <v>7225</v>
      </c>
      <c r="N339" t="s">
        <v>1512</v>
      </c>
      <c r="O339">
        <v>91</v>
      </c>
      <c r="P339" s="6">
        <v>400</v>
      </c>
      <c r="Q339" t="s">
        <v>40</v>
      </c>
      <c r="R339" t="s">
        <v>32</v>
      </c>
      <c r="S339" s="2" t="str">
        <f>HYPERLINK("https://yandex.ru/maps/?&amp;text=54.287344, 48.299269", "54.287344, 48.299269")</f>
        <v>54.287344, 48.299269</v>
      </c>
      <c r="T339" s="2" t="str">
        <f>HYPERLINK("D:\venv_torgi\env\cache\objs_in_district/54.287344_48.299269.json", "54.287344_48.299269.json")</f>
        <v>54.287344_48.299269.json</v>
      </c>
      <c r="U339" t="s">
        <v>1516</v>
      </c>
      <c r="W339" s="19">
        <v>19931.15122427437</v>
      </c>
      <c r="X339" s="21">
        <v>10097.52461379876</v>
      </c>
      <c r="Y339">
        <v>0</v>
      </c>
    </row>
    <row r="340" spans="1:25">
      <c r="A340" s="8">
        <v>342</v>
      </c>
      <c r="B340">
        <v>73</v>
      </c>
      <c r="C340" s="1">
        <v>28.4</v>
      </c>
      <c r="D340" s="2" t="str">
        <f>HYPERLINK("https://torgi.gov.ru/new/public/lots/lot/22000041520000000002_1/(lotInfo:info)", "22000041520000000002_1")</f>
        <v>22000041520000000002_1</v>
      </c>
      <c r="E340" t="s">
        <v>1517</v>
      </c>
      <c r="F340" s="3" t="s">
        <v>1343</v>
      </c>
      <c r="G340" t="s">
        <v>1518</v>
      </c>
      <c r="H340" s="4">
        <v>813000</v>
      </c>
      <c r="I340" s="4">
        <v>28626.760563380281</v>
      </c>
      <c r="J340" s="5" t="s">
        <v>2079</v>
      </c>
      <c r="K340" s="10">
        <v>4.08</v>
      </c>
      <c r="L340" s="11">
        <v>193.42</v>
      </c>
      <c r="M340">
        <v>7023</v>
      </c>
      <c r="N340" t="s">
        <v>1519</v>
      </c>
      <c r="O340" t="s">
        <v>1520</v>
      </c>
      <c r="P340" s="6">
        <v>700</v>
      </c>
      <c r="Q340" t="s">
        <v>31</v>
      </c>
      <c r="R340" t="s">
        <v>32</v>
      </c>
      <c r="S340" s="2" t="str">
        <f>HYPERLINK("https://yandex.ru/maps/?&amp;text=54.306201, 48.387256", "54.306201, 48.387256")</f>
        <v>54.306201, 48.387256</v>
      </c>
      <c r="T340" s="12" t="str">
        <f>HYPERLINK("D:\venv_torgi\env\cache\objs_in_district/54.306201_48.387256.json", "54.306201_48.387256.json")</f>
        <v>54.306201_48.387256.json</v>
      </c>
      <c r="U340" t="s">
        <v>1521</v>
      </c>
      <c r="V340" s="7" t="s">
        <v>34</v>
      </c>
      <c r="W340" s="19">
        <v>14930.943770233611</v>
      </c>
      <c r="X340" s="20">
        <v>-13695.816793146671</v>
      </c>
      <c r="Y340">
        <v>0</v>
      </c>
    </row>
    <row r="341" spans="1:25">
      <c r="A341" s="8">
        <v>343</v>
      </c>
      <c r="B341">
        <v>74</v>
      </c>
      <c r="C341" s="1">
        <v>245.1</v>
      </c>
      <c r="D341" s="2" t="str">
        <f>HYPERLINK("https://torgi.gov.ru/new/public/lots/lot/21000017550000000038_1/(lotInfo:info)", "21000017550000000038_1")</f>
        <v>21000017550000000038_1</v>
      </c>
      <c r="E341" t="s">
        <v>1522</v>
      </c>
      <c r="F341" s="3" t="s">
        <v>1523</v>
      </c>
      <c r="G341" t="s">
        <v>1524</v>
      </c>
      <c r="H341" s="4">
        <v>610000</v>
      </c>
      <c r="I341" s="4">
        <v>2488.780089759282</v>
      </c>
      <c r="J341" s="5" t="s">
        <v>29</v>
      </c>
      <c r="K341" s="5">
        <v>0.32</v>
      </c>
      <c r="L341" s="4">
        <v>44.43</v>
      </c>
      <c r="M341">
        <v>7764</v>
      </c>
      <c r="N341" t="s">
        <v>1525</v>
      </c>
      <c r="O341">
        <v>56</v>
      </c>
      <c r="P341" s="6">
        <v>500</v>
      </c>
      <c r="Q341" t="s">
        <v>574</v>
      </c>
      <c r="R341" t="s">
        <v>32</v>
      </c>
      <c r="S341" s="2" t="str">
        <f>HYPERLINK("https://yandex.ru/maps/?&amp;text=53.431113, 58.984118", "53.431113, 58.984118")</f>
        <v>53.431113, 58.984118</v>
      </c>
      <c r="T341" s="2" t="str">
        <f>HYPERLINK("D:\venv_torgi\env\cache\objs_in_district/53.431113_58.984118.json", "53.431113_58.984118.json")</f>
        <v>53.431113_58.984118.json</v>
      </c>
      <c r="U341" t="s">
        <v>1526</v>
      </c>
      <c r="V341" s="7" t="s">
        <v>39</v>
      </c>
      <c r="W341" s="19">
        <v>19931.15122427437</v>
      </c>
      <c r="X341" s="21">
        <v>17442.371134515091</v>
      </c>
      <c r="Y341">
        <v>0</v>
      </c>
    </row>
    <row r="342" spans="1:25">
      <c r="A342" s="8">
        <v>344</v>
      </c>
      <c r="B342">
        <v>74</v>
      </c>
      <c r="C342" s="1">
        <v>845.2</v>
      </c>
      <c r="D342" s="2" t="str">
        <f>HYPERLINK("https://torgi.gov.ru/new/public/lots/lot/21000017550000000021_1/(lotInfo:info)", "21000017550000000021_1")</f>
        <v>21000017550000000021_1</v>
      </c>
      <c r="E342" t="s">
        <v>1527</v>
      </c>
      <c r="F342" s="3" t="s">
        <v>1528</v>
      </c>
      <c r="G342" t="s">
        <v>1529</v>
      </c>
      <c r="H342" s="4">
        <v>2230000</v>
      </c>
      <c r="I342" s="4">
        <v>2638.4287742546139</v>
      </c>
      <c r="J342" s="5" t="s">
        <v>29</v>
      </c>
      <c r="K342" s="5">
        <v>0.64</v>
      </c>
      <c r="L342" s="4">
        <v>439.67</v>
      </c>
      <c r="M342">
        <v>4097</v>
      </c>
      <c r="N342" t="s">
        <v>1530</v>
      </c>
      <c r="O342">
        <v>6</v>
      </c>
      <c r="P342" s="6">
        <v>1300</v>
      </c>
      <c r="Q342" t="s">
        <v>574</v>
      </c>
      <c r="R342" t="s">
        <v>32</v>
      </c>
      <c r="S342" s="2" t="str">
        <f>HYPERLINK("https://yandex.ru/maps/?&amp;text=55.19282, 61.443607", "55.19282, 61.443607")</f>
        <v>55.19282, 61.443607</v>
      </c>
      <c r="T342" s="2" t="str">
        <f>HYPERLINK("D:\venv_torgi\env\cache\objs_in_district/55.19282_61.443607.json", "55.19282_61.443607.json")</f>
        <v>55.19282_61.443607.json</v>
      </c>
      <c r="U342" t="s">
        <v>1531</v>
      </c>
      <c r="V342" s="7" t="s">
        <v>122</v>
      </c>
      <c r="W342" s="19">
        <v>4605.2933995586654</v>
      </c>
      <c r="X342" s="21">
        <v>1966.864625304052</v>
      </c>
      <c r="Y342">
        <v>0</v>
      </c>
    </row>
    <row r="343" spans="1:25">
      <c r="A343" s="8">
        <v>345</v>
      </c>
      <c r="B343">
        <v>74</v>
      </c>
      <c r="C343" s="1">
        <v>216.4</v>
      </c>
      <c r="D343" s="2" t="str">
        <f>HYPERLINK("https://torgi.gov.ru/new/public/lots/lot/21000007680000000007_1/(lotInfo:info)", "21000007680000000007_1")</f>
        <v>21000007680000000007_1</v>
      </c>
      <c r="E343" t="s">
        <v>1532</v>
      </c>
      <c r="F343" s="3" t="s">
        <v>1533</v>
      </c>
      <c r="G343" t="s">
        <v>1534</v>
      </c>
      <c r="H343" s="4">
        <v>602686</v>
      </c>
      <c r="I343" s="4">
        <v>2785.055452865065</v>
      </c>
      <c r="J343" s="5" t="s">
        <v>29</v>
      </c>
      <c r="K343" s="10">
        <v>1.1100000000000001</v>
      </c>
      <c r="L343" s="11">
        <v>96.04</v>
      </c>
      <c r="M343">
        <v>2520</v>
      </c>
      <c r="N343" t="s">
        <v>1535</v>
      </c>
      <c r="O343" t="s">
        <v>1536</v>
      </c>
      <c r="P343" s="6">
        <v>900</v>
      </c>
      <c r="Q343" t="s">
        <v>31</v>
      </c>
      <c r="R343" t="s">
        <v>32</v>
      </c>
      <c r="S343" s="2" t="str">
        <f>HYPERLINK("https://yandex.ru/maps/?&amp;text=54.05145, 61.639637", "54.05145, 61.639637")</f>
        <v>54.05145, 61.639637</v>
      </c>
      <c r="T343" s="12" t="str">
        <f>HYPERLINK("D:\venv_torgi\env\cache\objs_in_district/54.05145_61.639637.json", "54.05145_61.639637.json")</f>
        <v>54.05145_61.639637.json</v>
      </c>
      <c r="U343" t="s">
        <v>1537</v>
      </c>
      <c r="V343" s="7" t="s">
        <v>34</v>
      </c>
      <c r="W343" s="19">
        <v>10661.45189182739</v>
      </c>
      <c r="X343" s="21">
        <v>7876.3964389623288</v>
      </c>
      <c r="Y343">
        <v>0</v>
      </c>
    </row>
    <row r="344" spans="1:25">
      <c r="A344" s="8">
        <v>346</v>
      </c>
      <c r="B344">
        <v>74</v>
      </c>
      <c r="C344" s="1">
        <v>122.8</v>
      </c>
      <c r="D344" s="2" t="str">
        <f>HYPERLINK("https://torgi.gov.ru/new/public/lots/lot/21000034280000000004_1/(lotInfo:info)", "21000034280000000004_1")</f>
        <v>21000034280000000004_1</v>
      </c>
      <c r="E344" t="s">
        <v>1538</v>
      </c>
      <c r="F344" s="3" t="s">
        <v>1539</v>
      </c>
      <c r="G344" t="s">
        <v>1540</v>
      </c>
      <c r="H344" s="4">
        <v>512800</v>
      </c>
      <c r="I344" s="4">
        <v>4175.8957654723126</v>
      </c>
      <c r="J344" s="5" t="s">
        <v>29</v>
      </c>
      <c r="K344" s="5">
        <v>2.72</v>
      </c>
      <c r="L344" s="4">
        <v>521.88</v>
      </c>
      <c r="M344">
        <v>1536</v>
      </c>
      <c r="N344" t="s">
        <v>1541</v>
      </c>
      <c r="O344">
        <v>8</v>
      </c>
      <c r="P344" s="6">
        <v>400</v>
      </c>
      <c r="Q344" t="s">
        <v>40</v>
      </c>
      <c r="R344" t="s">
        <v>32</v>
      </c>
      <c r="S344" s="2" t="str">
        <f>HYPERLINK("https://yandex.ru/maps/?&amp;text=55.899684, 60.735914", "55.899684, 60.735914")</f>
        <v>55.899684, 60.735914</v>
      </c>
      <c r="T344" s="2" t="str">
        <f>HYPERLINK("D:\venv_torgi\env\cache\objs_in_district/55.899684_60.735914.json", "55.899684_60.735914.json")</f>
        <v>55.899684_60.735914.json</v>
      </c>
      <c r="W344" s="19">
        <v>25005.921007216992</v>
      </c>
      <c r="X344" s="21">
        <v>20830.025241744679</v>
      </c>
      <c r="Y344">
        <v>0</v>
      </c>
    </row>
    <row r="345" spans="1:25">
      <c r="A345" s="8">
        <v>347</v>
      </c>
      <c r="B345">
        <v>74</v>
      </c>
      <c r="C345" s="1">
        <v>632.4</v>
      </c>
      <c r="D345" s="2" t="str">
        <f>HYPERLINK("https://torgi.gov.ru/new/public/lots/lot/21000017550000000005_1/(lotInfo:info)", "21000017550000000005_1")</f>
        <v>21000017550000000005_1</v>
      </c>
      <c r="E345" t="s">
        <v>1542</v>
      </c>
      <c r="F345" s="3" t="s">
        <v>1543</v>
      </c>
      <c r="G345" t="s">
        <v>1544</v>
      </c>
      <c r="H345" s="4">
        <v>2700000</v>
      </c>
      <c r="I345" s="4">
        <v>4269.4497153700186</v>
      </c>
      <c r="J345" s="5" t="s">
        <v>29</v>
      </c>
      <c r="K345" s="5">
        <v>1.87</v>
      </c>
      <c r="L345" s="4">
        <v>88.94</v>
      </c>
      <c r="M345">
        <v>2282</v>
      </c>
      <c r="N345" t="s">
        <v>1545</v>
      </c>
      <c r="O345">
        <v>48</v>
      </c>
      <c r="P345" s="6">
        <v>1100</v>
      </c>
      <c r="Q345" t="s">
        <v>574</v>
      </c>
      <c r="R345" t="s">
        <v>32</v>
      </c>
      <c r="S345" s="2" t="str">
        <f>HYPERLINK("https://yandex.ru/maps/?&amp;text=56.08004, 60.739857", "56.08004, 60.739857")</f>
        <v>56.08004, 60.739857</v>
      </c>
      <c r="T345" s="2" t="str">
        <f>HYPERLINK("D:\venv_torgi\env\cache\objs_in_district/56.08004_60.739857.json", "56.08004_60.739857.json")</f>
        <v>56.08004_60.739857.json</v>
      </c>
      <c r="U345" t="s">
        <v>1546</v>
      </c>
      <c r="W345" s="19">
        <v>7354.489883546642</v>
      </c>
      <c r="X345" s="21">
        <v>3085.040168176623</v>
      </c>
      <c r="Y345">
        <v>0</v>
      </c>
    </row>
    <row r="346" spans="1:25">
      <c r="A346" s="8">
        <v>348</v>
      </c>
      <c r="B346">
        <v>74</v>
      </c>
      <c r="C346" s="1">
        <v>129.9</v>
      </c>
      <c r="D346" s="2" t="str">
        <f>HYPERLINK("https://torgi.gov.ru/new/public/lots/lot/21000017550000000037_1/(lotInfo:info)", "21000017550000000037_1")</f>
        <v>21000017550000000037_1</v>
      </c>
      <c r="E346" t="s">
        <v>1547</v>
      </c>
      <c r="F346" s="3" t="s">
        <v>1523</v>
      </c>
      <c r="G346" t="s">
        <v>1548</v>
      </c>
      <c r="H346" s="4">
        <v>652777</v>
      </c>
      <c r="I346" s="4">
        <v>5025.2270977675134</v>
      </c>
      <c r="J346" s="5" t="s">
        <v>29</v>
      </c>
      <c r="K346" s="5">
        <v>1.03</v>
      </c>
      <c r="L346" s="4">
        <v>239.29</v>
      </c>
      <c r="M346">
        <v>4894</v>
      </c>
      <c r="N346" t="s">
        <v>1549</v>
      </c>
      <c r="O346">
        <v>21</v>
      </c>
      <c r="P346" s="6">
        <v>600</v>
      </c>
      <c r="Q346" t="s">
        <v>574</v>
      </c>
      <c r="R346" t="s">
        <v>32</v>
      </c>
      <c r="S346" s="2" t="str">
        <f>HYPERLINK("https://yandex.ru/maps/?&amp;text=54.754158, 61.31196", "54.754158, 61.31196")</f>
        <v>54.754158, 61.31196</v>
      </c>
      <c r="T346" s="2" t="str">
        <f>HYPERLINK("D:\venv_torgi\env\cache\objs_in_district/54.754158_61.31196.json", "54.754158_61.31196.json")</f>
        <v>54.754158_61.31196.json</v>
      </c>
      <c r="U346" t="s">
        <v>1550</v>
      </c>
      <c r="V346" s="7" t="s">
        <v>34</v>
      </c>
      <c r="W346" s="19">
        <v>14930.943770233611</v>
      </c>
      <c r="X346" s="21">
        <v>9905.7166724661001</v>
      </c>
      <c r="Y346">
        <v>0</v>
      </c>
    </row>
    <row r="347" spans="1:25">
      <c r="A347" s="8">
        <v>349</v>
      </c>
      <c r="B347">
        <v>74</v>
      </c>
      <c r="C347" s="1">
        <v>116.1</v>
      </c>
      <c r="D347" s="2" t="str">
        <f>HYPERLINK("https://torgi.gov.ru/new/public/lots/lot/21000007680000000006_1/(lotInfo:info)", "21000007680000000006_1")</f>
        <v>21000007680000000006_1</v>
      </c>
      <c r="E347" t="s">
        <v>1532</v>
      </c>
      <c r="F347" s="3" t="s">
        <v>1551</v>
      </c>
      <c r="G347" t="s">
        <v>1552</v>
      </c>
      <c r="H347" s="4">
        <v>653517</v>
      </c>
      <c r="I347" s="4">
        <v>5628.9147286821708</v>
      </c>
      <c r="J347" s="5" t="s">
        <v>29</v>
      </c>
      <c r="K347" s="5">
        <v>1.07</v>
      </c>
      <c r="L347" s="4">
        <v>34.11</v>
      </c>
      <c r="M347">
        <v>5282</v>
      </c>
      <c r="N347" t="s">
        <v>1553</v>
      </c>
      <c r="O347">
        <v>165</v>
      </c>
      <c r="P347" s="6">
        <v>1000</v>
      </c>
      <c r="Q347" t="s">
        <v>31</v>
      </c>
      <c r="R347" t="s">
        <v>32</v>
      </c>
      <c r="S347" s="2" t="str">
        <f>HYPERLINK("https://yandex.ru/maps/?&amp;text=54.07909, 61.531265", "54.07909, 61.531265")</f>
        <v>54.07909, 61.531265</v>
      </c>
      <c r="T347" s="2" t="str">
        <f>HYPERLINK("D:\venv_torgi\env\cache\objs_in_district/54.07909_61.531265.json", "54.07909_61.531265.json")</f>
        <v>54.07909_61.531265.json</v>
      </c>
      <c r="U347" t="s">
        <v>1554</v>
      </c>
      <c r="V347" s="7" t="s">
        <v>34</v>
      </c>
      <c r="W347" s="19">
        <v>14930.943770233611</v>
      </c>
      <c r="X347" s="21">
        <v>9302.0290415514428</v>
      </c>
      <c r="Y347">
        <v>0</v>
      </c>
    </row>
    <row r="348" spans="1:25">
      <c r="A348" s="8">
        <v>350</v>
      </c>
      <c r="B348">
        <v>74</v>
      </c>
      <c r="C348" s="1">
        <v>93.8</v>
      </c>
      <c r="D348" s="2" t="str">
        <f>HYPERLINK("https://torgi.gov.ru/new/public/lots/lot/22000072190000000004_1/(lotInfo:info)", "22000072190000000004_1")</f>
        <v>22000072190000000004_1</v>
      </c>
      <c r="E348" t="s">
        <v>1555</v>
      </c>
      <c r="F348" s="3" t="s">
        <v>1556</v>
      </c>
      <c r="G348" t="s">
        <v>1557</v>
      </c>
      <c r="H348" s="4">
        <v>572367</v>
      </c>
      <c r="I348" s="4">
        <v>6101.9936034115144</v>
      </c>
      <c r="J348" s="5" t="s">
        <v>2078</v>
      </c>
      <c r="K348" s="5">
        <v>13.83</v>
      </c>
      <c r="L348" s="4">
        <v>3050.5</v>
      </c>
      <c r="M348">
        <v>441</v>
      </c>
      <c r="N348" t="s">
        <v>1558</v>
      </c>
      <c r="O348">
        <v>2</v>
      </c>
      <c r="P348" s="6">
        <v>200</v>
      </c>
      <c r="Q348" t="s">
        <v>31</v>
      </c>
      <c r="R348" t="s">
        <v>32</v>
      </c>
      <c r="S348" s="2" t="str">
        <f>HYPERLINK("https://yandex.ru/maps/?&amp;text=54.811306, 61.439843", "54.811306, 61.439843")</f>
        <v>54.811306, 61.439843</v>
      </c>
      <c r="T348" s="2" t="str">
        <f>HYPERLINK("D:\venv_torgi\env\cache\objs_in_district/54.811306_61.439843.json", "54.811306_61.439843.json")</f>
        <v>54.811306_61.439843.json</v>
      </c>
      <c r="U348" t="s">
        <v>1559</v>
      </c>
      <c r="V348" s="7" t="s">
        <v>34</v>
      </c>
      <c r="W348" s="19">
        <v>25005.921007216992</v>
      </c>
      <c r="X348" s="21">
        <v>18903.927403805479</v>
      </c>
      <c r="Y348">
        <v>0</v>
      </c>
    </row>
    <row r="349" spans="1:25">
      <c r="A349" s="8">
        <v>351</v>
      </c>
      <c r="B349">
        <v>74</v>
      </c>
      <c r="C349" s="1">
        <v>169.1</v>
      </c>
      <c r="D349" s="2" t="str">
        <f>HYPERLINK("https://torgi.gov.ru/new/public/lots/lot/21000004870000000001_2/(lotInfo:info)", "21000004870000000001_2")</f>
        <v>21000004870000000001_2</v>
      </c>
      <c r="E349" t="s">
        <v>1560</v>
      </c>
      <c r="F349" s="3" t="s">
        <v>1561</v>
      </c>
      <c r="G349" t="s">
        <v>1562</v>
      </c>
      <c r="H349" s="4">
        <v>1101400</v>
      </c>
      <c r="I349" s="4">
        <v>6513.3057362507398</v>
      </c>
      <c r="J349" s="5" t="s">
        <v>29</v>
      </c>
      <c r="K349" s="5">
        <v>0.68</v>
      </c>
      <c r="L349" s="4">
        <v>197.36</v>
      </c>
      <c r="M349">
        <v>9636</v>
      </c>
      <c r="N349" t="s">
        <v>1530</v>
      </c>
      <c r="O349">
        <v>33</v>
      </c>
      <c r="P349" s="6">
        <v>400</v>
      </c>
      <c r="Q349" t="s">
        <v>31</v>
      </c>
      <c r="R349" t="s">
        <v>32</v>
      </c>
      <c r="S349" s="2" t="str">
        <f>HYPERLINK("https://yandex.ru/maps/?&amp;text=55.255575, 61.389546", "55.255575, 61.389546")</f>
        <v>55.255575, 61.389546</v>
      </c>
      <c r="T349" s="2" t="str">
        <f>HYPERLINK("D:\venv_torgi\env\cache\objs_in_district/55.255575_61.389546.json", "55.255575_61.389546.json")</f>
        <v>55.255575_61.389546.json</v>
      </c>
      <c r="U349" t="s">
        <v>1563</v>
      </c>
      <c r="V349" s="7" t="s">
        <v>39</v>
      </c>
      <c r="W349" s="19">
        <v>10661.45189182739</v>
      </c>
      <c r="X349" s="21">
        <v>4148.1461555766537</v>
      </c>
      <c r="Y349">
        <v>0</v>
      </c>
    </row>
    <row r="350" spans="1:25">
      <c r="A350" s="8">
        <v>352</v>
      </c>
      <c r="B350">
        <v>74</v>
      </c>
      <c r="C350" s="1">
        <v>904</v>
      </c>
      <c r="D350" s="2" t="str">
        <f>HYPERLINK("https://torgi.gov.ru/new/public/lots/lot/22000019790000000033_1/(lotInfo:info)", "22000019790000000033_1")</f>
        <v>22000019790000000033_1</v>
      </c>
      <c r="E350" t="s">
        <v>1564</v>
      </c>
      <c r="F350" s="3" t="s">
        <v>1565</v>
      </c>
      <c r="G350" t="s">
        <v>1566</v>
      </c>
      <c r="H350" s="4">
        <v>9589000</v>
      </c>
      <c r="I350" s="4">
        <v>10607.30088495575</v>
      </c>
      <c r="J350" s="5" t="s">
        <v>29</v>
      </c>
      <c r="K350" s="5">
        <v>1.54</v>
      </c>
      <c r="L350" s="4">
        <v>353.57</v>
      </c>
      <c r="M350">
        <v>6900</v>
      </c>
      <c r="N350" t="s">
        <v>1525</v>
      </c>
      <c r="O350">
        <v>30</v>
      </c>
      <c r="P350" s="6">
        <v>100</v>
      </c>
      <c r="Q350" t="s">
        <v>31</v>
      </c>
      <c r="R350" t="s">
        <v>32</v>
      </c>
      <c r="S350" s="2" t="str">
        <f>HYPERLINK("https://yandex.ru/maps/?&amp;text=53.42643, 58.995037", "53.42643, 58.995037")</f>
        <v>53.42643, 58.995037</v>
      </c>
      <c r="T350" s="2" t="str">
        <f>HYPERLINK("D:\venv_torgi\env\cache\objs_in_district/53.42643_58.995037.json", "53.42643_58.995037.json")</f>
        <v>53.42643_58.995037.json</v>
      </c>
      <c r="U350" t="s">
        <v>1567</v>
      </c>
      <c r="V350" s="7" t="s">
        <v>39</v>
      </c>
      <c r="W350" s="19">
        <v>7354.489883546642</v>
      </c>
      <c r="X350" s="20">
        <v>-3252.811001409108</v>
      </c>
      <c r="Y350">
        <v>0</v>
      </c>
    </row>
    <row r="351" spans="1:25">
      <c r="A351" s="8">
        <v>353</v>
      </c>
      <c r="B351">
        <v>74</v>
      </c>
      <c r="C351" s="1">
        <v>244.6</v>
      </c>
      <c r="D351" s="2" t="str">
        <f>HYPERLINK("https://torgi.gov.ru/new/public/lots/lot/22000019790000000036_1/(lotInfo:info)", "22000019790000000036_1")</f>
        <v>22000019790000000036_1</v>
      </c>
      <c r="E351" t="s">
        <v>1568</v>
      </c>
      <c r="F351" s="3" t="s">
        <v>1569</v>
      </c>
      <c r="G351" t="s">
        <v>1570</v>
      </c>
      <c r="H351" s="4">
        <v>3611000</v>
      </c>
      <c r="I351" s="4">
        <v>14762.87816843827</v>
      </c>
      <c r="J351" s="5" t="s">
        <v>29</v>
      </c>
      <c r="K351" s="10">
        <v>1.81</v>
      </c>
      <c r="L351" s="11">
        <v>205.04</v>
      </c>
      <c r="M351">
        <v>8139</v>
      </c>
      <c r="N351" t="s">
        <v>1571</v>
      </c>
      <c r="O351" t="s">
        <v>1572</v>
      </c>
      <c r="P351" s="6">
        <v>600</v>
      </c>
      <c r="Q351" t="s">
        <v>31</v>
      </c>
      <c r="R351" t="s">
        <v>32</v>
      </c>
      <c r="S351" s="2" t="str">
        <f>HYPERLINK("https://yandex.ru/maps/?&amp;text=53.413518, 58.979159", "53.413518, 58.979159")</f>
        <v>53.413518, 58.979159</v>
      </c>
      <c r="T351" s="12" t="str">
        <f>HYPERLINK("D:\venv_torgi\env\cache\objs_in_district/53.413518_58.979159.json", "53.413518_58.979159.json")</f>
        <v>53.413518_58.979159.json</v>
      </c>
      <c r="U351" t="s">
        <v>1573</v>
      </c>
      <c r="V351" s="7" t="s">
        <v>34</v>
      </c>
      <c r="W351" s="19">
        <v>19931.15122427437</v>
      </c>
      <c r="X351" s="21">
        <v>5168.2730558361036</v>
      </c>
      <c r="Y351">
        <v>0</v>
      </c>
    </row>
    <row r="352" spans="1:25">
      <c r="A352" s="8">
        <v>354</v>
      </c>
      <c r="B352">
        <v>74</v>
      </c>
      <c r="C352" s="1">
        <v>632.4</v>
      </c>
      <c r="D352" s="2" t="str">
        <f>HYPERLINK("https://torgi.gov.ru/new/public/lots/lot/21000017550000000039_1/(lotInfo:info)", "21000017550000000039_1")</f>
        <v>21000017550000000039_1</v>
      </c>
      <c r="E352" t="s">
        <v>1574</v>
      </c>
      <c r="F352" s="3" t="s">
        <v>1195</v>
      </c>
      <c r="G352" t="s">
        <v>1544</v>
      </c>
      <c r="H352" s="4">
        <v>9511000</v>
      </c>
      <c r="I352" s="4">
        <v>15039.53194180898</v>
      </c>
      <c r="J352" s="5" t="s">
        <v>29</v>
      </c>
      <c r="K352" s="5">
        <v>6.59</v>
      </c>
      <c r="L352" s="4">
        <v>313.31</v>
      </c>
      <c r="M352">
        <v>2282</v>
      </c>
      <c r="N352" t="s">
        <v>1545</v>
      </c>
      <c r="O352">
        <v>48</v>
      </c>
      <c r="P352" s="6">
        <v>1100</v>
      </c>
      <c r="Q352" t="s">
        <v>40</v>
      </c>
      <c r="R352" t="s">
        <v>32</v>
      </c>
      <c r="S352" s="2" t="str">
        <f>HYPERLINK("https://yandex.ru/maps/?&amp;text=56.08004, 60.739857", "56.08004, 60.739857")</f>
        <v>56.08004, 60.739857</v>
      </c>
      <c r="T352" s="2" t="str">
        <f>HYPERLINK("D:\venv_torgi\env\cache\objs_in_district/56.08004_60.739857.json", "56.08004_60.739857.json")</f>
        <v>56.08004_60.739857.json</v>
      </c>
      <c r="U352" t="s">
        <v>1546</v>
      </c>
      <c r="V352" s="7" t="s">
        <v>122</v>
      </c>
      <c r="W352" s="19">
        <v>7354.489883546642</v>
      </c>
      <c r="X352" s="20">
        <v>-7685.0420582623383</v>
      </c>
      <c r="Y352">
        <v>0</v>
      </c>
    </row>
    <row r="353" spans="1:26">
      <c r="A353" s="8">
        <v>355</v>
      </c>
      <c r="B353">
        <v>74</v>
      </c>
      <c r="C353" s="1">
        <v>43</v>
      </c>
      <c r="D353" s="2" t="str">
        <f>HYPERLINK("https://torgi.gov.ru/new/public/lots/lot/22000022920000000012_1/(lotInfo:info)", "22000022920000000012_1")</f>
        <v>22000022920000000012_1</v>
      </c>
      <c r="E353" t="s">
        <v>1575</v>
      </c>
      <c r="F353" s="3" t="s">
        <v>1576</v>
      </c>
      <c r="G353" t="s">
        <v>1577</v>
      </c>
      <c r="H353" s="4">
        <v>655500</v>
      </c>
      <c r="I353" s="4">
        <v>15244.18604651163</v>
      </c>
      <c r="J353" s="5" t="s">
        <v>29</v>
      </c>
      <c r="K353" s="5">
        <v>1.58</v>
      </c>
      <c r="L353" s="4">
        <v>272.20999999999998</v>
      </c>
      <c r="M353">
        <v>9651</v>
      </c>
      <c r="N353" t="s">
        <v>1525</v>
      </c>
      <c r="O353">
        <v>56</v>
      </c>
      <c r="P353" s="6">
        <v>300</v>
      </c>
      <c r="Q353" t="s">
        <v>31</v>
      </c>
      <c r="R353" t="s">
        <v>32</v>
      </c>
      <c r="S353" s="2" t="str">
        <f>HYPERLINK("https://yandex.ru/maps/?&amp;text=53.407394, 58.975395", "53.407394, 58.975395")</f>
        <v>53.407394, 58.975395</v>
      </c>
      <c r="T353" s="2" t="str">
        <f>HYPERLINK("D:\venv_torgi\env\cache\objs_in_district/53.407394_58.975395.json", "53.407394_58.975395.json")</f>
        <v>53.407394_58.975395.json</v>
      </c>
      <c r="U353" t="s">
        <v>1578</v>
      </c>
      <c r="W353" s="19">
        <v>28791.780206219712</v>
      </c>
      <c r="X353" s="21">
        <v>13547.59415970808</v>
      </c>
      <c r="Y353">
        <v>0</v>
      </c>
    </row>
    <row r="354" spans="1:26">
      <c r="A354" s="8">
        <v>356</v>
      </c>
      <c r="B354">
        <v>74</v>
      </c>
      <c r="C354" s="1">
        <v>52.2</v>
      </c>
      <c r="D354" s="2" t="str">
        <f>HYPERLINK("https://torgi.gov.ru/new/public/lots/lot/22000022920000000014_1/(lotInfo:info)", "22000022920000000014_1")</f>
        <v>22000022920000000014_1</v>
      </c>
      <c r="E354" t="s">
        <v>1579</v>
      </c>
      <c r="F354" s="3" t="s">
        <v>1576</v>
      </c>
      <c r="G354" t="s">
        <v>1580</v>
      </c>
      <c r="H354" s="4">
        <v>1037500</v>
      </c>
      <c r="I354" s="4">
        <v>19875.478927203061</v>
      </c>
      <c r="J354" s="5" t="s">
        <v>29</v>
      </c>
      <c r="K354" s="5">
        <v>2.35</v>
      </c>
      <c r="L354" s="4">
        <v>709.82</v>
      </c>
      <c r="M354">
        <v>8448</v>
      </c>
      <c r="N354" t="s">
        <v>1525</v>
      </c>
      <c r="O354">
        <v>28</v>
      </c>
      <c r="P354" s="6">
        <v>700</v>
      </c>
      <c r="Q354" t="s">
        <v>31</v>
      </c>
      <c r="R354" t="s">
        <v>32</v>
      </c>
      <c r="S354" s="2" t="str">
        <f>HYPERLINK("https://yandex.ru/maps/?&amp;text=53.392982, 58.986687", "53.392982, 58.986687")</f>
        <v>53.392982, 58.986687</v>
      </c>
      <c r="T354" s="2" t="str">
        <f>HYPERLINK("D:\venv_torgi\env\cache\objs_in_district/53.392982_58.986687.json", "53.392982_58.986687.json")</f>
        <v>53.392982_58.986687.json</v>
      </c>
      <c r="U354" t="s">
        <v>1581</v>
      </c>
      <c r="W354" s="19">
        <v>28791.780206219712</v>
      </c>
      <c r="X354" s="21">
        <v>8916.3012790166504</v>
      </c>
      <c r="Y354">
        <v>0</v>
      </c>
    </row>
    <row r="355" spans="1:26">
      <c r="A355" s="8">
        <v>357</v>
      </c>
      <c r="B355">
        <v>74</v>
      </c>
      <c r="C355" s="1">
        <v>91.5</v>
      </c>
      <c r="D355" s="2" t="str">
        <f>HYPERLINK("https://torgi.gov.ru/new/public/lots/lot/22000044760000000001_1/(lotInfo:info)", "22000044760000000001_1")</f>
        <v>22000044760000000001_1</v>
      </c>
      <c r="E355" t="s">
        <v>1582</v>
      </c>
      <c r="F355" s="3" t="s">
        <v>1583</v>
      </c>
      <c r="G355" t="s">
        <v>1584</v>
      </c>
      <c r="H355" s="4">
        <v>1998000</v>
      </c>
      <c r="I355" s="4">
        <v>21836.065573770491</v>
      </c>
      <c r="J355" s="5" t="s">
        <v>29</v>
      </c>
      <c r="K355" s="5">
        <v>5.18</v>
      </c>
      <c r="L355" s="4">
        <v>485.24</v>
      </c>
      <c r="M355">
        <v>4218</v>
      </c>
      <c r="N355" t="s">
        <v>1585</v>
      </c>
      <c r="O355">
        <v>45</v>
      </c>
      <c r="P355" s="6">
        <v>400</v>
      </c>
      <c r="Q355" t="s">
        <v>31</v>
      </c>
      <c r="R355" t="s">
        <v>32</v>
      </c>
      <c r="S355" s="2" t="str">
        <f>HYPERLINK("https://yandex.ru/maps/?&amp;text=55.048714, 60.1157", "55.048714, 60.1157")</f>
        <v>55.048714, 60.1157</v>
      </c>
      <c r="T355" s="2" t="str">
        <f>HYPERLINK("D:\venv_torgi\env\cache\objs_in_district/55.048714_60.1157.json", "55.048714_60.1157.json")</f>
        <v>55.048714_60.1157.json</v>
      </c>
      <c r="U355" t="s">
        <v>1586</v>
      </c>
      <c r="W355" s="19">
        <v>25005.921007216992</v>
      </c>
      <c r="X355" s="21">
        <v>3169.8554334465011</v>
      </c>
      <c r="Y355">
        <v>0</v>
      </c>
    </row>
    <row r="356" spans="1:26">
      <c r="A356" s="8">
        <v>359</v>
      </c>
      <c r="B356">
        <v>76</v>
      </c>
      <c r="C356" s="1">
        <v>1031.4000000000001</v>
      </c>
      <c r="D356" s="2" t="str">
        <f>HYPERLINK("https://torgi.gov.ru/new/public/lots/lot/21000008680000000006_1/(lotInfo:info)", "21000008680000000006_1")</f>
        <v>21000008680000000006_1</v>
      </c>
      <c r="E356" t="s">
        <v>1587</v>
      </c>
      <c r="F356" s="3" t="s">
        <v>1588</v>
      </c>
      <c r="G356" t="s">
        <v>1589</v>
      </c>
      <c r="H356" s="4">
        <v>2520452.81</v>
      </c>
      <c r="I356" s="4">
        <v>2443.7200019391121</v>
      </c>
      <c r="J356" s="5" t="s">
        <v>2085</v>
      </c>
      <c r="K356" s="5">
        <v>0.26</v>
      </c>
      <c r="L356" s="4">
        <v>66.03</v>
      </c>
      <c r="M356">
        <v>9258</v>
      </c>
      <c r="N356" t="s">
        <v>1590</v>
      </c>
      <c r="O356">
        <v>37</v>
      </c>
      <c r="P356" s="6">
        <v>400</v>
      </c>
      <c r="Q356" t="s">
        <v>31</v>
      </c>
      <c r="R356" t="s">
        <v>32</v>
      </c>
      <c r="S356" s="2" t="str">
        <f>HYPERLINK("https://yandex.ru/maps/?&amp;text=58.037984, 38.862934", "58.037984, 38.862934")</f>
        <v>58.037984, 38.862934</v>
      </c>
      <c r="T356" s="2" t="str">
        <f>HYPERLINK("D:\venv_torgi\env\cache\objs_in_district/58.037984_38.862934.json", "58.037984_38.862934.json")</f>
        <v>58.037984_38.862934.json</v>
      </c>
      <c r="U356" t="s">
        <v>1591</v>
      </c>
      <c r="V356" s="7" t="s">
        <v>128</v>
      </c>
      <c r="W356" s="19">
        <v>7354.489883546642</v>
      </c>
      <c r="X356" s="21">
        <v>4910.7698816075299</v>
      </c>
      <c r="Y356">
        <v>0</v>
      </c>
    </row>
    <row r="357" spans="1:26">
      <c r="A357" s="8">
        <v>360</v>
      </c>
      <c r="B357">
        <v>76</v>
      </c>
      <c r="C357" s="1">
        <v>187.1</v>
      </c>
      <c r="D357" s="2" t="str">
        <f>HYPERLINK("https://torgi.gov.ru/new/public/lots/lot/21000012550000000044_1/(lotInfo:info)", "21000012550000000044_1")</f>
        <v>21000012550000000044_1</v>
      </c>
      <c r="E357" t="s">
        <v>1592</v>
      </c>
      <c r="F357" s="3" t="s">
        <v>1593</v>
      </c>
      <c r="G357" t="s">
        <v>1594</v>
      </c>
      <c r="H357" s="4">
        <v>1796000</v>
      </c>
      <c r="I357" s="4">
        <v>9599.1448423303045</v>
      </c>
      <c r="J357" s="5" t="s">
        <v>29</v>
      </c>
      <c r="K357" s="5">
        <v>1.88</v>
      </c>
      <c r="L357" s="4">
        <v>399.96</v>
      </c>
      <c r="M357">
        <v>5100</v>
      </c>
      <c r="N357" t="s">
        <v>1595</v>
      </c>
      <c r="O357">
        <v>24</v>
      </c>
      <c r="P357" s="6">
        <v>600</v>
      </c>
      <c r="Q357" t="s">
        <v>40</v>
      </c>
      <c r="R357" t="s">
        <v>32</v>
      </c>
      <c r="S357" s="2" t="str">
        <f>HYPERLINK("https://yandex.ru/maps/?&amp;text=57.691284, 39.80356", "57.691284, 39.80356")</f>
        <v>57.691284, 39.80356</v>
      </c>
      <c r="T357" s="2" t="str">
        <f>HYPERLINK("D:\venv_torgi\env\cache\objs_in_district/57.691284_39.80356.json", "57.691284_39.80356.json")</f>
        <v>57.691284_39.80356.json</v>
      </c>
      <c r="V357" s="7" t="s">
        <v>34</v>
      </c>
      <c r="W357" s="19">
        <v>10661.45189182739</v>
      </c>
      <c r="X357" s="21">
        <v>1062.3070494970891</v>
      </c>
      <c r="Y357">
        <v>0</v>
      </c>
    </row>
    <row r="358" spans="1:26">
      <c r="A358" s="8">
        <v>361</v>
      </c>
      <c r="B358">
        <v>76</v>
      </c>
      <c r="C358" s="1">
        <v>66.599999999999994</v>
      </c>
      <c r="D358" s="2" t="str">
        <f>HYPERLINK("https://torgi.gov.ru/new/public/lots/lot/21000012550000000012_1/(lotInfo:info)", "21000012550000000012_1")</f>
        <v>21000012550000000012_1</v>
      </c>
      <c r="E358" t="s">
        <v>1596</v>
      </c>
      <c r="F358" s="3" t="s">
        <v>1134</v>
      </c>
      <c r="G358" t="s">
        <v>1597</v>
      </c>
      <c r="H358" s="4">
        <v>1204500</v>
      </c>
      <c r="I358" s="4">
        <v>18085.585585585592</v>
      </c>
      <c r="J358" s="5" t="s">
        <v>29</v>
      </c>
      <c r="K358" s="5">
        <v>1.98</v>
      </c>
      <c r="L358" s="4">
        <v>904.25</v>
      </c>
      <c r="M358">
        <v>9126</v>
      </c>
      <c r="N358" t="s">
        <v>1595</v>
      </c>
      <c r="O358">
        <v>20</v>
      </c>
      <c r="P358" s="6">
        <v>1100</v>
      </c>
      <c r="Q358" t="s">
        <v>40</v>
      </c>
      <c r="R358" t="s">
        <v>32</v>
      </c>
      <c r="S358" s="2" t="str">
        <f>HYPERLINK("https://yandex.ru/maps/?&amp;text=57.55079, 39.937741", "57.55079, 39.937741")</f>
        <v>57.55079, 39.937741</v>
      </c>
      <c r="T358" s="2" t="str">
        <f>HYPERLINK("D:\venv_torgi\env\cache\objs_in_district/57.55079_39.937741.json", "57.55079_39.937741.json")</f>
        <v>57.55079_39.937741.json</v>
      </c>
      <c r="V358" s="7" t="s">
        <v>34</v>
      </c>
      <c r="W358" s="19">
        <v>28791.780206219712</v>
      </c>
      <c r="X358" s="21">
        <v>10706.19462063412</v>
      </c>
      <c r="Y358">
        <v>0</v>
      </c>
    </row>
    <row r="359" spans="1:26">
      <c r="A359" s="8">
        <v>362</v>
      </c>
      <c r="B359">
        <v>76</v>
      </c>
      <c r="C359" s="1">
        <v>270.3</v>
      </c>
      <c r="D359" s="2" t="str">
        <f>HYPERLINK("https://torgi.gov.ru/new/public/lots/lot/21000019870000000003_1/(lotInfo:info)", "21000019870000000003_1")</f>
        <v>21000019870000000003_1</v>
      </c>
      <c r="E359" t="s">
        <v>1598</v>
      </c>
      <c r="F359" s="3" t="s">
        <v>1599</v>
      </c>
      <c r="G359" t="s">
        <v>1600</v>
      </c>
      <c r="H359" s="4">
        <v>5485000</v>
      </c>
      <c r="I359" s="4">
        <v>20292.267850536438</v>
      </c>
      <c r="J359" s="5" t="s">
        <v>29</v>
      </c>
      <c r="K359" s="5">
        <v>11.74</v>
      </c>
      <c r="L359" s="4">
        <v>1268.25</v>
      </c>
      <c r="M359">
        <v>1729</v>
      </c>
      <c r="N359" t="s">
        <v>1601</v>
      </c>
      <c r="O359">
        <v>16</v>
      </c>
      <c r="P359" s="6">
        <v>300</v>
      </c>
      <c r="Q359" t="s">
        <v>31</v>
      </c>
      <c r="R359" t="s">
        <v>32</v>
      </c>
      <c r="S359" s="2" t="str">
        <f>HYPERLINK("https://yandex.ru/maps/?&amp;text=57.304544, 39.862238", "57.304544, 39.862238")</f>
        <v>57.304544, 39.862238</v>
      </c>
      <c r="T359" s="2" t="str">
        <f>HYPERLINK("D:\venv_torgi\env\cache\objs_in_district/57.304544_39.862238.json", "57.304544_39.862238.json")</f>
        <v>57.304544_39.862238.json</v>
      </c>
      <c r="U359" t="s">
        <v>1602</v>
      </c>
      <c r="V359" s="7" t="s">
        <v>34</v>
      </c>
      <c r="W359" s="19">
        <v>10661.45189182739</v>
      </c>
      <c r="X359" s="20">
        <v>-9630.8159587090449</v>
      </c>
      <c r="Y359">
        <v>1</v>
      </c>
    </row>
    <row r="360" spans="1:26">
      <c r="A360" s="8">
        <v>363</v>
      </c>
      <c r="B360">
        <v>76</v>
      </c>
      <c r="C360" s="1">
        <v>16.3</v>
      </c>
      <c r="D360" s="2" t="str">
        <f>HYPERLINK("https://torgi.gov.ru/new/public/lots/lot/21000012550000000011_1/(lotInfo:info)", "21000012550000000011_1")</f>
        <v>21000012550000000011_1</v>
      </c>
      <c r="E360" t="s">
        <v>1603</v>
      </c>
      <c r="F360" s="3" t="s">
        <v>1134</v>
      </c>
      <c r="G360" t="s">
        <v>1597</v>
      </c>
      <c r="H360" s="4">
        <v>519750</v>
      </c>
      <c r="I360" s="4">
        <v>31886.50306748466</v>
      </c>
      <c r="J360" s="5" t="s">
        <v>29</v>
      </c>
      <c r="K360" s="5">
        <v>3.49</v>
      </c>
      <c r="L360" s="4">
        <v>1594.3</v>
      </c>
      <c r="M360">
        <v>9126</v>
      </c>
      <c r="N360" t="s">
        <v>1595</v>
      </c>
      <c r="O360">
        <v>20</v>
      </c>
      <c r="P360" s="6">
        <v>1100</v>
      </c>
      <c r="Q360" t="s">
        <v>40</v>
      </c>
      <c r="R360" t="s">
        <v>32</v>
      </c>
      <c r="S360" s="2" t="str">
        <f>HYPERLINK("https://yandex.ru/maps/?&amp;text=57.55079, 39.937741", "57.55079, 39.937741")</f>
        <v>57.55079, 39.937741</v>
      </c>
      <c r="T360" s="2" t="str">
        <f>HYPERLINK("D:\venv_torgi\env\cache\objs_in_district/57.55079_39.937741.json", "57.55079_39.937741.json")</f>
        <v>57.55079_39.937741.json</v>
      </c>
      <c r="V360" s="7" t="s">
        <v>34</v>
      </c>
      <c r="W360" s="19">
        <v>46084.220656344281</v>
      </c>
      <c r="X360" s="21">
        <v>14197.717588859619</v>
      </c>
      <c r="Y360">
        <v>0</v>
      </c>
    </row>
    <row r="361" spans="1:26">
      <c r="A361" s="8">
        <v>364</v>
      </c>
      <c r="B361">
        <v>76</v>
      </c>
      <c r="C361" s="1">
        <v>217.4</v>
      </c>
      <c r="D361" s="2" t="str">
        <f>HYPERLINK("https://torgi.gov.ru/new/public/lots/lot/22000034760000000055_1/(lotInfo:info)", "22000034760000000055_1")</f>
        <v>22000034760000000055_1</v>
      </c>
      <c r="E361" t="s">
        <v>348</v>
      </c>
      <c r="F361" s="3" t="s">
        <v>1425</v>
      </c>
      <c r="G361" t="s">
        <v>1604</v>
      </c>
      <c r="H361" s="4">
        <v>8650000</v>
      </c>
      <c r="I361" s="4">
        <v>39788.40846366145</v>
      </c>
      <c r="J361" s="5" t="s">
        <v>2082</v>
      </c>
      <c r="K361" s="5">
        <v>8.7899999999999991</v>
      </c>
      <c r="L361" s="4">
        <v>765.15</v>
      </c>
      <c r="M361">
        <v>4524</v>
      </c>
      <c r="N361" t="s">
        <v>1595</v>
      </c>
      <c r="O361">
        <v>52</v>
      </c>
      <c r="P361" s="6">
        <v>600</v>
      </c>
      <c r="Q361" t="s">
        <v>855</v>
      </c>
      <c r="R361" t="s">
        <v>32</v>
      </c>
      <c r="S361" s="2" t="str">
        <f>HYPERLINK("https://yandex.ru/maps/?&amp;text=57.6224, 39.880222", "57.6224, 39.880222")</f>
        <v>57.6224, 39.880222</v>
      </c>
      <c r="T361" s="2" t="str">
        <f>HYPERLINK("D:\venv_torgi\env\cache\objs_in_district/57.6224_39.880222.json", "57.6224_39.880222.json")</f>
        <v>57.6224_39.880222.json</v>
      </c>
      <c r="U361" t="s">
        <v>1605</v>
      </c>
      <c r="W361" s="19">
        <v>19931.15122427437</v>
      </c>
      <c r="X361" s="20">
        <v>-19857.25723938708</v>
      </c>
      <c r="Y361">
        <v>0</v>
      </c>
      <c r="Z361">
        <v>1</v>
      </c>
    </row>
    <row r="362" spans="1:26">
      <c r="A362" s="8">
        <v>365</v>
      </c>
      <c r="B362">
        <v>76</v>
      </c>
      <c r="C362" s="1">
        <v>94.8</v>
      </c>
      <c r="D362" s="2" t="str">
        <f>HYPERLINK("https://torgi.gov.ru/new/public/lots/lot/21000012550000000033_1/(lotInfo:info)", "21000012550000000033_1")</f>
        <v>21000012550000000033_1</v>
      </c>
      <c r="E362" t="s">
        <v>1606</v>
      </c>
      <c r="F362" s="3" t="s">
        <v>1607</v>
      </c>
      <c r="G362" t="s">
        <v>1608</v>
      </c>
      <c r="H362" s="4">
        <v>5370000</v>
      </c>
      <c r="I362" s="4">
        <v>56645.569620253169</v>
      </c>
      <c r="J362" s="5" t="s">
        <v>29</v>
      </c>
      <c r="K362" s="5">
        <v>9.2799999999999994</v>
      </c>
      <c r="L362" s="4">
        <v>429.13</v>
      </c>
      <c r="M362">
        <v>6102</v>
      </c>
      <c r="N362" t="s">
        <v>1595</v>
      </c>
      <c r="O362">
        <v>132</v>
      </c>
      <c r="P362" s="6">
        <v>400</v>
      </c>
      <c r="Q362" t="s">
        <v>855</v>
      </c>
      <c r="R362" t="s">
        <v>32</v>
      </c>
      <c r="S362" s="2" t="str">
        <f>HYPERLINK("https://yandex.ru/maps/?&amp;text=57.623642, 39.88226", "57.623642, 39.88226")</f>
        <v>57.623642, 39.88226</v>
      </c>
      <c r="T362" s="2" t="str">
        <f>HYPERLINK("D:\venv_torgi\env\cache\objs_in_district/57.623642_39.88226.json", "57.623642_39.88226.json")</f>
        <v>57.623642_39.88226.json</v>
      </c>
      <c r="V362" s="7" t="s">
        <v>34</v>
      </c>
      <c r="W362" s="19">
        <v>59031.555963778381</v>
      </c>
      <c r="X362" s="21">
        <v>2385.9863435252119</v>
      </c>
      <c r="Y362">
        <v>0</v>
      </c>
      <c r="Z362">
        <v>1</v>
      </c>
    </row>
    <row r="363" spans="1:26">
      <c r="A363" s="8">
        <v>366</v>
      </c>
      <c r="B363">
        <v>76</v>
      </c>
      <c r="C363" s="1">
        <v>30.6</v>
      </c>
      <c r="D363" s="2" t="str">
        <f>HYPERLINK("https://torgi.gov.ru/new/public/lots/lot/21000012550000000039_1/(lotInfo:info)", "21000012550000000039_1")</f>
        <v>21000012550000000039_1</v>
      </c>
      <c r="E363" t="s">
        <v>1609</v>
      </c>
      <c r="F363" s="3" t="s">
        <v>1610</v>
      </c>
      <c r="G363" t="s">
        <v>1611</v>
      </c>
      <c r="H363" s="4">
        <v>2194000</v>
      </c>
      <c r="I363" s="4">
        <v>71699.34640522876</v>
      </c>
      <c r="J363" s="5" t="s">
        <v>29</v>
      </c>
      <c r="K363" s="5">
        <v>6.79</v>
      </c>
      <c r="L363" s="4">
        <v>2172.6999999999998</v>
      </c>
      <c r="M363">
        <v>10552</v>
      </c>
      <c r="N363" t="s">
        <v>1595</v>
      </c>
      <c r="O363">
        <v>33</v>
      </c>
      <c r="P363" s="6">
        <v>100</v>
      </c>
      <c r="Q363" t="s">
        <v>31</v>
      </c>
      <c r="R363" t="s">
        <v>32</v>
      </c>
      <c r="S363" s="2" t="str">
        <f>HYPERLINK("https://yandex.ru/maps/?&amp;text=57.580948, 39.8358", "57.580948, 39.8358")</f>
        <v>57.580948, 39.8358</v>
      </c>
      <c r="T363" s="2" t="str">
        <f>HYPERLINK("D:\venv_torgi\env\cache\objs_in_district/57.580948_39.8358.json", "57.580948_39.8358.json")</f>
        <v>57.580948_39.8358.json</v>
      </c>
      <c r="V363" s="7" t="s">
        <v>34</v>
      </c>
      <c r="W363" s="19">
        <v>28791.780206219712</v>
      </c>
      <c r="X363" s="20">
        <v>-42907.566199009038</v>
      </c>
      <c r="Y363">
        <v>0</v>
      </c>
    </row>
    <row r="364" spans="1:26">
      <c r="A364" s="8">
        <v>378</v>
      </c>
      <c r="B364">
        <v>77</v>
      </c>
      <c r="C364" s="1">
        <v>398.5</v>
      </c>
      <c r="D364" s="2" t="str">
        <f>HYPERLINK("https://torgi.gov.ru/new/public/lots/lot/21000005000000000819_1/(lotInfo:info)", "21000005000000000819_1")</f>
        <v>21000005000000000819_1</v>
      </c>
      <c r="E364" t="s">
        <v>1614</v>
      </c>
      <c r="F364" s="3" t="s">
        <v>98</v>
      </c>
      <c r="G364" t="s">
        <v>1615</v>
      </c>
      <c r="H364" s="4">
        <v>8985000</v>
      </c>
      <c r="I364" s="4">
        <v>22547.051442910921</v>
      </c>
      <c r="J364" s="5" t="s">
        <v>29</v>
      </c>
      <c r="K364" s="5">
        <v>2.98</v>
      </c>
      <c r="L364" s="4">
        <v>609.38</v>
      </c>
      <c r="M364">
        <v>7560</v>
      </c>
      <c r="N364" t="s">
        <v>1612</v>
      </c>
      <c r="O364">
        <v>37</v>
      </c>
      <c r="P364" s="6">
        <v>300</v>
      </c>
      <c r="Q364" t="s">
        <v>40</v>
      </c>
      <c r="R364" t="s">
        <v>32</v>
      </c>
      <c r="S364" s="2" t="str">
        <f>HYPERLINK("https://yandex.ru/maps/?&amp;text=55.8018915, 37.782743", "55.8018915, 37.782743")</f>
        <v>55.8018915, 37.782743</v>
      </c>
      <c r="T364" s="2" t="str">
        <f>HYPERLINK("D:\venv_torgi\env\cache\objs_in_district/55.8018915_37.782743.json", "55.8018915_37.782743.json")</f>
        <v>55.8018915_37.782743.json</v>
      </c>
      <c r="U364" t="s">
        <v>1616</v>
      </c>
      <c r="V364" s="7" t="s">
        <v>39</v>
      </c>
      <c r="W364" s="19">
        <v>39474.701859070781</v>
      </c>
      <c r="X364" s="14">
        <v>16927.65041615986</v>
      </c>
      <c r="Y364">
        <v>0</v>
      </c>
    </row>
    <row r="365" spans="1:26">
      <c r="A365" s="8">
        <v>385</v>
      </c>
      <c r="B365">
        <v>77</v>
      </c>
      <c r="C365" s="1">
        <v>268.2</v>
      </c>
      <c r="D365" s="2" t="str">
        <f>HYPERLINK("https://torgi.gov.ru/new/public/lots/lot/21000005000000000584_1/(lotInfo:info)", "21000005000000000584_1")</f>
        <v>21000005000000000584_1</v>
      </c>
      <c r="E365" t="s">
        <v>1617</v>
      </c>
      <c r="F365" s="3" t="s">
        <v>628</v>
      </c>
      <c r="G365" t="s">
        <v>1618</v>
      </c>
      <c r="H365" s="4">
        <v>6750000</v>
      </c>
      <c r="I365" s="4">
        <v>25167.785234899329</v>
      </c>
      <c r="J365" s="5" t="s">
        <v>29</v>
      </c>
      <c r="K365" s="5">
        <v>1.85</v>
      </c>
      <c r="L365" s="4">
        <v>375.63</v>
      </c>
      <c r="M365">
        <v>13605</v>
      </c>
      <c r="N365" t="s">
        <v>1612</v>
      </c>
      <c r="O365">
        <v>67</v>
      </c>
      <c r="P365" s="6">
        <v>100</v>
      </c>
      <c r="Q365" t="s">
        <v>574</v>
      </c>
      <c r="R365" t="s">
        <v>32</v>
      </c>
      <c r="S365" s="2" t="str">
        <f>HYPERLINK("https://yandex.ru/maps/?&amp;text=55.7954689, 37.7732247", "55.7954689, 37.7732247")</f>
        <v>55.7954689, 37.7732247</v>
      </c>
      <c r="T365" s="2" t="str">
        <f>HYPERLINK("D:\venv_torgi\env\cache\objs_in_district/55.7954689_37.7732247.json", "55.7954689_37.7732247.json")</f>
        <v>55.7954689_37.7732247.json</v>
      </c>
      <c r="U365" t="s">
        <v>1619</v>
      </c>
      <c r="V365" s="7" t="s">
        <v>39</v>
      </c>
      <c r="W365" s="19">
        <v>56183.829731965678</v>
      </c>
      <c r="X365" s="14">
        <v>31016.044497066359</v>
      </c>
      <c r="Y365">
        <v>0</v>
      </c>
    </row>
    <row r="366" spans="1:26">
      <c r="A366" s="8">
        <v>391</v>
      </c>
      <c r="B366">
        <v>77</v>
      </c>
      <c r="C366" s="1">
        <v>26</v>
      </c>
      <c r="D366" s="2" t="str">
        <f>HYPERLINK("https://torgi.gov.ru/new/public/lots/lot/21000005000000000444_1/(lotInfo:info)", "21000005000000000444_1")</f>
        <v>21000005000000000444_1</v>
      </c>
      <c r="E366" t="s">
        <v>1622</v>
      </c>
      <c r="F366" s="3" t="s">
        <v>1613</v>
      </c>
      <c r="G366" t="s">
        <v>1623</v>
      </c>
      <c r="H366" s="4">
        <v>732000</v>
      </c>
      <c r="I366" s="4">
        <v>28153.846153846149</v>
      </c>
      <c r="J366" s="5" t="s">
        <v>29</v>
      </c>
      <c r="K366" s="5">
        <v>2.96</v>
      </c>
      <c r="L366" s="4">
        <v>599</v>
      </c>
      <c r="M366">
        <v>9502</v>
      </c>
      <c r="N366" t="s">
        <v>1612</v>
      </c>
      <c r="O366">
        <v>47</v>
      </c>
      <c r="P366" s="6">
        <v>800</v>
      </c>
      <c r="Q366" t="s">
        <v>40</v>
      </c>
      <c r="R366" t="s">
        <v>32</v>
      </c>
      <c r="S366" s="2" t="str">
        <f>HYPERLINK("https://yandex.ru/maps/?&amp;text=55.802715, 37.641846", "55.802715, 37.641846")</f>
        <v>55.802715, 37.641846</v>
      </c>
      <c r="T366" s="2" t="str">
        <f>HYPERLINK("D:\venv_torgi\env\cache\objs_in_district/55.802715_37.641846.json", "55.802715_37.641846.json")</f>
        <v>55.802715_37.641846.json</v>
      </c>
      <c r="U366" t="s">
        <v>1624</v>
      </c>
      <c r="V366" s="7" t="s">
        <v>107</v>
      </c>
      <c r="W366" s="19">
        <v>77841.495160293198</v>
      </c>
      <c r="X366" s="14">
        <v>49687.649006447049</v>
      </c>
      <c r="Y366">
        <v>0</v>
      </c>
    </row>
    <row r="367" spans="1:26">
      <c r="A367" s="8">
        <v>392</v>
      </c>
      <c r="B367">
        <v>77</v>
      </c>
      <c r="C367" s="1">
        <v>69.400000000000006</v>
      </c>
      <c r="D367" s="2" t="str">
        <f>HYPERLINK("https://torgi.gov.ru/new/public/lots/lot/21000005000000000696_1/(lotInfo:info)", "21000005000000000696_1")</f>
        <v>21000005000000000696_1</v>
      </c>
      <c r="E367" t="s">
        <v>1625</v>
      </c>
      <c r="F367" s="3" t="s">
        <v>1621</v>
      </c>
      <c r="G367" t="s">
        <v>1626</v>
      </c>
      <c r="H367" s="4">
        <v>2029500</v>
      </c>
      <c r="I367" s="4">
        <v>29243.515850144089</v>
      </c>
      <c r="J367" s="5" t="s">
        <v>29</v>
      </c>
      <c r="K367" s="5">
        <v>5.03</v>
      </c>
      <c r="L367" s="4">
        <v>1083.07</v>
      </c>
      <c r="M367">
        <v>5819</v>
      </c>
      <c r="N367" t="s">
        <v>1612</v>
      </c>
      <c r="O367">
        <v>27</v>
      </c>
      <c r="Q367" t="s">
        <v>40</v>
      </c>
      <c r="R367" t="s">
        <v>32</v>
      </c>
      <c r="S367" s="2" t="str">
        <f>HYPERLINK("https://yandex.ru/maps/?&amp;text=55.614296, 37.49481", "55.614296, 37.49481")</f>
        <v>55.614296, 37.49481</v>
      </c>
      <c r="T367" s="2" t="str">
        <f>HYPERLINK("D:\venv_torgi\env\cache\objs_in_district/55.614296_37.49481.json", "55.614296_37.49481.json")</f>
        <v>55.614296_37.49481.json</v>
      </c>
      <c r="U367" t="s">
        <v>1627</v>
      </c>
      <c r="V367" s="7" t="s">
        <v>34</v>
      </c>
      <c r="W367" s="19">
        <v>102215.336398413</v>
      </c>
      <c r="X367" s="14">
        <v>72971.820548268879</v>
      </c>
      <c r="Y367">
        <v>0</v>
      </c>
    </row>
    <row r="368" spans="1:26">
      <c r="A368" s="8">
        <v>408</v>
      </c>
      <c r="B368">
        <v>77</v>
      </c>
      <c r="C368" s="1">
        <v>103.1</v>
      </c>
      <c r="D368" s="2" t="str">
        <f>HYPERLINK("https://torgi.gov.ru/new/public/lots/lot/21000005000000000690_1/(lotInfo:info)", "21000005000000000690_1")</f>
        <v>21000005000000000690_1</v>
      </c>
      <c r="E368" t="s">
        <v>1629</v>
      </c>
      <c r="F368" s="3" t="s">
        <v>1628</v>
      </c>
      <c r="G368" t="s">
        <v>1630</v>
      </c>
      <c r="H368" s="4">
        <v>4240000</v>
      </c>
      <c r="I368" s="4">
        <v>41125.121241513087</v>
      </c>
      <c r="J368" s="5" t="s">
        <v>29</v>
      </c>
      <c r="K368" s="5">
        <v>4.9000000000000004</v>
      </c>
      <c r="L368" s="4">
        <v>2056.25</v>
      </c>
      <c r="M368">
        <v>8398</v>
      </c>
      <c r="N368" t="s">
        <v>1612</v>
      </c>
      <c r="O368">
        <v>20</v>
      </c>
      <c r="P368" s="6">
        <v>600</v>
      </c>
      <c r="Q368" t="s">
        <v>40</v>
      </c>
      <c r="R368" t="s">
        <v>32</v>
      </c>
      <c r="S368" s="2" t="str">
        <f>HYPERLINK("https://yandex.ru/maps/?&amp;text=55.794877, 37.734596", "55.794877, 37.734596")</f>
        <v>55.794877, 37.734596</v>
      </c>
      <c r="T368" s="2" t="str">
        <f>HYPERLINK("D:\venv_torgi\env\cache\objs_in_district/55.794877_37.734596.json", "55.794877_37.734596.json")</f>
        <v>55.794877_37.734596.json</v>
      </c>
      <c r="U368" t="s">
        <v>1631</v>
      </c>
      <c r="V368" s="7" t="s">
        <v>39</v>
      </c>
      <c r="W368" s="19">
        <v>59925.51188795585</v>
      </c>
      <c r="X368" s="14">
        <v>18800.39064644276</v>
      </c>
      <c r="Y368">
        <v>0</v>
      </c>
    </row>
    <row r="369" spans="1:25">
      <c r="A369" s="8">
        <v>410</v>
      </c>
      <c r="B369">
        <v>77</v>
      </c>
      <c r="C369" s="1">
        <v>202.2</v>
      </c>
      <c r="D369" s="2" t="str">
        <f>HYPERLINK("https://torgi.gov.ru/new/public/lots/lot/21000005000000000392_1/(lotInfo:info)", "21000005000000000392_1")</f>
        <v>21000005000000000392_1</v>
      </c>
      <c r="E369" t="s">
        <v>1632</v>
      </c>
      <c r="F369" s="3" t="s">
        <v>1613</v>
      </c>
      <c r="G369" t="s">
        <v>1633</v>
      </c>
      <c r="H369" s="4">
        <v>8897000</v>
      </c>
      <c r="I369" s="4">
        <v>44000.989119683487</v>
      </c>
      <c r="J369" s="5" t="s">
        <v>29</v>
      </c>
      <c r="K369" s="5">
        <v>4.5599999999999996</v>
      </c>
      <c r="L369" s="4">
        <v>1294.1199999999999</v>
      </c>
      <c r="M369">
        <v>9639</v>
      </c>
      <c r="N369" t="s">
        <v>1612</v>
      </c>
      <c r="O369">
        <v>34</v>
      </c>
      <c r="P369" s="6">
        <v>1200</v>
      </c>
      <c r="Q369" t="s">
        <v>40</v>
      </c>
      <c r="R369" t="s">
        <v>32</v>
      </c>
      <c r="S369" s="2" t="str">
        <f>HYPERLINK("https://yandex.ru/maps/?&amp;text=55.778142, 37.838603", "55.778142, 37.838603")</f>
        <v>55.778142, 37.838603</v>
      </c>
      <c r="T369" s="2" t="str">
        <f>HYPERLINK("D:\venv_torgi\env\cache\objs_in_district/55.778142_37.838603.json", "55.778142_37.838603.json")</f>
        <v>55.778142_37.838603.json</v>
      </c>
      <c r="U369" t="s">
        <v>1634</v>
      </c>
      <c r="V369" s="7" t="s">
        <v>34</v>
      </c>
      <c r="W369" s="16">
        <v>91622.852742091549</v>
      </c>
      <c r="X369" s="14">
        <v>47621.863622408062</v>
      </c>
      <c r="Y369">
        <v>0</v>
      </c>
    </row>
    <row r="370" spans="1:25">
      <c r="A370" s="8">
        <v>412</v>
      </c>
      <c r="B370">
        <v>77</v>
      </c>
      <c r="C370" s="1">
        <v>153.69999999999999</v>
      </c>
      <c r="D370" s="2" t="str">
        <f>HYPERLINK("https://torgi.gov.ru/new/public/lots/lot/21000005000000002445_1/(lotInfo:info)", "21000005000000002445_1")</f>
        <v>21000005000000002445_1</v>
      </c>
      <c r="E370" t="s">
        <v>1635</v>
      </c>
      <c r="F370" s="3" t="s">
        <v>1636</v>
      </c>
      <c r="G370" t="s">
        <v>1637</v>
      </c>
      <c r="H370" s="4">
        <v>7314000</v>
      </c>
      <c r="I370" s="4">
        <v>47586.206896551717</v>
      </c>
      <c r="J370" s="5" t="s">
        <v>29</v>
      </c>
      <c r="K370" s="5">
        <v>4.3499999999999996</v>
      </c>
      <c r="L370" s="4">
        <v>1189.6500000000001</v>
      </c>
      <c r="M370">
        <v>10941</v>
      </c>
      <c r="N370" t="s">
        <v>1612</v>
      </c>
      <c r="O370">
        <v>40</v>
      </c>
      <c r="P370" s="6">
        <v>700</v>
      </c>
      <c r="Q370" t="s">
        <v>31</v>
      </c>
      <c r="R370" t="s">
        <v>32</v>
      </c>
      <c r="S370" s="2" t="str">
        <f>HYPERLINK("https://yandex.ru/maps/?&amp;text=55.800013, 37.804844", "55.800013, 37.804844")</f>
        <v>55.800013, 37.804844</v>
      </c>
      <c r="T370" s="2" t="str">
        <f>HYPERLINK("D:\venv_torgi\env\cache\objs_in_district/55.800013_37.804844.json", "55.800013_37.804844.json")</f>
        <v>55.800013_37.804844.json</v>
      </c>
      <c r="U370" t="s">
        <v>1638</v>
      </c>
      <c r="W370" s="16">
        <v>108620.85064951</v>
      </c>
      <c r="X370" s="14">
        <v>61034.643752958298</v>
      </c>
      <c r="Y370">
        <v>0</v>
      </c>
    </row>
    <row r="371" spans="1:25">
      <c r="A371" s="8">
        <v>414</v>
      </c>
      <c r="B371">
        <v>77</v>
      </c>
      <c r="C371" s="1">
        <v>99.3</v>
      </c>
      <c r="D371" s="2" t="str">
        <f>HYPERLINK("https://torgi.gov.ru/new/public/lots/lot/21000005000000002256_1/(lotInfo:info)", "21000005000000002256_1")</f>
        <v>21000005000000002256_1</v>
      </c>
      <c r="E371" t="s">
        <v>1639</v>
      </c>
      <c r="F371" s="3" t="s">
        <v>1640</v>
      </c>
      <c r="G371" t="s">
        <v>1641</v>
      </c>
      <c r="H371" s="4">
        <v>5200000</v>
      </c>
      <c r="I371" s="4">
        <v>52366.565961732129</v>
      </c>
      <c r="J371" s="5" t="s">
        <v>29</v>
      </c>
      <c r="K371" s="5">
        <v>6.02</v>
      </c>
      <c r="L371" s="4">
        <v>1540.18</v>
      </c>
      <c r="M371">
        <v>8702</v>
      </c>
      <c r="N371" t="s">
        <v>1612</v>
      </c>
      <c r="O371">
        <v>34</v>
      </c>
      <c r="P371" s="6">
        <v>1600</v>
      </c>
      <c r="Q371" t="s">
        <v>31</v>
      </c>
      <c r="R371" t="s">
        <v>32</v>
      </c>
      <c r="S371" s="2" t="str">
        <f>HYPERLINK("https://yandex.ru/maps/?&amp;text=55.816495, 37.662569", "55.816495, 37.662569")</f>
        <v>55.816495, 37.662569</v>
      </c>
      <c r="T371" s="2" t="str">
        <f>HYPERLINK("D:\venv_torgi\env\cache\objs_in_district/55.816495_37.662569.json", "55.816495_37.662569.json")</f>
        <v>55.816495_37.662569.json</v>
      </c>
      <c r="U371" t="s">
        <v>1642</v>
      </c>
      <c r="W371" s="16">
        <v>111112.6644767656</v>
      </c>
      <c r="X371" s="14">
        <v>58746.098515033511</v>
      </c>
      <c r="Y371">
        <v>0</v>
      </c>
    </row>
    <row r="372" spans="1:25">
      <c r="A372" s="8">
        <v>415</v>
      </c>
      <c r="B372">
        <v>77</v>
      </c>
      <c r="C372" s="1">
        <v>113.5</v>
      </c>
      <c r="D372" s="2" t="str">
        <f>HYPERLINK("https://torgi.gov.ru/new/public/lots/lot/21000005000000001116_1/(lotInfo:info)", "21000005000000001116_1")</f>
        <v>21000005000000001116_1</v>
      </c>
      <c r="E372" t="s">
        <v>1643</v>
      </c>
      <c r="F372" s="3" t="s">
        <v>1644</v>
      </c>
      <c r="G372" t="s">
        <v>1645</v>
      </c>
      <c r="H372" s="4">
        <v>6014000</v>
      </c>
      <c r="I372" s="4">
        <v>52986.784140969161</v>
      </c>
      <c r="J372" s="5" t="s">
        <v>29</v>
      </c>
      <c r="K372" s="5">
        <v>4.6500000000000004</v>
      </c>
      <c r="L372" s="4">
        <v>1081.3499999999999</v>
      </c>
      <c r="M372">
        <v>11397</v>
      </c>
      <c r="N372" t="s">
        <v>1612</v>
      </c>
      <c r="O372">
        <v>49</v>
      </c>
      <c r="P372" s="6">
        <v>400</v>
      </c>
      <c r="Q372" t="s">
        <v>31</v>
      </c>
      <c r="R372" t="s">
        <v>32</v>
      </c>
      <c r="S372" s="2" t="str">
        <f>HYPERLINK("https://yandex.ru/maps/?&amp;text=55.693617, 37.565461", "55.693617, 37.565461")</f>
        <v>55.693617, 37.565461</v>
      </c>
      <c r="T372" s="2" t="str">
        <f>HYPERLINK("D:\venv_torgi\env\cache\objs_in_district/55.693617_37.565461.json", "55.693617_37.565461.json")</f>
        <v>55.693617_37.565461.json</v>
      </c>
      <c r="U372" t="s">
        <v>1646</v>
      </c>
      <c r="W372" s="16">
        <v>112553.1073082255</v>
      </c>
      <c r="X372" s="14">
        <v>59566.323167256342</v>
      </c>
      <c r="Y372">
        <v>0</v>
      </c>
    </row>
    <row r="373" spans="1:25">
      <c r="A373" s="8">
        <v>426</v>
      </c>
      <c r="B373">
        <v>77</v>
      </c>
      <c r="C373" s="1">
        <v>99.1</v>
      </c>
      <c r="D373" s="2" t="str">
        <f>HYPERLINK("https://torgi.gov.ru/new/public/lots/lot/21000005000000000130_1/(lotInfo:info)", "21000005000000000130_1")</f>
        <v>21000005000000000130_1</v>
      </c>
      <c r="E373" t="s">
        <v>1649</v>
      </c>
      <c r="F373" s="3" t="s">
        <v>1650</v>
      </c>
      <c r="G373" t="s">
        <v>1651</v>
      </c>
      <c r="H373" s="4">
        <v>6990000</v>
      </c>
      <c r="I373" s="4">
        <v>70534.813319878915</v>
      </c>
      <c r="J373" s="5" t="s">
        <v>29</v>
      </c>
      <c r="K373" s="5">
        <v>10.51</v>
      </c>
      <c r="L373" s="4">
        <v>3066.7</v>
      </c>
      <c r="M373">
        <v>6714</v>
      </c>
      <c r="N373" t="s">
        <v>1612</v>
      </c>
      <c r="O373">
        <v>23</v>
      </c>
      <c r="P373" s="6">
        <v>700</v>
      </c>
      <c r="Q373" t="s">
        <v>31</v>
      </c>
      <c r="R373" t="s">
        <v>32</v>
      </c>
      <c r="S373" s="2" t="str">
        <f>HYPERLINK("https://yandex.ru/maps/?&amp;text=55.832435, 37.4589756", "55.832435, 37.4589756")</f>
        <v>55.832435, 37.4589756</v>
      </c>
      <c r="T373" s="2" t="str">
        <f>HYPERLINK("D:\venv_torgi\env\cache\objs_in_district/55.832435_37.4589756.json", "55.832435_37.4589756.json")</f>
        <v>55.832435_37.4589756.json</v>
      </c>
      <c r="U373" t="s">
        <v>1652</v>
      </c>
      <c r="V373" s="7" t="s">
        <v>626</v>
      </c>
      <c r="W373" s="16">
        <v>115862.5891523637</v>
      </c>
      <c r="X373" s="14">
        <v>45327.775832484767</v>
      </c>
      <c r="Y373">
        <v>0</v>
      </c>
    </row>
    <row r="374" spans="1:25">
      <c r="A374" s="8">
        <v>431</v>
      </c>
      <c r="B374">
        <v>77</v>
      </c>
      <c r="C374" s="1">
        <v>16.5</v>
      </c>
      <c r="D374" s="2" t="str">
        <f>HYPERLINK("https://torgi.gov.ru/new/public/lots/lot/22000036140000000021_1/(lotInfo:info)", "22000036140000000021_1")</f>
        <v>22000036140000000021_1</v>
      </c>
      <c r="E374" t="s">
        <v>1655</v>
      </c>
      <c r="F374" s="3" t="s">
        <v>930</v>
      </c>
      <c r="G374" t="s">
        <v>1656</v>
      </c>
      <c r="H374" s="4">
        <v>1246000</v>
      </c>
      <c r="I374" s="4">
        <v>75515.15151515152</v>
      </c>
      <c r="J374" s="5" t="s">
        <v>29</v>
      </c>
      <c r="K374" s="5">
        <v>7.73</v>
      </c>
      <c r="L374" s="4">
        <v>803.35</v>
      </c>
      <c r="M374">
        <v>9772</v>
      </c>
      <c r="N374" t="s">
        <v>1612</v>
      </c>
      <c r="O374">
        <v>94</v>
      </c>
      <c r="P374" s="6">
        <v>300</v>
      </c>
      <c r="Q374" t="s">
        <v>40</v>
      </c>
      <c r="R374" t="s">
        <v>32</v>
      </c>
      <c r="S374" s="2" t="str">
        <f>HYPERLINK("https://yandex.ru/maps/?&amp;text=55.702835, 37.510125", "55.702835, 37.510125")</f>
        <v>55.702835, 37.510125</v>
      </c>
      <c r="T374" s="2" t="str">
        <f>HYPERLINK("D:\venv_torgi\env\cache\objs_in_district/55.702835_37.510125.json", "55.702835_37.510125.json")</f>
        <v>55.702835_37.510125.json</v>
      </c>
      <c r="U374" t="s">
        <v>1657</v>
      </c>
      <c r="V374" s="7" t="s">
        <v>626</v>
      </c>
      <c r="W374" s="16">
        <v>75930.925300077579</v>
      </c>
      <c r="X374" s="19">
        <v>415.77378492605931</v>
      </c>
      <c r="Y374">
        <v>0</v>
      </c>
    </row>
    <row r="375" spans="1:25">
      <c r="A375" s="8">
        <v>432</v>
      </c>
      <c r="B375">
        <v>77</v>
      </c>
      <c r="C375" s="1">
        <v>42.8</v>
      </c>
      <c r="D375" s="2" t="str">
        <f>HYPERLINK("https://torgi.gov.ru/new/public/lots/lot/21000005000000002419_1/(lotInfo:info)", "21000005000000002419_1")</f>
        <v>21000005000000002419_1</v>
      </c>
      <c r="E375" t="s">
        <v>1658</v>
      </c>
      <c r="F375" s="3" t="s">
        <v>1636</v>
      </c>
      <c r="G375" t="s">
        <v>1659</v>
      </c>
      <c r="H375" s="4">
        <v>3401000</v>
      </c>
      <c r="I375" s="4">
        <v>79462.616822429918</v>
      </c>
      <c r="J375" s="5" t="s">
        <v>29</v>
      </c>
      <c r="K375" s="5">
        <v>6.25</v>
      </c>
      <c r="L375" s="4">
        <v>729.01</v>
      </c>
      <c r="M375">
        <v>12708</v>
      </c>
      <c r="N375" t="s">
        <v>1612</v>
      </c>
      <c r="O375">
        <v>109</v>
      </c>
      <c r="P375" s="6">
        <v>500</v>
      </c>
      <c r="Q375" t="s">
        <v>31</v>
      </c>
      <c r="R375" t="s">
        <v>32</v>
      </c>
      <c r="S375" s="2" t="str">
        <f>HYPERLINK("https://yandex.ru/maps/?&amp;text=55.795406, 37.512543", "55.795406, 37.512543")</f>
        <v>55.795406, 37.512543</v>
      </c>
      <c r="T375" s="2" t="str">
        <f>HYPERLINK("D:\venv_torgi\env\cache\objs_in_district/55.795406_37.512543.json", "55.795406_37.512543.json")</f>
        <v>55.795406_37.512543.json</v>
      </c>
      <c r="U375" t="s">
        <v>1660</v>
      </c>
      <c r="W375" s="16">
        <v>121574.26491341869</v>
      </c>
      <c r="X375" s="14">
        <v>42111.648090988732</v>
      </c>
      <c r="Y375">
        <v>0</v>
      </c>
    </row>
    <row r="376" spans="1:25">
      <c r="A376" s="8">
        <v>436</v>
      </c>
      <c r="B376">
        <v>77</v>
      </c>
      <c r="C376" s="1">
        <v>54.1</v>
      </c>
      <c r="D376" s="2" t="str">
        <f>HYPERLINK("https://torgi.gov.ru/new/public/lots/lot/21000005000000000821_1/(lotInfo:info)", "21000005000000000821_1")</f>
        <v>21000005000000000821_1</v>
      </c>
      <c r="E376" t="s">
        <v>1662</v>
      </c>
      <c r="F376" s="3" t="s">
        <v>98</v>
      </c>
      <c r="G376" t="s">
        <v>1663</v>
      </c>
      <c r="H376" s="4">
        <v>4577800</v>
      </c>
      <c r="I376" s="4">
        <v>84617.375231053607</v>
      </c>
      <c r="J376" s="5" t="s">
        <v>29</v>
      </c>
      <c r="K376" s="5">
        <v>6.9</v>
      </c>
      <c r="L376" s="4">
        <v>1044.6500000000001</v>
      </c>
      <c r="M376">
        <v>12261</v>
      </c>
      <c r="N376" t="s">
        <v>1612</v>
      </c>
      <c r="O376">
        <v>81</v>
      </c>
      <c r="P376" s="6">
        <v>200</v>
      </c>
      <c r="Q376" t="s">
        <v>40</v>
      </c>
      <c r="R376" t="s">
        <v>32</v>
      </c>
      <c r="S376" s="2" t="str">
        <f>HYPERLINK("https://yandex.ru/maps/?&amp;text=55.795753, 37.790104", "55.795753, 37.790104")</f>
        <v>55.795753, 37.790104</v>
      </c>
      <c r="T376" s="2" t="str">
        <f>HYPERLINK("D:\venv_torgi\env\cache\objs_in_district/55.795753_37.790104.json", "55.795753_37.790104.json")</f>
        <v>55.795753_37.790104.json</v>
      </c>
      <c r="U376" t="s">
        <v>1664</v>
      </c>
      <c r="V376" s="7" t="s">
        <v>39</v>
      </c>
      <c r="W376" s="16">
        <v>68083.334088313073</v>
      </c>
      <c r="X376" s="15">
        <v>-16534.041142740531</v>
      </c>
      <c r="Y376">
        <v>0</v>
      </c>
    </row>
    <row r="377" spans="1:25">
      <c r="A377" s="8">
        <v>437</v>
      </c>
      <c r="B377">
        <v>77</v>
      </c>
      <c r="C377" s="1">
        <v>61.3</v>
      </c>
      <c r="D377" s="2" t="str">
        <f>HYPERLINK("https://torgi.gov.ru/new/public/lots/lot/21000005000000001416_1/(lotInfo:info)", "21000005000000001416_1")</f>
        <v>21000005000000001416_1</v>
      </c>
      <c r="E377" t="s">
        <v>1665</v>
      </c>
      <c r="F377" s="3" t="s">
        <v>1666</v>
      </c>
      <c r="G377" t="s">
        <v>1667</v>
      </c>
      <c r="H377" s="4">
        <v>5427000</v>
      </c>
      <c r="I377" s="4">
        <v>88531.810766721042</v>
      </c>
      <c r="J377" s="5" t="s">
        <v>29</v>
      </c>
      <c r="K377" s="5">
        <v>9.36</v>
      </c>
      <c r="L377" s="4">
        <v>719.76</v>
      </c>
      <c r="M377">
        <v>9455</v>
      </c>
      <c r="N377" t="s">
        <v>1612</v>
      </c>
      <c r="O377">
        <v>123</v>
      </c>
      <c r="P377" s="6">
        <v>600</v>
      </c>
      <c r="Q377" t="s">
        <v>31</v>
      </c>
      <c r="R377" t="s">
        <v>32</v>
      </c>
      <c r="S377" s="2" t="str">
        <f>HYPERLINK("https://yandex.ru/maps/?&amp;text=55.73795, 37.640156", "55.73795, 37.640156")</f>
        <v>55.73795, 37.640156</v>
      </c>
      <c r="T377" s="2" t="str">
        <f>HYPERLINK("D:\venv_torgi\env\cache\objs_in_district/55.73795_37.640156.json", "55.73795_37.640156.json")</f>
        <v>55.73795_37.640156.json</v>
      </c>
      <c r="U377" t="s">
        <v>1668</v>
      </c>
      <c r="W377" s="16">
        <v>120885.7768526443</v>
      </c>
      <c r="X377" s="14">
        <v>32353.966085923279</v>
      </c>
      <c r="Y377">
        <v>0</v>
      </c>
    </row>
    <row r="378" spans="1:25">
      <c r="A378" s="8">
        <v>438</v>
      </c>
      <c r="B378">
        <v>77</v>
      </c>
      <c r="C378" s="1">
        <v>59.9</v>
      </c>
      <c r="D378" s="2" t="str">
        <f>HYPERLINK("https://torgi.gov.ru/new/public/lots/lot/21000005000000000820_1/(lotInfo:info)", "21000005000000000820_1")</f>
        <v>21000005000000000820_1</v>
      </c>
      <c r="E378" t="s">
        <v>1669</v>
      </c>
      <c r="F378" s="3" t="s">
        <v>98</v>
      </c>
      <c r="G378" t="s">
        <v>1670</v>
      </c>
      <c r="H378" s="4">
        <v>5315750</v>
      </c>
      <c r="I378" s="4">
        <v>88743.739565943237</v>
      </c>
      <c r="J378" s="5" t="s">
        <v>29</v>
      </c>
      <c r="K378" s="5">
        <v>7.24</v>
      </c>
      <c r="L378" s="4">
        <v>1095.5899999999999</v>
      </c>
      <c r="M378">
        <v>12261</v>
      </c>
      <c r="N378" t="s">
        <v>1612</v>
      </c>
      <c r="O378">
        <v>81</v>
      </c>
      <c r="P378" s="6">
        <v>200</v>
      </c>
      <c r="Q378" t="s">
        <v>40</v>
      </c>
      <c r="R378" t="s">
        <v>32</v>
      </c>
      <c r="S378" s="2" t="str">
        <f>HYPERLINK("https://yandex.ru/maps/?&amp;text=55.795753, 37.790104", "55.795753, 37.790104")</f>
        <v>55.795753, 37.790104</v>
      </c>
      <c r="T378" s="2" t="str">
        <f>HYPERLINK("D:\venv_torgi\env\cache\objs_in_district/55.795753_37.790104.json", "55.795753_37.790104.json")</f>
        <v>55.795753_37.790104.json</v>
      </c>
      <c r="U378" t="s">
        <v>1671</v>
      </c>
      <c r="V378" s="7" t="s">
        <v>39</v>
      </c>
      <c r="W378" s="16">
        <v>67653.713628752521</v>
      </c>
      <c r="X378" s="15">
        <v>-21090.02593719072</v>
      </c>
      <c r="Y378">
        <v>0</v>
      </c>
    </row>
    <row r="379" spans="1:25">
      <c r="A379" s="8">
        <v>441</v>
      </c>
      <c r="B379">
        <v>77</v>
      </c>
      <c r="C379" s="1">
        <v>72.7</v>
      </c>
      <c r="D379" s="2" t="str">
        <f>HYPERLINK("https://torgi.gov.ru/new/public/lots/lot/21000005000000000691_1/(lotInfo:info)", "21000005000000000691_1")</f>
        <v>21000005000000000691_1</v>
      </c>
      <c r="E379" t="s">
        <v>1672</v>
      </c>
      <c r="F379" s="3" t="s">
        <v>1628</v>
      </c>
      <c r="G379" t="s">
        <v>1673</v>
      </c>
      <c r="H379" s="4">
        <v>6736000</v>
      </c>
      <c r="I379" s="4">
        <v>92654.745529573585</v>
      </c>
      <c r="J379" s="5" t="s">
        <v>29</v>
      </c>
      <c r="K379" s="5">
        <v>11.62</v>
      </c>
      <c r="L379" s="4">
        <v>9265.4</v>
      </c>
      <c r="M379">
        <v>7974</v>
      </c>
      <c r="N379" t="s">
        <v>1612</v>
      </c>
      <c r="O379">
        <v>10</v>
      </c>
      <c r="P379" s="6">
        <v>1100</v>
      </c>
      <c r="Q379" t="s">
        <v>40</v>
      </c>
      <c r="R379" t="s">
        <v>32</v>
      </c>
      <c r="S379" s="2" t="str">
        <f>HYPERLINK("https://yandex.ru/maps/?&amp;text=55.547204, 37.569459", "55.547204, 37.569459")</f>
        <v>55.547204, 37.569459</v>
      </c>
      <c r="T379" s="2" t="str">
        <f>HYPERLINK("D:\venv_torgi\env\cache\objs_in_district/55.547204_37.569459.json", "55.547204_37.569459.json")</f>
        <v>55.547204_37.569459.json</v>
      </c>
      <c r="U379" t="s">
        <v>1674</v>
      </c>
      <c r="V379" s="7" t="s">
        <v>34</v>
      </c>
      <c r="W379" s="16">
        <v>99738.831795667269</v>
      </c>
      <c r="X379" s="14">
        <v>7084.0862660936837</v>
      </c>
      <c r="Y379">
        <v>0</v>
      </c>
    </row>
    <row r="380" spans="1:25">
      <c r="A380" s="8">
        <v>442</v>
      </c>
      <c r="B380">
        <v>77</v>
      </c>
      <c r="C380" s="1">
        <v>88.6</v>
      </c>
      <c r="D380" s="2" t="str">
        <f>HYPERLINK("https://torgi.gov.ru/new/public/lots/lot/21000005000000001432_1/(lotInfo:info)", "21000005000000001432_1")</f>
        <v>21000005000000001432_1</v>
      </c>
      <c r="E380" t="s">
        <v>1675</v>
      </c>
      <c r="F380" s="3" t="s">
        <v>1676</v>
      </c>
      <c r="G380" t="s">
        <v>1677</v>
      </c>
      <c r="H380" s="4">
        <v>8348000</v>
      </c>
      <c r="I380" s="4">
        <v>94221.218961625287</v>
      </c>
      <c r="J380" s="5" t="s">
        <v>29</v>
      </c>
      <c r="K380" s="5">
        <v>12.63</v>
      </c>
      <c r="L380" s="4">
        <v>5888.81</v>
      </c>
      <c r="M380">
        <v>7461</v>
      </c>
      <c r="N380" t="s">
        <v>1612</v>
      </c>
      <c r="O380">
        <v>16</v>
      </c>
      <c r="P380" s="6">
        <v>600</v>
      </c>
      <c r="Q380" t="s">
        <v>31</v>
      </c>
      <c r="R380" t="s">
        <v>32</v>
      </c>
      <c r="S380" s="2" t="str">
        <f>HYPERLINK("https://yandex.ru/maps/?&amp;text=55.543526, 37.563548", "55.543526, 37.563548")</f>
        <v>55.543526, 37.563548</v>
      </c>
      <c r="T380" s="2" t="str">
        <f>HYPERLINK("D:\venv_torgi\env\cache\objs_in_district/55.543526_37.563548.json", "55.543526_37.563548.json")</f>
        <v>55.543526_37.563548.json</v>
      </c>
      <c r="U380" t="s">
        <v>1678</v>
      </c>
      <c r="W380" s="16">
        <v>111911.02438279671</v>
      </c>
      <c r="X380" s="14">
        <v>17689.805421171379</v>
      </c>
      <c r="Y380">
        <v>0</v>
      </c>
    </row>
    <row r="381" spans="1:25">
      <c r="A381" s="8">
        <v>444</v>
      </c>
      <c r="B381">
        <v>77</v>
      </c>
      <c r="C381" s="1">
        <v>87.3</v>
      </c>
      <c r="D381" s="2" t="str">
        <f>HYPERLINK("https://torgi.gov.ru/new/public/lots/lot/21000005000000001412_1/(lotInfo:info)", "21000005000000001412_1")</f>
        <v>21000005000000001412_1</v>
      </c>
      <c r="E381" t="s">
        <v>1679</v>
      </c>
      <c r="F381" s="3" t="s">
        <v>1680</v>
      </c>
      <c r="G381" t="s">
        <v>1681</v>
      </c>
      <c r="H381" s="4">
        <v>9129750</v>
      </c>
      <c r="I381" s="4">
        <v>104579.03780068731</v>
      </c>
      <c r="J381" s="5" t="s">
        <v>29</v>
      </c>
      <c r="K381" s="5">
        <v>9.35</v>
      </c>
      <c r="L381" s="4">
        <v>435.75</v>
      </c>
      <c r="M381">
        <v>11184</v>
      </c>
      <c r="N381" t="s">
        <v>1612</v>
      </c>
      <c r="O381">
        <v>240</v>
      </c>
      <c r="P381" s="6">
        <v>400</v>
      </c>
      <c r="Q381" t="s">
        <v>31</v>
      </c>
      <c r="R381" t="s">
        <v>32</v>
      </c>
      <c r="S381" s="2" t="str">
        <f>HYPERLINK("https://yandex.ru/maps/?&amp;text=55.7362574, 37.6311334", "55.7362574, 37.6311334")</f>
        <v>55.7362574, 37.6311334</v>
      </c>
      <c r="T381" s="2" t="str">
        <f>HYPERLINK("D:\venv_torgi\env\cache\objs_in_district/55.7362574_37.6311334.json", "55.7362574_37.6311334.json")</f>
        <v>55.7362574_37.6311334.json</v>
      </c>
      <c r="U381" t="s">
        <v>1682</v>
      </c>
      <c r="W381" s="16">
        <v>126789.0447604987</v>
      </c>
      <c r="X381" s="14">
        <v>22210.006959811351</v>
      </c>
      <c r="Y381">
        <v>0</v>
      </c>
    </row>
    <row r="382" spans="1:25">
      <c r="A382" s="8">
        <v>445</v>
      </c>
      <c r="B382">
        <v>77</v>
      </c>
      <c r="C382" s="1">
        <v>58.6</v>
      </c>
      <c r="D382" s="2" t="str">
        <f>HYPERLINK("https://torgi.gov.ru/new/public/lots/lot/21000005000000002244_1/(lotInfo:info)", "21000005000000002244_1")</f>
        <v>21000005000000002244_1</v>
      </c>
      <c r="E382" t="s">
        <v>1683</v>
      </c>
      <c r="F382" s="3" t="s">
        <v>1684</v>
      </c>
      <c r="G382" t="s">
        <v>1685</v>
      </c>
      <c r="H382" s="4">
        <v>6246800</v>
      </c>
      <c r="I382" s="4">
        <v>106600.6825938566</v>
      </c>
      <c r="J382" s="5" t="s">
        <v>29</v>
      </c>
      <c r="K382" s="5">
        <v>14.9</v>
      </c>
      <c r="L382" s="4">
        <v>1974.07</v>
      </c>
      <c r="M382">
        <v>7153</v>
      </c>
      <c r="N382" t="s">
        <v>1612</v>
      </c>
      <c r="O382">
        <v>54</v>
      </c>
      <c r="P382" s="6">
        <v>1500</v>
      </c>
      <c r="Q382" t="s">
        <v>31</v>
      </c>
      <c r="R382" t="s">
        <v>32</v>
      </c>
      <c r="S382" s="2" t="str">
        <f>HYPERLINK("https://yandex.ru/maps/?&amp;text=55.836711, 37.638081", "55.836711, 37.638081")</f>
        <v>55.836711, 37.638081</v>
      </c>
      <c r="T382" s="2" t="str">
        <f>HYPERLINK("D:\venv_torgi\env\cache\objs_in_district/55.836711_37.638081.json", "55.836711_37.638081.json")</f>
        <v>55.836711_37.638081.json</v>
      </c>
      <c r="U382" t="s">
        <v>1686</v>
      </c>
      <c r="W382" s="16">
        <v>115488.46790858659</v>
      </c>
      <c r="X382" s="14">
        <v>8887.7853147300048</v>
      </c>
      <c r="Y382">
        <v>0</v>
      </c>
    </row>
    <row r="383" spans="1:25">
      <c r="A383" s="8">
        <v>446</v>
      </c>
      <c r="B383">
        <v>77</v>
      </c>
      <c r="C383" s="1">
        <v>31.7</v>
      </c>
      <c r="D383" s="2" t="str">
        <f>HYPERLINK("https://torgi.gov.ru/new/public/lots/lot/21000005000000000924_1/(lotInfo:info)", "21000005000000000924_1")</f>
        <v>21000005000000000924_1</v>
      </c>
      <c r="E383" t="s">
        <v>1687</v>
      </c>
      <c r="F383" s="3" t="s">
        <v>1688</v>
      </c>
      <c r="G383" t="s">
        <v>1689</v>
      </c>
      <c r="H383" s="4">
        <v>3399000</v>
      </c>
      <c r="I383" s="4">
        <v>107223.97476340691</v>
      </c>
      <c r="J383" s="5" t="s">
        <v>29</v>
      </c>
      <c r="K383" s="5">
        <v>12.12</v>
      </c>
      <c r="L383" s="4">
        <v>1232.45</v>
      </c>
      <c r="M383">
        <v>8845</v>
      </c>
      <c r="N383" t="s">
        <v>1612</v>
      </c>
      <c r="O383">
        <v>87</v>
      </c>
      <c r="P383" s="6">
        <v>300</v>
      </c>
      <c r="Q383" t="s">
        <v>31</v>
      </c>
      <c r="R383" t="s">
        <v>32</v>
      </c>
      <c r="S383" s="2" t="str">
        <f>HYPERLINK("https://yandex.ru/maps/?&amp;text=55.881763, 37.492168", "55.881763, 37.492168")</f>
        <v>55.881763, 37.492168</v>
      </c>
      <c r="T383" s="2" t="str">
        <f>HYPERLINK("D:\venv_torgi\env\cache\objs_in_district/55.881763_37.492168.json", "55.881763_37.492168.json")</f>
        <v>55.881763_37.492168.json</v>
      </c>
      <c r="U383" t="s">
        <v>1690</v>
      </c>
      <c r="V383" s="7" t="s">
        <v>34</v>
      </c>
      <c r="W383" s="16">
        <v>159922.03090478119</v>
      </c>
      <c r="X383" s="14">
        <v>52698.056141374247</v>
      </c>
      <c r="Y383">
        <v>0</v>
      </c>
    </row>
    <row r="384" spans="1:25">
      <c r="A384" s="8">
        <v>448</v>
      </c>
      <c r="B384">
        <v>77</v>
      </c>
      <c r="C384" s="1">
        <v>42.9</v>
      </c>
      <c r="D384" s="2" t="str">
        <f>HYPERLINK("https://torgi.gov.ru/new/public/lots/lot/21000005000000001941_1/(lotInfo:info)", "21000005000000001941_1")</f>
        <v>21000005000000001941_1</v>
      </c>
      <c r="E384" t="s">
        <v>1692</v>
      </c>
      <c r="F384" s="3" t="s">
        <v>1693</v>
      </c>
      <c r="G384" t="s">
        <v>1694</v>
      </c>
      <c r="H384" s="4">
        <v>4788000</v>
      </c>
      <c r="I384" s="4">
        <v>111608.3916083916</v>
      </c>
      <c r="J384" s="5" t="s">
        <v>29</v>
      </c>
      <c r="K384" s="5">
        <v>18.7</v>
      </c>
      <c r="L384" s="4">
        <v>2657.33</v>
      </c>
      <c r="M384">
        <v>5967</v>
      </c>
      <c r="N384" t="s">
        <v>1612</v>
      </c>
      <c r="O384">
        <v>42</v>
      </c>
      <c r="P384" s="6">
        <v>100</v>
      </c>
      <c r="Q384" t="s">
        <v>31</v>
      </c>
      <c r="R384" t="s">
        <v>32</v>
      </c>
      <c r="S384" s="2" t="str">
        <f>HYPERLINK("https://yandex.ru/maps/?&amp;text=55.707573, 37.460421", "55.707573, 37.460421")</f>
        <v>55.707573, 37.460421</v>
      </c>
      <c r="T384" s="2" t="str">
        <f>HYPERLINK("D:\venv_torgi\env\cache\objs_in_district/55.707573_37.460421.json", "55.707573_37.460421.json")</f>
        <v>55.707573_37.460421.json</v>
      </c>
      <c r="U384" t="s">
        <v>1695</v>
      </c>
      <c r="V384" s="7" t="s">
        <v>39</v>
      </c>
      <c r="W384" s="16">
        <v>117526.5498248229</v>
      </c>
      <c r="X384" s="14">
        <v>5918.1582164313149</v>
      </c>
      <c r="Y384">
        <v>0</v>
      </c>
    </row>
    <row r="385" spans="1:25">
      <c r="A385" s="8">
        <v>449</v>
      </c>
      <c r="B385">
        <v>77</v>
      </c>
      <c r="C385" s="1">
        <v>54.3</v>
      </c>
      <c r="D385" s="2" t="str">
        <f>HYPERLINK("https://torgi.gov.ru/new/public/lots/lot/21000005000000002048_1/(lotInfo:info)", "21000005000000002048_1")</f>
        <v>21000005000000002048_1</v>
      </c>
      <c r="E385" t="s">
        <v>1696</v>
      </c>
      <c r="F385" s="3" t="s">
        <v>1620</v>
      </c>
      <c r="G385" t="s">
        <v>1697</v>
      </c>
      <c r="H385" s="4">
        <v>6230900</v>
      </c>
      <c r="I385" s="4">
        <v>114749.5395948435</v>
      </c>
      <c r="J385" s="5" t="s">
        <v>29</v>
      </c>
      <c r="K385" s="5">
        <v>16.43</v>
      </c>
      <c r="L385" s="4">
        <v>2341.8200000000002</v>
      </c>
      <c r="M385">
        <v>6985</v>
      </c>
      <c r="N385" t="s">
        <v>2075</v>
      </c>
      <c r="O385">
        <v>49</v>
      </c>
      <c r="P385" s="6">
        <v>300</v>
      </c>
      <c r="Q385" t="s">
        <v>31</v>
      </c>
      <c r="R385" t="s">
        <v>32</v>
      </c>
      <c r="S385" s="2" t="str">
        <f>HYPERLINK("https://yandex.ru/maps/?&amp;text=55.990891, 37.208893", "55.990891, 37.208893")</f>
        <v>55.990891, 37.208893</v>
      </c>
      <c r="T385" s="2" t="str">
        <f>HYPERLINK("D:\venv_torgi\env\cache\objs_in_district/55.990891_37.208893.json", "55.990891_37.208893.json")</f>
        <v>55.990891_37.208893.json</v>
      </c>
      <c r="U385" t="s">
        <v>1698</v>
      </c>
      <c r="V385" s="7" t="s">
        <v>34</v>
      </c>
      <c r="W385" s="16">
        <v>148494.3850338815</v>
      </c>
      <c r="X385" s="14">
        <v>33744.845439038021</v>
      </c>
      <c r="Y385">
        <v>0</v>
      </c>
    </row>
    <row r="386" spans="1:25">
      <c r="A386" s="8">
        <v>450</v>
      </c>
      <c r="B386">
        <v>77</v>
      </c>
      <c r="C386" s="1">
        <v>79.7</v>
      </c>
      <c r="D386" s="2" t="str">
        <f>HYPERLINK("https://torgi.gov.ru/new/public/lots/lot/21000005000000001540_1/(lotInfo:info)", "21000005000000001540_1")</f>
        <v>21000005000000001540_1</v>
      </c>
      <c r="E386" t="s">
        <v>1699</v>
      </c>
      <c r="F386" s="3" t="s">
        <v>1700</v>
      </c>
      <c r="G386" t="s">
        <v>1701</v>
      </c>
      <c r="H386" s="4">
        <v>9599050</v>
      </c>
      <c r="I386" s="4">
        <v>120439.774153074</v>
      </c>
      <c r="J386" s="5" t="s">
        <v>29</v>
      </c>
      <c r="K386" s="5">
        <v>12.62</v>
      </c>
      <c r="L386" s="4">
        <v>963.51</v>
      </c>
      <c r="M386">
        <v>9540</v>
      </c>
      <c r="N386" t="s">
        <v>1612</v>
      </c>
      <c r="O386">
        <v>125</v>
      </c>
      <c r="P386" s="6">
        <v>300</v>
      </c>
      <c r="Q386" t="s">
        <v>31</v>
      </c>
      <c r="R386" t="s">
        <v>32</v>
      </c>
      <c r="S386" s="2" t="str">
        <f>HYPERLINK("https://yandex.ru/maps/?&amp;text=55.715124, 37.89181", "55.715124, 37.89181")</f>
        <v>55.715124, 37.89181</v>
      </c>
      <c r="T386" s="2" t="str">
        <f>HYPERLINK("D:\venv_torgi\env\cache\objs_in_district/55.715124_37.89181.json", "55.715124_37.89181.json")</f>
        <v>55.715124_37.89181.json</v>
      </c>
      <c r="U386" t="s">
        <v>1702</v>
      </c>
      <c r="W386" s="16">
        <v>120015.1835915518</v>
      </c>
      <c r="X386" s="15">
        <v>-424.59056152221461</v>
      </c>
      <c r="Y386">
        <v>0</v>
      </c>
    </row>
    <row r="387" spans="1:25">
      <c r="A387" s="8">
        <v>451</v>
      </c>
      <c r="B387">
        <v>77</v>
      </c>
      <c r="C387" s="1">
        <v>54.8</v>
      </c>
      <c r="D387" s="2" t="str">
        <f>HYPERLINK("https://torgi.gov.ru/new/public/lots/lot/21000005000000001838_1/(lotInfo:info)", "21000005000000001838_1")</f>
        <v>21000005000000001838_1</v>
      </c>
      <c r="E387" t="s">
        <v>1703</v>
      </c>
      <c r="F387" s="3" t="s">
        <v>1704</v>
      </c>
      <c r="G387" t="s">
        <v>1705</v>
      </c>
      <c r="H387" s="4">
        <v>6667650</v>
      </c>
      <c r="I387" s="4">
        <v>121672.44525547449</v>
      </c>
      <c r="J387" s="5" t="s">
        <v>29</v>
      </c>
      <c r="K387" s="5">
        <v>16.3</v>
      </c>
      <c r="L387" s="4">
        <v>2134.6</v>
      </c>
      <c r="M387">
        <v>7465</v>
      </c>
      <c r="N387" t="s">
        <v>1612</v>
      </c>
      <c r="O387">
        <v>57</v>
      </c>
      <c r="Q387" t="s">
        <v>31</v>
      </c>
      <c r="R387" t="s">
        <v>32</v>
      </c>
      <c r="S387" s="2" t="str">
        <f>HYPERLINK("https://yandex.ru/maps/?&amp;text=55.746292, 37.57193", "55.746292, 37.57193")</f>
        <v>55.746292, 37.57193</v>
      </c>
      <c r="T387" s="2" t="str">
        <f>HYPERLINK("D:\venv_torgi\env\cache\objs_in_district/55.746292_37.57193.json", "55.746292_37.57193.json")</f>
        <v>55.746292_37.57193.json</v>
      </c>
      <c r="U387" t="s">
        <v>1706</v>
      </c>
      <c r="W387" s="16">
        <v>117657.0305831819</v>
      </c>
      <c r="X387" s="15">
        <v>-4015.414672292638</v>
      </c>
      <c r="Y387">
        <v>0</v>
      </c>
    </row>
    <row r="388" spans="1:25">
      <c r="A388" s="8">
        <v>452</v>
      </c>
      <c r="B388">
        <v>77</v>
      </c>
      <c r="C388" s="1">
        <v>49.6</v>
      </c>
      <c r="D388" s="2" t="str">
        <f>HYPERLINK("https://torgi.gov.ru/new/public/lots/lot/21000005000000002217_1/(lotInfo:info)", "21000005000000002217_1")</f>
        <v>21000005000000002217_1</v>
      </c>
      <c r="E388" t="s">
        <v>1707</v>
      </c>
      <c r="F388" s="3" t="s">
        <v>1648</v>
      </c>
      <c r="G388" t="s">
        <v>1708</v>
      </c>
      <c r="H388" s="4">
        <v>6064800</v>
      </c>
      <c r="I388" s="4">
        <v>122274.19354838711</v>
      </c>
      <c r="J388" s="5" t="s">
        <v>29</v>
      </c>
      <c r="K388" s="5">
        <v>6.9</v>
      </c>
      <c r="L388" s="4">
        <v>1175.71</v>
      </c>
      <c r="M388">
        <v>17728</v>
      </c>
      <c r="N388" t="s">
        <v>1612</v>
      </c>
      <c r="O388">
        <v>104</v>
      </c>
      <c r="P388" s="6">
        <v>200</v>
      </c>
      <c r="Q388" t="s">
        <v>31</v>
      </c>
      <c r="R388" t="s">
        <v>32</v>
      </c>
      <c r="S388" s="2" t="str">
        <f>HYPERLINK("https://yandex.ru/maps/?&amp;text=55.673976, 37.525872", "55.673976, 37.525872")</f>
        <v>55.673976, 37.525872</v>
      </c>
      <c r="T388" s="2" t="str">
        <f>HYPERLINK("D:\venv_torgi\env\cache\objs_in_district/55.673976_37.525872.json", "55.673976_37.525872.json")</f>
        <v>55.673976_37.525872.json</v>
      </c>
      <c r="U388" t="s">
        <v>1709</v>
      </c>
      <c r="V388" s="7" t="s">
        <v>39</v>
      </c>
      <c r="W388" s="16">
        <v>121263.0678218158</v>
      </c>
      <c r="X388" s="15">
        <v>-1011.12572657135</v>
      </c>
      <c r="Y388">
        <v>0</v>
      </c>
    </row>
    <row r="389" spans="1:25">
      <c r="A389" s="8">
        <v>453</v>
      </c>
      <c r="B389">
        <v>77</v>
      </c>
      <c r="C389" s="1">
        <v>46.5</v>
      </c>
      <c r="D389" s="2" t="str">
        <f>HYPERLINK("https://torgi.gov.ru/new/public/lots/lot/21000005000000000011_1/(lotInfo:info)", "21000005000000000011_1")</f>
        <v>21000005000000000011_1</v>
      </c>
      <c r="E389" t="s">
        <v>1710</v>
      </c>
      <c r="F389" s="3" t="s">
        <v>1661</v>
      </c>
      <c r="G389" t="s">
        <v>1711</v>
      </c>
      <c r="H389" s="4">
        <v>6024900</v>
      </c>
      <c r="I389" s="4">
        <v>129567.74193548389</v>
      </c>
      <c r="J389" s="5" t="s">
        <v>29</v>
      </c>
      <c r="K389" s="5">
        <v>14.15</v>
      </c>
      <c r="L389" s="4">
        <v>1423.81</v>
      </c>
      <c r="M389">
        <v>9154</v>
      </c>
      <c r="N389" t="s">
        <v>1612</v>
      </c>
      <c r="O389">
        <v>91</v>
      </c>
      <c r="P389" s="6">
        <v>300</v>
      </c>
      <c r="Q389" t="s">
        <v>31</v>
      </c>
      <c r="R389" t="s">
        <v>32</v>
      </c>
      <c r="S389" s="2" t="str">
        <f>HYPERLINK("https://yandex.ru/maps/?&amp;text=55.79057, 37.668148", "55.79057, 37.668148")</f>
        <v>55.79057, 37.668148</v>
      </c>
      <c r="T389" s="2" t="str">
        <f>HYPERLINK("D:\venv_torgi\env\cache\objs_in_district/55.79057_37.668148.json", "55.79057_37.668148.json")</f>
        <v>55.79057_37.668148.json</v>
      </c>
      <c r="U389" t="s">
        <v>1712</v>
      </c>
      <c r="V389" s="7" t="s">
        <v>39</v>
      </c>
      <c r="W389" s="16">
        <v>120272.7379104586</v>
      </c>
      <c r="X389" s="15">
        <v>-9295.0040250252496</v>
      </c>
      <c r="Y389">
        <v>0</v>
      </c>
    </row>
    <row r="390" spans="1:25">
      <c r="A390" s="8">
        <v>455</v>
      </c>
      <c r="B390">
        <v>77</v>
      </c>
      <c r="C390" s="1">
        <v>66.400000000000006</v>
      </c>
      <c r="D390" s="2" t="str">
        <f>HYPERLINK("https://torgi.gov.ru/new/public/lots/lot/21000005000000000067_1/(lotInfo:info)", "21000005000000000067_1")</f>
        <v>21000005000000000067_1</v>
      </c>
      <c r="E390" t="s">
        <v>1713</v>
      </c>
      <c r="F390" s="3" t="s">
        <v>1654</v>
      </c>
      <c r="G390" t="s">
        <v>1714</v>
      </c>
      <c r="H390" s="4">
        <v>9279600</v>
      </c>
      <c r="I390" s="4">
        <v>139753.01204819279</v>
      </c>
      <c r="J390" s="5" t="s">
        <v>29</v>
      </c>
      <c r="K390" s="5">
        <v>13.27</v>
      </c>
      <c r="L390" s="4">
        <v>2911.52</v>
      </c>
      <c r="M390">
        <v>10532</v>
      </c>
      <c r="N390" t="s">
        <v>1612</v>
      </c>
      <c r="O390">
        <v>48</v>
      </c>
      <c r="P390" s="6">
        <v>800</v>
      </c>
      <c r="Q390" t="s">
        <v>31</v>
      </c>
      <c r="R390" t="s">
        <v>32</v>
      </c>
      <c r="S390" s="2" t="str">
        <f>HYPERLINK("https://yandex.ru/maps/?&amp;text=55.78604, 37.606873", "55.78604, 37.606873")</f>
        <v>55.78604, 37.606873</v>
      </c>
      <c r="T390" s="2" t="str">
        <f>HYPERLINK("D:\venv_torgi\env\cache\objs_in_district/55.78604_37.606873.json", "55.78604_37.606873.json")</f>
        <v>55.78604_37.606873.json</v>
      </c>
      <c r="U390" t="s">
        <v>1715</v>
      </c>
      <c r="V390" s="7" t="s">
        <v>128</v>
      </c>
      <c r="W390" s="16">
        <v>139763.24517360929</v>
      </c>
      <c r="X390" s="19">
        <v>10.233125416561959</v>
      </c>
      <c r="Y390">
        <v>0</v>
      </c>
    </row>
    <row r="391" spans="1:25">
      <c r="A391" s="8">
        <v>456</v>
      </c>
      <c r="B391">
        <v>77</v>
      </c>
      <c r="C391" s="1">
        <v>26.9</v>
      </c>
      <c r="D391" s="2" t="str">
        <f>HYPERLINK("https://torgi.gov.ru/new/public/lots/lot/21000005000000000087_1/(lotInfo:info)", "21000005000000000087_1")</f>
        <v>21000005000000000087_1</v>
      </c>
      <c r="E391" t="s">
        <v>1716</v>
      </c>
      <c r="F391" s="3" t="s">
        <v>1134</v>
      </c>
      <c r="G391" t="s">
        <v>1717</v>
      </c>
      <c r="H391" s="4">
        <v>4118125</v>
      </c>
      <c r="I391" s="4">
        <v>153090.14869888479</v>
      </c>
      <c r="J391" s="5" t="s">
        <v>29</v>
      </c>
      <c r="K391" s="5">
        <v>15.98</v>
      </c>
      <c r="L391" s="4">
        <v>4938.3900000000003</v>
      </c>
      <c r="M391">
        <v>9579</v>
      </c>
      <c r="N391" t="s">
        <v>1612</v>
      </c>
      <c r="O391">
        <v>31</v>
      </c>
      <c r="P391" s="6">
        <v>400</v>
      </c>
      <c r="Q391" t="s">
        <v>40</v>
      </c>
      <c r="R391" t="s">
        <v>32</v>
      </c>
      <c r="S391" s="2" t="str">
        <f>HYPERLINK("https://yandex.ru/maps/?&amp;text=55.68027, 37.766727", "55.68027, 37.766727")</f>
        <v>55.68027, 37.766727</v>
      </c>
      <c r="T391" s="2" t="str">
        <f>HYPERLINK("D:\venv_torgi\env\cache\objs_in_district/55.68027_37.766727.json", "55.68027_37.766727.json")</f>
        <v>55.68027_37.766727.json</v>
      </c>
      <c r="U391" t="s">
        <v>1718</v>
      </c>
      <c r="V391" s="7" t="s">
        <v>34</v>
      </c>
      <c r="W391" s="16">
        <v>105375.1716024348</v>
      </c>
      <c r="X391" s="15">
        <v>-47714.977096449991</v>
      </c>
      <c r="Y391">
        <v>0</v>
      </c>
    </row>
    <row r="392" spans="1:25">
      <c r="A392" s="8">
        <v>457</v>
      </c>
      <c r="B392">
        <v>77</v>
      </c>
      <c r="C392" s="1">
        <v>27.5</v>
      </c>
      <c r="D392" s="2" t="str">
        <f>HYPERLINK("https://torgi.gov.ru/new/public/lots/lot/21000005000000000128_1/(lotInfo:info)", "21000005000000000128_1")</f>
        <v>21000005000000000128_1</v>
      </c>
      <c r="E392" t="s">
        <v>1719</v>
      </c>
      <c r="F392" s="3" t="s">
        <v>144</v>
      </c>
      <c r="G392" t="s">
        <v>1720</v>
      </c>
      <c r="H392" s="4">
        <v>4624100</v>
      </c>
      <c r="I392" s="4">
        <v>168149.09090909091</v>
      </c>
      <c r="J392" s="5" t="s">
        <v>29</v>
      </c>
      <c r="K392" s="5">
        <v>12.53</v>
      </c>
      <c r="L392" s="4">
        <v>4544.57</v>
      </c>
      <c r="M392">
        <v>13416</v>
      </c>
      <c r="N392" t="s">
        <v>1612</v>
      </c>
      <c r="O392">
        <v>37</v>
      </c>
      <c r="P392" s="6">
        <v>400</v>
      </c>
      <c r="Q392" t="s">
        <v>31</v>
      </c>
      <c r="R392" t="s">
        <v>32</v>
      </c>
      <c r="S392" s="2" t="str">
        <f>HYPERLINK("https://yandex.ru/maps/?&amp;text=55.711072, 37.39453", "55.711072, 37.39453")</f>
        <v>55.711072, 37.39453</v>
      </c>
      <c r="T392" s="2" t="str">
        <f>HYPERLINK("D:\venv_torgi\env\cache\objs_in_district/55.711072_37.39453.json", "55.711072_37.39453.json")</f>
        <v>55.711072_37.39453.json</v>
      </c>
      <c r="U392" t="s">
        <v>1721</v>
      </c>
      <c r="V392" s="7" t="s">
        <v>34</v>
      </c>
      <c r="W392" s="16">
        <v>157032.33896280971</v>
      </c>
      <c r="X392" s="15">
        <v>-11116.751946281211</v>
      </c>
      <c r="Y392">
        <v>0</v>
      </c>
    </row>
    <row r="393" spans="1:25">
      <c r="A393" s="8">
        <v>458</v>
      </c>
      <c r="B393">
        <v>77</v>
      </c>
      <c r="C393" s="1">
        <v>27.5</v>
      </c>
      <c r="D393" s="2" t="str">
        <f>HYPERLINK("https://torgi.gov.ru/new/public/lots/lot/21000005000000000752_1/(lotInfo:info)", "21000005000000000752_1")</f>
        <v>21000005000000000752_1</v>
      </c>
      <c r="E393" t="s">
        <v>1722</v>
      </c>
      <c r="F393" s="3" t="s">
        <v>1691</v>
      </c>
      <c r="G393" t="s">
        <v>1723</v>
      </c>
      <c r="H393" s="4">
        <v>4682350</v>
      </c>
      <c r="I393" s="4">
        <v>170267.27272727271</v>
      </c>
      <c r="J393" s="9">
        <v>15.07</v>
      </c>
      <c r="K393" s="10">
        <v>40.17</v>
      </c>
      <c r="L393" s="11">
        <v>8961.44</v>
      </c>
      <c r="M393">
        <v>11298</v>
      </c>
      <c r="N393" t="s">
        <v>1724</v>
      </c>
      <c r="O393" t="s">
        <v>1725</v>
      </c>
      <c r="P393" s="6">
        <v>400</v>
      </c>
      <c r="Q393" t="s">
        <v>31</v>
      </c>
      <c r="R393" t="s">
        <v>32</v>
      </c>
      <c r="S393" s="2" t="str">
        <f>HYPERLINK("https://yandex.ru/maps/?&amp;text=55.727752, 37.8306847", "55.727752, 37.8306847")</f>
        <v>55.727752, 37.8306847</v>
      </c>
      <c r="T393" s="12" t="str">
        <f>HYPERLINK("D:\venv_torgi\env\cache\objs_in_district/55.727752_37.8306847.json", "55.727752_37.8306847.json")</f>
        <v>55.727752_37.8306847.json</v>
      </c>
      <c r="U393" t="s">
        <v>1726</v>
      </c>
      <c r="V393" s="7" t="s">
        <v>34</v>
      </c>
      <c r="W393" s="16">
        <v>138959.72670372471</v>
      </c>
      <c r="X393" s="15">
        <v>-31307.546023547999</v>
      </c>
      <c r="Y393">
        <v>0</v>
      </c>
    </row>
    <row r="394" spans="1:25">
      <c r="A394" s="8">
        <v>459</v>
      </c>
      <c r="B394">
        <v>77</v>
      </c>
      <c r="C394" s="1">
        <v>50.1</v>
      </c>
      <c r="D394" s="2" t="str">
        <f>HYPERLINK("https://torgi.gov.ru/new/public/lots/lot/21000005000000001605_1/(lotInfo:info)", "21000005000000001605_1")</f>
        <v>21000005000000001605_1</v>
      </c>
      <c r="E394" t="s">
        <v>1727</v>
      </c>
      <c r="F394" s="3" t="s">
        <v>1728</v>
      </c>
      <c r="G394" t="s">
        <v>1729</v>
      </c>
      <c r="H394" s="4">
        <v>8998431.75</v>
      </c>
      <c r="I394" s="4">
        <v>179609.41616766469</v>
      </c>
      <c r="J394" s="5" t="s">
        <v>29</v>
      </c>
      <c r="K394" s="5">
        <v>19.05</v>
      </c>
      <c r="L394" s="4">
        <v>2245.11</v>
      </c>
      <c r="M394">
        <v>9426</v>
      </c>
      <c r="N394" t="s">
        <v>1612</v>
      </c>
      <c r="O394">
        <v>80</v>
      </c>
      <c r="P394" s="6">
        <v>400</v>
      </c>
      <c r="Q394" t="s">
        <v>31</v>
      </c>
      <c r="R394" t="s">
        <v>32</v>
      </c>
      <c r="S394" s="2" t="str">
        <f>HYPERLINK("https://yandex.ru/maps/?&amp;text=55.724738, 37.60637", "55.724738, 37.60637")</f>
        <v>55.724738, 37.60637</v>
      </c>
      <c r="T394" s="2" t="str">
        <f>HYPERLINK("D:\venv_torgi\env\cache\objs_in_district/55.724738_37.60637.json", "55.724738_37.60637.json")</f>
        <v>55.724738_37.60637.json</v>
      </c>
      <c r="U394" t="s">
        <v>1730</v>
      </c>
      <c r="W394" s="16">
        <v>119185.6132193263</v>
      </c>
      <c r="X394" s="15">
        <v>-60423.802948338358</v>
      </c>
      <c r="Y394">
        <v>0</v>
      </c>
    </row>
    <row r="395" spans="1:25">
      <c r="A395" s="8">
        <v>460</v>
      </c>
      <c r="B395">
        <v>77</v>
      </c>
      <c r="C395" s="1">
        <v>35.299999999999997</v>
      </c>
      <c r="D395" s="2" t="str">
        <f>HYPERLINK("https://torgi.gov.ru/new/public/lots/lot/21000005000000000826_1/(lotInfo:info)", "21000005000000000826_1")</f>
        <v>21000005000000000826_1</v>
      </c>
      <c r="E395" t="s">
        <v>1731</v>
      </c>
      <c r="F395" s="3" t="s">
        <v>98</v>
      </c>
      <c r="G395" t="s">
        <v>1732</v>
      </c>
      <c r="H395" s="4">
        <v>6857400</v>
      </c>
      <c r="I395" s="4">
        <v>194260.62322946181</v>
      </c>
      <c r="J395" s="5" t="s">
        <v>29</v>
      </c>
      <c r="K395" s="5">
        <v>15.76</v>
      </c>
      <c r="L395" s="4">
        <v>4517.67</v>
      </c>
      <c r="M395">
        <v>12326</v>
      </c>
      <c r="N395" t="s">
        <v>1612</v>
      </c>
      <c r="O395">
        <v>43</v>
      </c>
      <c r="P395" s="6">
        <v>600</v>
      </c>
      <c r="Q395" t="s">
        <v>31</v>
      </c>
      <c r="R395" t="s">
        <v>32</v>
      </c>
      <c r="S395" s="2" t="str">
        <f>HYPERLINK("https://yandex.ru/maps/?&amp;text=55.721503, 37.672334", "55.721503, 37.672334")</f>
        <v>55.721503, 37.672334</v>
      </c>
      <c r="T395" s="2" t="str">
        <f>HYPERLINK("D:\venv_torgi\env\cache\objs_in_district/55.721503_37.672334.json", "55.721503_37.672334.json")</f>
        <v>55.721503_37.672334.json</v>
      </c>
      <c r="U395" t="s">
        <v>1733</v>
      </c>
      <c r="V395" s="7" t="s">
        <v>39</v>
      </c>
      <c r="W395" s="16">
        <v>117746.9429215917</v>
      </c>
      <c r="X395" s="15">
        <v>-76513.68030787012</v>
      </c>
      <c r="Y395">
        <v>0</v>
      </c>
    </row>
    <row r="396" spans="1:25">
      <c r="A396" s="8">
        <v>461</v>
      </c>
      <c r="B396">
        <v>77</v>
      </c>
      <c r="C396" s="1">
        <v>12.4</v>
      </c>
      <c r="D396" s="2" t="str">
        <f>HYPERLINK("https://torgi.gov.ru/new/public/lots/lot/21000005000000001753_1/(lotInfo:info)", "21000005000000001753_1")</f>
        <v>21000005000000001753_1</v>
      </c>
      <c r="E396" t="s">
        <v>1734</v>
      </c>
      <c r="F396" s="3" t="s">
        <v>1735</v>
      </c>
      <c r="G396" t="s">
        <v>1736</v>
      </c>
      <c r="H396" s="4">
        <v>2527800</v>
      </c>
      <c r="I396" s="4">
        <v>203854.83870967739</v>
      </c>
      <c r="J396" s="5" t="s">
        <v>29</v>
      </c>
      <c r="K396" s="5">
        <v>17.03</v>
      </c>
      <c r="L396" s="4">
        <v>7029.45</v>
      </c>
      <c r="M396">
        <v>11969</v>
      </c>
      <c r="N396" t="s">
        <v>1612</v>
      </c>
      <c r="O396">
        <v>29</v>
      </c>
      <c r="P396" s="6">
        <v>400</v>
      </c>
      <c r="Q396" t="s">
        <v>31</v>
      </c>
      <c r="R396" t="s">
        <v>32</v>
      </c>
      <c r="S396" s="2" t="str">
        <f>HYPERLINK("https://yandex.ru/maps/?&amp;text=55.638114, 37.617159", "55.638114, 37.617159")</f>
        <v>55.638114, 37.617159</v>
      </c>
      <c r="T396" s="2" t="str">
        <f>HYPERLINK("D:\venv_torgi\env\cache\objs_in_district/55.638114_37.617159.json", "55.638114_37.617159.json")</f>
        <v>55.638114_37.617159.json</v>
      </c>
      <c r="U396" t="s">
        <v>1737</v>
      </c>
      <c r="V396" s="7" t="s">
        <v>34</v>
      </c>
      <c r="W396" s="16">
        <v>157591.30040381549</v>
      </c>
      <c r="X396" s="15">
        <v>-46263.538305861934</v>
      </c>
      <c r="Y396">
        <v>0</v>
      </c>
    </row>
    <row r="397" spans="1:25">
      <c r="A397" s="8">
        <v>463</v>
      </c>
      <c r="B397">
        <v>77</v>
      </c>
      <c r="C397" s="1">
        <v>33.700000000000003</v>
      </c>
      <c r="D397" s="2" t="str">
        <f>HYPERLINK("https://torgi.gov.ru/new/public/lots/lot/21000005000000000048_1/(lotInfo:info)", "21000005000000000048_1")</f>
        <v>21000005000000000048_1</v>
      </c>
      <c r="E397" t="s">
        <v>1738</v>
      </c>
      <c r="F397" s="3" t="s">
        <v>1653</v>
      </c>
      <c r="G397" t="s">
        <v>1739</v>
      </c>
      <c r="H397" s="4">
        <v>6899350</v>
      </c>
      <c r="I397" s="4">
        <v>204728.4866468843</v>
      </c>
      <c r="J397" s="5" t="s">
        <v>29</v>
      </c>
      <c r="K397" s="5">
        <v>19.61</v>
      </c>
      <c r="L397" s="4">
        <v>7311.71</v>
      </c>
      <c r="M397">
        <v>10440</v>
      </c>
      <c r="N397" t="s">
        <v>1612</v>
      </c>
      <c r="O397">
        <v>28</v>
      </c>
      <c r="P397" s="6">
        <v>300</v>
      </c>
      <c r="Q397" t="s">
        <v>31</v>
      </c>
      <c r="R397" t="s">
        <v>32</v>
      </c>
      <c r="S397" s="2" t="str">
        <f>HYPERLINK("https://yandex.ru/maps/?&amp;text=55.896458, 37.635557", "55.896458, 37.635557")</f>
        <v>55.896458, 37.635557</v>
      </c>
      <c r="T397" s="2" t="str">
        <f>HYPERLINK("D:\venv_torgi\env\cache\objs_in_district/55.896458_37.635557.json", "55.896458_37.635557.json")</f>
        <v>55.896458_37.635557.json</v>
      </c>
      <c r="U397" t="s">
        <v>1740</v>
      </c>
      <c r="V397" s="7" t="s">
        <v>34</v>
      </c>
      <c r="W397" s="16">
        <v>156022.67219026899</v>
      </c>
      <c r="X397" s="15">
        <v>-48705.814456615248</v>
      </c>
      <c r="Y397">
        <v>0</v>
      </c>
    </row>
    <row r="398" spans="1:25">
      <c r="A398" s="8">
        <v>464</v>
      </c>
      <c r="B398">
        <v>77</v>
      </c>
      <c r="C398" s="1">
        <v>44.3</v>
      </c>
      <c r="D398" s="2" t="str">
        <f>HYPERLINK("https://torgi.gov.ru/new/public/lots/lot/21000005000000001935_1/(lotInfo:info)", "21000005000000001935_1")</f>
        <v>21000005000000001935_1</v>
      </c>
      <c r="E398" t="s">
        <v>1741</v>
      </c>
      <c r="F398" s="3" t="s">
        <v>1620</v>
      </c>
      <c r="G398" t="s">
        <v>1742</v>
      </c>
      <c r="H398" s="4">
        <v>9372100</v>
      </c>
      <c r="I398" s="4">
        <v>211559.8194130926</v>
      </c>
      <c r="J398" s="5" t="s">
        <v>29</v>
      </c>
      <c r="K398" s="5">
        <v>25.7</v>
      </c>
      <c r="L398" s="4">
        <v>734.58</v>
      </c>
      <c r="M398">
        <v>8231</v>
      </c>
      <c r="N398" t="s">
        <v>1612</v>
      </c>
      <c r="O398">
        <v>288</v>
      </c>
      <c r="P398" s="6">
        <v>200</v>
      </c>
      <c r="Q398" t="s">
        <v>31</v>
      </c>
      <c r="R398" t="s">
        <v>32</v>
      </c>
      <c r="S398" s="2" t="str">
        <f>HYPERLINK("https://yandex.ru/maps/?&amp;text=55.772578, 37.591027", "55.772578, 37.591027")</f>
        <v>55.772578, 37.591027</v>
      </c>
      <c r="T398" s="2" t="str">
        <f>HYPERLINK("D:\venv_torgi\env\cache\objs_in_district/55.772578_37.591027.json", "55.772578_37.591027.json")</f>
        <v>55.772578_37.591027.json</v>
      </c>
      <c r="U398" t="s">
        <v>1743</v>
      </c>
      <c r="V398" s="7" t="s">
        <v>39</v>
      </c>
      <c r="W398" s="16">
        <v>133215.9614957899</v>
      </c>
      <c r="X398" s="15">
        <v>-78343.857917302666</v>
      </c>
      <c r="Y398">
        <v>0</v>
      </c>
    </row>
    <row r="399" spans="1:25">
      <c r="A399" s="8">
        <v>465</v>
      </c>
      <c r="B399">
        <v>77</v>
      </c>
      <c r="C399" s="1">
        <v>44.7</v>
      </c>
      <c r="D399" s="2" t="str">
        <f>HYPERLINK("https://torgi.gov.ru/new/public/lots/lot/21000005000000000105_1/(lotInfo:info)", "21000005000000000105_1")</f>
        <v>21000005000000000105_1</v>
      </c>
      <c r="E399" t="s">
        <v>1744</v>
      </c>
      <c r="F399" s="3" t="s">
        <v>1134</v>
      </c>
      <c r="G399" t="s">
        <v>1745</v>
      </c>
      <c r="H399" s="4">
        <v>9699050</v>
      </c>
      <c r="I399" s="4">
        <v>216980.9843400447</v>
      </c>
      <c r="J399" s="5" t="s">
        <v>29</v>
      </c>
      <c r="K399" s="5">
        <v>26.53</v>
      </c>
      <c r="L399" s="4">
        <v>3557.05</v>
      </c>
      <c r="M399">
        <v>8178</v>
      </c>
      <c r="N399" t="s">
        <v>1612</v>
      </c>
      <c r="O399">
        <v>61</v>
      </c>
      <c r="P399" s="6">
        <v>300</v>
      </c>
      <c r="Q399" t="s">
        <v>31</v>
      </c>
      <c r="R399" t="s">
        <v>32</v>
      </c>
      <c r="S399" s="2" t="str">
        <f>HYPERLINK("https://yandex.ru/maps/?&amp;text=55.75007, 37.677177", "55.75007, 37.677177")</f>
        <v>55.75007, 37.677177</v>
      </c>
      <c r="T399" s="2" t="str">
        <f>HYPERLINK("D:\venv_torgi\env\cache\objs_in_district/55.75007_37.677177.json", "55.75007_37.677177.json")</f>
        <v>55.75007_37.677177.json</v>
      </c>
      <c r="U399" t="s">
        <v>1746</v>
      </c>
      <c r="V399" s="7" t="s">
        <v>34</v>
      </c>
      <c r="W399" s="16">
        <v>157264.09457328921</v>
      </c>
      <c r="X399" s="15">
        <v>-59716.889766755507</v>
      </c>
      <c r="Y399">
        <v>0</v>
      </c>
    </row>
    <row r="400" spans="1:25">
      <c r="A400" s="8">
        <v>466</v>
      </c>
      <c r="B400">
        <v>77</v>
      </c>
      <c r="C400" s="1">
        <v>35.700000000000003</v>
      </c>
      <c r="D400" s="2" t="str">
        <f>HYPERLINK("https://torgi.gov.ru/new/public/lots/lot/21000005000000001869_1/(lotInfo:info)", "21000005000000001869_1")</f>
        <v>21000005000000001869_1</v>
      </c>
      <c r="E400" t="s">
        <v>1747</v>
      </c>
      <c r="F400" s="3" t="s">
        <v>1728</v>
      </c>
      <c r="G400" t="s">
        <v>1748</v>
      </c>
      <c r="H400" s="4">
        <v>7747250</v>
      </c>
      <c r="I400" s="4">
        <v>217009.80392156859</v>
      </c>
      <c r="J400" s="5" t="s">
        <v>29</v>
      </c>
      <c r="K400" s="5">
        <v>15.55</v>
      </c>
      <c r="L400" s="4">
        <v>3875.16</v>
      </c>
      <c r="M400">
        <v>13959</v>
      </c>
      <c r="N400" t="s">
        <v>1612</v>
      </c>
      <c r="O400">
        <v>56</v>
      </c>
      <c r="P400" s="6">
        <v>400</v>
      </c>
      <c r="Q400" t="s">
        <v>31</v>
      </c>
      <c r="R400" t="s">
        <v>32</v>
      </c>
      <c r="S400" s="2" t="str">
        <f>HYPERLINK("https://yandex.ru/maps/?&amp;text=55.859302, 37.504942", "55.859302, 37.504942")</f>
        <v>55.859302, 37.504942</v>
      </c>
      <c r="T400" s="2" t="str">
        <f>HYPERLINK("D:\venv_torgi\env\cache\objs_in_district/55.859302_37.504942.json", "55.859302_37.504942.json")</f>
        <v>55.859302_37.504942.json</v>
      </c>
      <c r="U400" t="s">
        <v>1749</v>
      </c>
      <c r="V400" s="7" t="s">
        <v>34</v>
      </c>
      <c r="W400" s="16">
        <v>157665.29451015801</v>
      </c>
      <c r="X400" s="15">
        <v>-59344.509411410603</v>
      </c>
      <c r="Y400">
        <v>0</v>
      </c>
    </row>
    <row r="401" spans="1:25">
      <c r="A401" s="8">
        <v>467</v>
      </c>
      <c r="B401">
        <v>77</v>
      </c>
      <c r="C401" s="1">
        <v>38.299999999999997</v>
      </c>
      <c r="D401" s="2" t="str">
        <f>HYPERLINK("https://torgi.gov.ru/new/public/lots/lot/21000005000000001486_1/(lotInfo:info)", "21000005000000001486_1")</f>
        <v>21000005000000001486_1</v>
      </c>
      <c r="E401" t="s">
        <v>1750</v>
      </c>
      <c r="F401" s="3" t="s">
        <v>1647</v>
      </c>
      <c r="G401" t="s">
        <v>1751</v>
      </c>
      <c r="H401" s="4">
        <v>8884600</v>
      </c>
      <c r="I401" s="4">
        <v>231973.89033942559</v>
      </c>
      <c r="J401" s="5" t="s">
        <v>29</v>
      </c>
      <c r="K401" s="5">
        <v>19.46</v>
      </c>
      <c r="L401" s="4">
        <v>8591.59</v>
      </c>
      <c r="M401">
        <v>11919</v>
      </c>
      <c r="N401" t="s">
        <v>1612</v>
      </c>
      <c r="O401">
        <v>27</v>
      </c>
      <c r="P401" s="6">
        <v>1000</v>
      </c>
      <c r="Q401" t="s">
        <v>31</v>
      </c>
      <c r="R401" t="s">
        <v>32</v>
      </c>
      <c r="S401" s="2" t="str">
        <f>HYPERLINK("https://yandex.ru/maps/?&amp;text=55.69008, 37.492006", "55.69008, 37.492006")</f>
        <v>55.69008, 37.492006</v>
      </c>
      <c r="T401" s="2" t="str">
        <f>HYPERLINK("D:\venv_torgi\env\cache\objs_in_district/55.69008_37.492006.json", "55.69008_37.492006.json")</f>
        <v>55.69008_37.492006.json</v>
      </c>
      <c r="U401" t="s">
        <v>1752</v>
      </c>
      <c r="V401" s="7" t="s">
        <v>34</v>
      </c>
      <c r="W401" s="16">
        <v>154820.62766121139</v>
      </c>
      <c r="X401" s="15">
        <v>-77153.262678214174</v>
      </c>
      <c r="Y401">
        <v>0</v>
      </c>
    </row>
    <row r="402" spans="1:25">
      <c r="A402" s="8">
        <v>468</v>
      </c>
      <c r="B402">
        <v>77</v>
      </c>
      <c r="C402" s="1">
        <v>31.6</v>
      </c>
      <c r="D402" s="2" t="str">
        <f>HYPERLINK("https://torgi.gov.ru/new/public/lots/lot/21000005000000000195_1/(lotInfo:info)", "21000005000000000195_1")</f>
        <v>21000005000000000195_1</v>
      </c>
      <c r="E402" t="s">
        <v>1753</v>
      </c>
      <c r="F402" s="3" t="s">
        <v>1754</v>
      </c>
      <c r="G402" t="s">
        <v>1755</v>
      </c>
      <c r="H402" s="4">
        <v>7576800</v>
      </c>
      <c r="I402" s="4">
        <v>239772.15189873421</v>
      </c>
      <c r="J402" s="5" t="s">
        <v>29</v>
      </c>
      <c r="K402" s="5">
        <v>23.23</v>
      </c>
      <c r="L402" s="4">
        <v>3330.17</v>
      </c>
      <c r="M402">
        <v>10321</v>
      </c>
      <c r="N402" t="s">
        <v>1612</v>
      </c>
      <c r="O402">
        <v>72</v>
      </c>
      <c r="P402" s="6">
        <v>1000</v>
      </c>
      <c r="Q402" t="s">
        <v>31</v>
      </c>
      <c r="R402" t="s">
        <v>32</v>
      </c>
      <c r="S402" s="2" t="str">
        <f>HYPERLINK("https://yandex.ru/maps/?&amp;text=55.61061, 37.760124", "55.61061, 37.760124")</f>
        <v>55.61061, 37.760124</v>
      </c>
      <c r="T402" s="2" t="str">
        <f>HYPERLINK("D:\venv_torgi\env\cache\objs_in_district/55.61061_37.760124.json", "55.61061_37.760124.json")</f>
        <v>55.61061_37.760124.json</v>
      </c>
      <c r="U402" t="s">
        <v>1756</v>
      </c>
      <c r="V402" s="7" t="s">
        <v>34</v>
      </c>
      <c r="W402" s="16">
        <v>158166.33592792711</v>
      </c>
      <c r="X402" s="15">
        <v>-81605.815970807074</v>
      </c>
      <c r="Y402">
        <v>0</v>
      </c>
    </row>
    <row r="403" spans="1:25">
      <c r="A403" s="8">
        <v>469</v>
      </c>
      <c r="B403">
        <v>77</v>
      </c>
      <c r="C403" s="1">
        <v>31.5</v>
      </c>
      <c r="D403" s="2" t="str">
        <f>HYPERLINK("https://torgi.gov.ru/new/public/lots/lot/21000005000000000135_1/(lotInfo:info)", "21000005000000000135_1")</f>
        <v>21000005000000000135_1</v>
      </c>
      <c r="E403" t="s">
        <v>1757</v>
      </c>
      <c r="F403" s="3" t="s">
        <v>902</v>
      </c>
      <c r="G403" t="s">
        <v>1758</v>
      </c>
      <c r="H403" s="4">
        <v>7632500</v>
      </c>
      <c r="I403" s="4">
        <v>242301.58730158731</v>
      </c>
      <c r="J403" s="5" t="s">
        <v>29</v>
      </c>
      <c r="K403" s="5">
        <v>38.03</v>
      </c>
      <c r="L403" s="4">
        <v>7816.16</v>
      </c>
      <c r="M403">
        <v>6372</v>
      </c>
      <c r="N403" t="s">
        <v>1612</v>
      </c>
      <c r="O403">
        <v>31</v>
      </c>
      <c r="P403" s="6">
        <v>400</v>
      </c>
      <c r="Q403" t="s">
        <v>31</v>
      </c>
      <c r="R403" t="s">
        <v>32</v>
      </c>
      <c r="S403" s="2" t="str">
        <f>HYPERLINK("https://yandex.ru/maps/?&amp;text=55.733788, 37.74567", "55.733788, 37.74567")</f>
        <v>55.733788, 37.74567</v>
      </c>
      <c r="T403" s="2" t="str">
        <f>HYPERLINK("D:\venv_torgi\env\cache\objs_in_district/55.733788_37.74567.json", "55.733788_37.74567.json")</f>
        <v>55.733788_37.74567.json</v>
      </c>
      <c r="U403" t="s">
        <v>1759</v>
      </c>
      <c r="V403" s="7" t="s">
        <v>34</v>
      </c>
      <c r="W403" s="16">
        <v>156134.06866141129</v>
      </c>
      <c r="X403" s="15">
        <v>-86167.518640175986</v>
      </c>
      <c r="Y403">
        <v>0</v>
      </c>
    </row>
    <row r="404" spans="1:25">
      <c r="A404" s="8">
        <v>471</v>
      </c>
      <c r="B404">
        <v>77</v>
      </c>
      <c r="C404" s="1">
        <v>31.2</v>
      </c>
      <c r="D404" s="2" t="str">
        <f>HYPERLINK("https://torgi.gov.ru/new/public/lots/lot/21000005000000002218_1/(lotInfo:info)", "21000005000000002218_1")</f>
        <v>21000005000000002218_1</v>
      </c>
      <c r="E404" t="s">
        <v>1760</v>
      </c>
      <c r="F404" s="3" t="s">
        <v>1648</v>
      </c>
      <c r="G404" t="s">
        <v>1761</v>
      </c>
      <c r="H404" s="4">
        <v>8360000</v>
      </c>
      <c r="I404" s="4">
        <v>267948.71794871788</v>
      </c>
      <c r="J404" s="5" t="s">
        <v>29</v>
      </c>
      <c r="K404" s="5">
        <v>20.78</v>
      </c>
      <c r="L404" s="4">
        <v>4321.74</v>
      </c>
      <c r="M404">
        <v>12893</v>
      </c>
      <c r="N404" t="s">
        <v>1612</v>
      </c>
      <c r="O404">
        <v>62</v>
      </c>
      <c r="P404" s="6">
        <v>400</v>
      </c>
      <c r="Q404" t="s">
        <v>31</v>
      </c>
      <c r="R404" t="s">
        <v>32</v>
      </c>
      <c r="S404" s="2" t="str">
        <f>HYPERLINK("https://yandex.ru/maps/?&amp;text=55.690821, 37.858824", "55.690821, 37.858824")</f>
        <v>55.690821, 37.858824</v>
      </c>
      <c r="T404" s="2" t="str">
        <f>HYPERLINK("D:\venv_torgi\env\cache\objs_in_district/55.690821_37.858824.json", "55.690821_37.858824.json")</f>
        <v>55.690821_37.858824.json</v>
      </c>
      <c r="U404" t="s">
        <v>1762</v>
      </c>
      <c r="V404" s="7" t="s">
        <v>34</v>
      </c>
      <c r="W404" s="16">
        <v>158352.44502552261</v>
      </c>
      <c r="X404" s="15">
        <v>-109596.2729231953</v>
      </c>
      <c r="Y404">
        <v>0</v>
      </c>
    </row>
    <row r="405" spans="1:25">
      <c r="A405" s="8">
        <v>472</v>
      </c>
      <c r="B405">
        <v>77</v>
      </c>
      <c r="C405" s="1">
        <v>27.5</v>
      </c>
      <c r="D405" s="2" t="str">
        <f>HYPERLINK("https://torgi.gov.ru/new/public/lots/lot/21000005000000001101_1/(lotInfo:info)", "21000005000000001101_1")</f>
        <v>21000005000000001101_1</v>
      </c>
      <c r="E405" t="s">
        <v>1763</v>
      </c>
      <c r="F405" s="3" t="s">
        <v>1644</v>
      </c>
      <c r="G405" t="s">
        <v>1764</v>
      </c>
      <c r="H405" s="4">
        <v>8133054</v>
      </c>
      <c r="I405" s="4">
        <v>295747.41818181821</v>
      </c>
      <c r="J405" s="5" t="s">
        <v>29</v>
      </c>
      <c r="K405" s="5">
        <v>32.06</v>
      </c>
      <c r="L405" s="4">
        <v>22749.77</v>
      </c>
      <c r="M405">
        <v>9224</v>
      </c>
      <c r="N405" t="s">
        <v>1612</v>
      </c>
      <c r="O405">
        <v>13</v>
      </c>
      <c r="P405" s="6">
        <v>700</v>
      </c>
      <c r="Q405" t="s">
        <v>31</v>
      </c>
      <c r="R405" t="s">
        <v>32</v>
      </c>
      <c r="S405" s="2" t="str">
        <f>HYPERLINK("https://yandex.ru/maps/?&amp;text=55.7573443, 37.5119741", "55.7573443, 37.5119741")</f>
        <v>55.7573443, 37.5119741</v>
      </c>
      <c r="T405" s="2" t="str">
        <f>HYPERLINK("D:\venv_torgi\env\cache\objs_in_district/55.7573443_37.5119741.json", "55.7573443_37.5119741.json")</f>
        <v>55.7573443_37.5119741.json</v>
      </c>
      <c r="U405" t="s">
        <v>1765</v>
      </c>
      <c r="V405" s="7" t="s">
        <v>34</v>
      </c>
      <c r="W405" s="16">
        <v>154997.37304899309</v>
      </c>
      <c r="X405" s="15">
        <v>-140750.04513282509</v>
      </c>
      <c r="Y405">
        <v>0</v>
      </c>
    </row>
    <row r="406" spans="1:25">
      <c r="A406" s="8">
        <v>473</v>
      </c>
      <c r="B406">
        <v>77</v>
      </c>
      <c r="C406" s="1">
        <v>16</v>
      </c>
      <c r="D406" s="2" t="str">
        <f>HYPERLINK("https://torgi.gov.ru/new/public/lots/lot/21000005000000000228_1/(lotInfo:info)", "21000005000000000228_1")</f>
        <v>21000005000000000228_1</v>
      </c>
      <c r="E406" t="s">
        <v>1766</v>
      </c>
      <c r="F406" s="3" t="s">
        <v>1767</v>
      </c>
      <c r="G406" t="s">
        <v>1768</v>
      </c>
      <c r="H406" s="4">
        <v>5187600</v>
      </c>
      <c r="I406" s="4">
        <v>324225</v>
      </c>
      <c r="J406" s="5" t="s">
        <v>29</v>
      </c>
      <c r="K406" s="5">
        <v>15.58</v>
      </c>
      <c r="L406" s="4">
        <v>3342.53</v>
      </c>
      <c r="M406">
        <v>20809</v>
      </c>
      <c r="N406" t="s">
        <v>1612</v>
      </c>
      <c r="O406">
        <v>97</v>
      </c>
      <c r="P406" s="6">
        <v>100</v>
      </c>
      <c r="Q406" t="s">
        <v>31</v>
      </c>
      <c r="R406" t="s">
        <v>32</v>
      </c>
      <c r="S406" s="2" t="str">
        <f>HYPERLINK("https://yandex.ru/maps/?&amp;text=55.606945, 37.72538", "55.606945, 37.72538")</f>
        <v>55.606945, 37.72538</v>
      </c>
      <c r="T406" s="2" t="str">
        <f>HYPERLINK("D:\venv_torgi\env\cache\objs_in_district/55.606945_37.72538.json", "55.606945_37.72538.json")</f>
        <v>55.606945_37.72538.json</v>
      </c>
      <c r="U406" t="s">
        <v>1769</v>
      </c>
      <c r="V406" s="7" t="s">
        <v>34</v>
      </c>
      <c r="W406" s="16">
        <v>162335.7407318613</v>
      </c>
      <c r="X406" s="15">
        <v>-161889.2592681387</v>
      </c>
      <c r="Y406">
        <v>0</v>
      </c>
    </row>
    <row r="407" spans="1:25">
      <c r="A407" s="8">
        <v>474</v>
      </c>
      <c r="B407">
        <v>77</v>
      </c>
      <c r="C407" s="1">
        <v>23.4</v>
      </c>
      <c r="D407" s="2" t="str">
        <f>HYPERLINK("https://torgi.gov.ru/new/public/lots/lot/21000005000000000124_1/(lotInfo:info)", "21000005000000000124_1")</f>
        <v>21000005000000000124_1</v>
      </c>
      <c r="E407" t="s">
        <v>1770</v>
      </c>
      <c r="F407" s="3" t="s">
        <v>144</v>
      </c>
      <c r="G407" t="s">
        <v>1771</v>
      </c>
      <c r="H407" s="4">
        <v>8239050</v>
      </c>
      <c r="I407" s="4">
        <v>352096.15384615387</v>
      </c>
      <c r="J407" s="5" t="s">
        <v>29</v>
      </c>
      <c r="K407" s="5">
        <v>23.19</v>
      </c>
      <c r="L407" s="4">
        <v>3667.67</v>
      </c>
      <c r="M407">
        <v>15180</v>
      </c>
      <c r="N407" t="s">
        <v>1612</v>
      </c>
      <c r="O407">
        <v>96</v>
      </c>
      <c r="P407" s="6">
        <v>400</v>
      </c>
      <c r="Q407" t="s">
        <v>31</v>
      </c>
      <c r="R407" t="s">
        <v>32</v>
      </c>
      <c r="S407" s="2" t="str">
        <f>HYPERLINK("https://yandex.ru/maps/?&amp;text=55.645431, 37.71133", "55.645431, 37.71133")</f>
        <v>55.645431, 37.71133</v>
      </c>
      <c r="T407" s="2" t="str">
        <f>HYPERLINK("D:\venv_torgi\env\cache\objs_in_district/55.645431_37.71133.json", "55.645431_37.71133.json")</f>
        <v>55.645431_37.71133.json</v>
      </c>
      <c r="U407" t="s">
        <v>1772</v>
      </c>
      <c r="V407" s="7" t="s">
        <v>34</v>
      </c>
      <c r="W407" s="16">
        <v>161190.03118436021</v>
      </c>
      <c r="X407" s="15">
        <v>-190906.1226617936</v>
      </c>
      <c r="Y407">
        <v>0</v>
      </c>
    </row>
    <row r="408" spans="1:25">
      <c r="A408" s="8">
        <v>475</v>
      </c>
      <c r="B408">
        <v>77</v>
      </c>
      <c r="C408" s="1">
        <v>13.7</v>
      </c>
      <c r="D408" s="2" t="str">
        <f>HYPERLINK("https://torgi.gov.ru/new/public/lots/lot/21000005000000001853_1/(lotInfo:info)", "21000005000000001853_1")</f>
        <v>21000005000000001853_1</v>
      </c>
      <c r="E408" t="s">
        <v>1773</v>
      </c>
      <c r="F408" s="3" t="s">
        <v>1774</v>
      </c>
      <c r="G408" t="s">
        <v>1775</v>
      </c>
      <c r="H408" s="4">
        <v>5280800</v>
      </c>
      <c r="I408" s="4">
        <v>385459.85401459847</v>
      </c>
      <c r="J408" s="5" t="s">
        <v>29</v>
      </c>
      <c r="K408" s="5">
        <v>47.27</v>
      </c>
      <c r="L408" s="4">
        <v>4189.7700000000004</v>
      </c>
      <c r="M408">
        <v>8155</v>
      </c>
      <c r="N408" t="s">
        <v>1612</v>
      </c>
      <c r="O408">
        <v>92</v>
      </c>
      <c r="Q408" t="s">
        <v>31</v>
      </c>
      <c r="R408" t="s">
        <v>32</v>
      </c>
      <c r="S408" s="2" t="str">
        <f>HYPERLINK("https://yandex.ru/maps/?&amp;text=55.766106, 37.559245", "55.766106, 37.559245")</f>
        <v>55.766106, 37.559245</v>
      </c>
      <c r="T408" s="2" t="str">
        <f>HYPERLINK("D:\venv_torgi\env\cache\objs_in_district/55.766106_37.559245.json", "55.766106_37.559245.json")</f>
        <v>55.766106_37.559245.json</v>
      </c>
      <c r="U408" t="s">
        <v>1776</v>
      </c>
      <c r="W408" s="16">
        <v>122976.77162037131</v>
      </c>
      <c r="X408" s="15">
        <v>-262483.08239422721</v>
      </c>
      <c r="Y408">
        <v>0</v>
      </c>
    </row>
    <row r="409" spans="1:25">
      <c r="A409" s="8">
        <v>476</v>
      </c>
      <c r="B409">
        <v>77</v>
      </c>
      <c r="C409" s="1">
        <v>14.4</v>
      </c>
      <c r="D409" s="2" t="str">
        <f>HYPERLINK("https://torgi.gov.ru/new/public/lots/lot/21000005000000000327_1/(lotInfo:info)", "21000005000000000327_1")</f>
        <v>21000005000000000327_1</v>
      </c>
      <c r="E409" t="s">
        <v>1777</v>
      </c>
      <c r="F409" s="3" t="s">
        <v>1754</v>
      </c>
      <c r="G409" t="s">
        <v>1778</v>
      </c>
      <c r="H409" s="4">
        <v>6828900</v>
      </c>
      <c r="I409" s="4">
        <v>474229.16666666663</v>
      </c>
      <c r="J409" s="5" t="s">
        <v>29</v>
      </c>
      <c r="K409" s="5">
        <v>46.89</v>
      </c>
      <c r="L409" s="4">
        <v>2909.38</v>
      </c>
      <c r="M409">
        <v>10113</v>
      </c>
      <c r="N409" t="s">
        <v>1612</v>
      </c>
      <c r="O409">
        <v>163</v>
      </c>
      <c r="P409" s="6">
        <v>400</v>
      </c>
      <c r="Q409" t="s">
        <v>31</v>
      </c>
      <c r="R409" t="s">
        <v>32</v>
      </c>
      <c r="S409" s="2" t="str">
        <f>HYPERLINK("https://yandex.ru/maps/?&amp;text=55.779606, 37.633706", "55.779606, 37.633706")</f>
        <v>55.779606, 37.633706</v>
      </c>
      <c r="T409" s="2" t="str">
        <f>HYPERLINK("D:\venv_torgi\env\cache\objs_in_district/55.779606_37.633706.json", "55.779606_37.633706.json")</f>
        <v>55.779606_37.633706.json</v>
      </c>
      <c r="U409" t="s">
        <v>1779</v>
      </c>
      <c r="V409" s="7" t="s">
        <v>34</v>
      </c>
      <c r="W409" s="16">
        <v>166016.91519938849</v>
      </c>
      <c r="X409" s="15">
        <v>-308212.25146727811</v>
      </c>
      <c r="Y409">
        <v>0</v>
      </c>
    </row>
    <row r="410" spans="1:25">
      <c r="A410" s="8">
        <v>477</v>
      </c>
      <c r="B410">
        <v>78</v>
      </c>
      <c r="C410" s="1">
        <v>106.3</v>
      </c>
      <c r="D410" s="2" t="str">
        <f>HYPERLINK("https://torgi.gov.ru/new/public/lots/lot/21000002210000000602_1/(lotInfo:info)", "21000002210000000602_1")</f>
        <v>21000002210000000602_1</v>
      </c>
      <c r="E410" t="s">
        <v>1780</v>
      </c>
      <c r="F410" s="3" t="s">
        <v>1781</v>
      </c>
      <c r="G410" t="s">
        <v>1782</v>
      </c>
      <c r="H410" s="4">
        <v>5200000</v>
      </c>
      <c r="I410" s="4">
        <v>48918.156161806211</v>
      </c>
      <c r="J410" s="5" t="s">
        <v>29</v>
      </c>
      <c r="K410" s="5">
        <v>6.08</v>
      </c>
      <c r="L410" s="4">
        <v>311.58</v>
      </c>
      <c r="M410">
        <v>8043</v>
      </c>
      <c r="N410" t="s">
        <v>1783</v>
      </c>
      <c r="O410">
        <v>157</v>
      </c>
      <c r="P410" s="6">
        <v>300</v>
      </c>
      <c r="Q410" t="s">
        <v>31</v>
      </c>
      <c r="R410" t="s">
        <v>32</v>
      </c>
      <c r="S410" s="2" t="str">
        <f>HYPERLINK("https://yandex.ru/maps/?&amp;text=59.931783, 30.306256", "59.931783, 30.306256")</f>
        <v>59.931783, 30.306256</v>
      </c>
      <c r="T410" s="2" t="str">
        <f>HYPERLINK("D:\venv_torgi\env\cache\objs_in_district/59.931783_30.306256.json", "59.931783_30.306256.json")</f>
        <v>59.931783_30.306256.json</v>
      </c>
      <c r="U410" t="s">
        <v>1784</v>
      </c>
      <c r="V410" s="7" t="s">
        <v>39</v>
      </c>
      <c r="W410" s="16">
        <v>105568.2280220925</v>
      </c>
      <c r="X410" s="14">
        <v>56650.071860286291</v>
      </c>
      <c r="Y410">
        <v>0</v>
      </c>
    </row>
    <row r="411" spans="1:25">
      <c r="A411" s="8">
        <v>478</v>
      </c>
      <c r="B411">
        <v>78</v>
      </c>
      <c r="C411" s="1">
        <v>148.1</v>
      </c>
      <c r="D411" s="2" t="str">
        <f>HYPERLINK("https://torgi.gov.ru/new/public/lots/lot/21000002210000000258_1/(lotInfo:info)", "21000002210000000258_1")</f>
        <v>21000002210000000258_1</v>
      </c>
      <c r="E411" t="s">
        <v>1785</v>
      </c>
      <c r="F411" s="3" t="s">
        <v>1786</v>
      </c>
      <c r="G411" t="s">
        <v>1787</v>
      </c>
      <c r="H411" s="4">
        <v>7800000</v>
      </c>
      <c r="I411" s="4">
        <v>52667.116812964217</v>
      </c>
      <c r="J411" s="5" t="s">
        <v>29</v>
      </c>
      <c r="K411" s="5">
        <v>5.0599999999999996</v>
      </c>
      <c r="L411" s="4">
        <v>160.08000000000001</v>
      </c>
      <c r="M411">
        <v>10406</v>
      </c>
      <c r="N411" t="s">
        <v>1783</v>
      </c>
      <c r="O411">
        <v>329</v>
      </c>
      <c r="P411" s="6">
        <v>100</v>
      </c>
      <c r="Q411" t="s">
        <v>31</v>
      </c>
      <c r="R411" t="s">
        <v>32</v>
      </c>
      <c r="S411" s="2" t="str">
        <f>HYPERLINK("https://yandex.ru/maps/?&amp;text=59.926535, 30.357173", "59.926535, 30.357173")</f>
        <v>59.926535, 30.357173</v>
      </c>
      <c r="T411" s="2" t="str">
        <f>HYPERLINK("D:\venv_torgi\env\cache\objs_in_district/59.926535_30.357173.json", "59.926535_30.357173.json")</f>
        <v>59.926535_30.357173.json</v>
      </c>
      <c r="U411" t="s">
        <v>1788</v>
      </c>
      <c r="V411" s="7" t="s">
        <v>39</v>
      </c>
      <c r="W411" s="16">
        <v>113862.94053799201</v>
      </c>
      <c r="X411" s="14">
        <v>61195.823725027833</v>
      </c>
      <c r="Y411">
        <v>0</v>
      </c>
    </row>
    <row r="412" spans="1:25">
      <c r="A412" s="8">
        <v>479</v>
      </c>
      <c r="B412">
        <v>78</v>
      </c>
      <c r="C412" s="1">
        <v>130.5</v>
      </c>
      <c r="D412" s="2" t="str">
        <f>HYPERLINK("https://torgi.gov.ru/new/public/lots/lot/21000002210000000268_1/(lotInfo:info)", "21000002210000000268_1")</f>
        <v>21000002210000000268_1</v>
      </c>
      <c r="E412" t="s">
        <v>1789</v>
      </c>
      <c r="F412" s="3" t="s">
        <v>1790</v>
      </c>
      <c r="G412" t="s">
        <v>1791</v>
      </c>
      <c r="H412" s="4">
        <v>8262000</v>
      </c>
      <c r="I412" s="4">
        <v>63310.34482758621</v>
      </c>
      <c r="J412" s="5" t="s">
        <v>29</v>
      </c>
      <c r="K412" s="5">
        <v>15.26</v>
      </c>
      <c r="L412" s="4">
        <v>3165.5</v>
      </c>
      <c r="M412">
        <v>4150</v>
      </c>
      <c r="N412" t="s">
        <v>1783</v>
      </c>
      <c r="O412">
        <v>20</v>
      </c>
      <c r="P412" s="6">
        <v>100</v>
      </c>
      <c r="Q412" t="s">
        <v>31</v>
      </c>
      <c r="R412" t="s">
        <v>32</v>
      </c>
      <c r="S412" s="2" t="str">
        <f>HYPERLINK("https://yandex.ru/maps/?&amp;text=59.977008, 30.508539", "59.977008, 30.508539")</f>
        <v>59.977008, 30.508539</v>
      </c>
      <c r="T412" s="2" t="str">
        <f>HYPERLINK("D:\venv_torgi\env\cache\objs_in_district/59.977008_30.508539.json", "59.977008_30.508539.json")</f>
        <v>59.977008_30.508539.json</v>
      </c>
      <c r="U412" t="s">
        <v>1792</v>
      </c>
      <c r="V412" s="7" t="s">
        <v>34</v>
      </c>
      <c r="W412" s="16">
        <v>133893.5008034443</v>
      </c>
      <c r="X412" s="14">
        <v>70583.155975858099</v>
      </c>
      <c r="Y412">
        <v>0</v>
      </c>
    </row>
    <row r="413" spans="1:25">
      <c r="A413" s="8">
        <v>480</v>
      </c>
      <c r="B413">
        <v>78</v>
      </c>
      <c r="C413" s="1">
        <v>58.3</v>
      </c>
      <c r="D413" s="2" t="str">
        <f>HYPERLINK("https://torgi.gov.ru/new/public/lots/lot/21000002210000000357_1/(lotInfo:info)", "21000002210000000357_1")</f>
        <v>21000002210000000357_1</v>
      </c>
      <c r="E413" t="s">
        <v>1793</v>
      </c>
      <c r="F413" s="3" t="s">
        <v>1794</v>
      </c>
      <c r="G413" t="s">
        <v>1795</v>
      </c>
      <c r="H413" s="4">
        <v>3756000</v>
      </c>
      <c r="I413" s="4">
        <v>64425.385934819897</v>
      </c>
      <c r="J413" s="5" t="s">
        <v>952</v>
      </c>
      <c r="K413" s="5">
        <v>8.3800000000000008</v>
      </c>
      <c r="L413" s="4">
        <v>1039.1099999999999</v>
      </c>
      <c r="M413">
        <v>7686</v>
      </c>
      <c r="N413" t="s">
        <v>1783</v>
      </c>
      <c r="O413">
        <v>62</v>
      </c>
      <c r="P413" s="6">
        <v>500</v>
      </c>
      <c r="Q413" t="s">
        <v>31</v>
      </c>
      <c r="R413" t="s">
        <v>32</v>
      </c>
      <c r="S413" s="2" t="str">
        <f>HYPERLINK("https://yandex.ru/maps/?&amp;text=59.941651, 30.497588", "59.941651, 30.497588")</f>
        <v>59.941651, 30.497588</v>
      </c>
      <c r="T413" s="2" t="str">
        <f>HYPERLINK("D:\venv_torgi\env\cache\objs_in_district/59.941651_30.497588.json", "59.941651_30.497588.json")</f>
        <v>59.941651_30.497588.json</v>
      </c>
      <c r="U413" t="s">
        <v>1796</v>
      </c>
      <c r="V413" s="7" t="s">
        <v>39</v>
      </c>
      <c r="W413" s="16">
        <v>87694.129418940895</v>
      </c>
      <c r="X413" s="14">
        <v>23268.743484121002</v>
      </c>
      <c r="Y413">
        <v>0</v>
      </c>
    </row>
    <row r="414" spans="1:25">
      <c r="A414" s="8">
        <v>481</v>
      </c>
      <c r="B414">
        <v>78</v>
      </c>
      <c r="C414" s="1">
        <v>75.099999999999994</v>
      </c>
      <c r="D414" s="2" t="str">
        <f>HYPERLINK("https://torgi.gov.ru/new/public/lots/lot/21000002210000000023_1/(lotInfo:info)", "21000002210000000023_1")</f>
        <v>21000002210000000023_1</v>
      </c>
      <c r="E414" t="s">
        <v>1797</v>
      </c>
      <c r="F414" s="3" t="s">
        <v>1798</v>
      </c>
      <c r="G414" t="s">
        <v>1799</v>
      </c>
      <c r="H414" s="4">
        <v>5200000</v>
      </c>
      <c r="I414" s="4">
        <v>69241.011984021316</v>
      </c>
      <c r="J414" s="5" t="s">
        <v>29</v>
      </c>
      <c r="K414" s="5">
        <v>4.55</v>
      </c>
      <c r="L414" s="4">
        <v>1236.45</v>
      </c>
      <c r="M414">
        <v>15227</v>
      </c>
      <c r="N414" t="s">
        <v>1783</v>
      </c>
      <c r="O414">
        <v>56</v>
      </c>
      <c r="P414" s="6">
        <v>400</v>
      </c>
      <c r="Q414" t="s">
        <v>31</v>
      </c>
      <c r="R414" t="s">
        <v>32</v>
      </c>
      <c r="S414" s="2" t="str">
        <f>HYPERLINK("https://yandex.ru/maps/?&amp;text=59.921209, 30.278525", "59.921209, 30.278525")</f>
        <v>59.921209, 30.278525</v>
      </c>
      <c r="T414" s="2" t="str">
        <f>HYPERLINK("D:\venv_torgi\env\cache\objs_in_district/59.921209_30.278525.json", "59.921209_30.278525.json")</f>
        <v>59.921209_30.278525.json</v>
      </c>
      <c r="U414" t="s">
        <v>1800</v>
      </c>
      <c r="V414" s="7" t="s">
        <v>34</v>
      </c>
      <c r="W414" s="16">
        <v>140293.7895031817</v>
      </c>
      <c r="X414" s="14">
        <v>71052.777519160387</v>
      </c>
      <c r="Y414">
        <v>0</v>
      </c>
    </row>
    <row r="415" spans="1:25">
      <c r="A415" s="8">
        <v>482</v>
      </c>
      <c r="B415">
        <v>78</v>
      </c>
      <c r="C415" s="1">
        <v>57.7</v>
      </c>
      <c r="D415" s="2" t="str">
        <f>HYPERLINK("https://torgi.gov.ru/new/public/lots/lot/21000002210000000212_1/(lotInfo:info)", "21000002210000000212_1")</f>
        <v>21000002210000000212_1</v>
      </c>
      <c r="E415" t="s">
        <v>1801</v>
      </c>
      <c r="F415" s="3" t="s">
        <v>1802</v>
      </c>
      <c r="G415" t="s">
        <v>1803</v>
      </c>
      <c r="H415" s="4">
        <v>4100000</v>
      </c>
      <c r="I415" s="4">
        <v>71057.192374350081</v>
      </c>
      <c r="J415" s="5" t="s">
        <v>29</v>
      </c>
      <c r="K415" s="5">
        <v>10.51</v>
      </c>
      <c r="L415" s="4">
        <v>602.17999999999995</v>
      </c>
      <c r="M415">
        <v>6762</v>
      </c>
      <c r="N415" t="s">
        <v>1783</v>
      </c>
      <c r="O415">
        <v>118</v>
      </c>
      <c r="P415" s="6">
        <v>100</v>
      </c>
      <c r="Q415" t="s">
        <v>31</v>
      </c>
      <c r="R415" t="s">
        <v>32</v>
      </c>
      <c r="S415" s="2" t="str">
        <f>HYPERLINK("https://yandex.ru/maps/?&amp;text=59.913618, 30.281301", "59.913618, 30.281301")</f>
        <v>59.913618, 30.281301</v>
      </c>
      <c r="T415" s="2" t="str">
        <f>HYPERLINK("D:\venv_torgi\env\cache\objs_in_district/59.913618_30.281301.json", "59.913618_30.281301.json")</f>
        <v>59.913618_30.281301.json</v>
      </c>
      <c r="U415" t="s">
        <v>1804</v>
      </c>
      <c r="V415" s="7" t="s">
        <v>39</v>
      </c>
      <c r="W415" s="16">
        <v>106857.6943578194</v>
      </c>
      <c r="X415" s="14">
        <v>35800.501983469338</v>
      </c>
      <c r="Y415">
        <v>0</v>
      </c>
    </row>
    <row r="416" spans="1:25">
      <c r="A416" s="8">
        <v>483</v>
      </c>
      <c r="B416">
        <v>78</v>
      </c>
      <c r="C416" s="1">
        <v>39.1</v>
      </c>
      <c r="D416" s="2" t="str">
        <f>HYPERLINK("https://torgi.gov.ru/new/public/lots/lot/21000002210000000649_1/(lotInfo:info)", "21000002210000000649_1")</f>
        <v>21000002210000000649_1</v>
      </c>
      <c r="E416" t="s">
        <v>1805</v>
      </c>
      <c r="F416" s="3" t="s">
        <v>1806</v>
      </c>
      <c r="G416" t="s">
        <v>1807</v>
      </c>
      <c r="H416" s="4">
        <v>3000000</v>
      </c>
      <c r="I416" s="4">
        <v>76726.342710997444</v>
      </c>
      <c r="J416" s="5" t="s">
        <v>29</v>
      </c>
      <c r="K416" s="5">
        <v>5.04</v>
      </c>
      <c r="L416" s="4">
        <v>1257.8</v>
      </c>
      <c r="M416">
        <v>15227</v>
      </c>
      <c r="N416" t="s">
        <v>1783</v>
      </c>
      <c r="O416">
        <v>61</v>
      </c>
      <c r="P416" s="6">
        <v>600</v>
      </c>
      <c r="Q416" t="s">
        <v>31</v>
      </c>
      <c r="R416" t="s">
        <v>32</v>
      </c>
      <c r="S416" s="2" t="str">
        <f>HYPERLINK("https://yandex.ru/maps/?&amp;text=59.919712, 30.277555", "59.919712, 30.277555")</f>
        <v>59.919712, 30.277555</v>
      </c>
      <c r="T416" s="2" t="str">
        <f>HYPERLINK("D:\venv_torgi\env\cache\objs_in_district/59.919712_30.277555.json", "59.919712_30.277555.json")</f>
        <v>59.919712_30.277555.json</v>
      </c>
      <c r="U416" t="s">
        <v>1808</v>
      </c>
      <c r="V416" s="7" t="s">
        <v>39</v>
      </c>
      <c r="W416" s="16">
        <v>104221.7142191657</v>
      </c>
      <c r="X416" s="14">
        <v>27495.371508168231</v>
      </c>
      <c r="Y416">
        <v>0</v>
      </c>
    </row>
    <row r="417" spans="1:25">
      <c r="A417" s="8">
        <v>484</v>
      </c>
      <c r="B417">
        <v>78</v>
      </c>
      <c r="C417" s="1">
        <v>14</v>
      </c>
      <c r="D417" s="2" t="str">
        <f>HYPERLINK("https://torgi.gov.ru/new/public/lots/lot/21000002210000000271_1/(lotInfo:info)", "21000002210000000271_1")</f>
        <v>21000002210000000271_1</v>
      </c>
      <c r="E417" t="s">
        <v>1809</v>
      </c>
      <c r="F417" s="3" t="s">
        <v>1790</v>
      </c>
      <c r="G417" t="s">
        <v>1810</v>
      </c>
      <c r="H417" s="4">
        <v>1080000</v>
      </c>
      <c r="I417" s="4">
        <v>77142.857142857145</v>
      </c>
      <c r="J417" s="5" t="s">
        <v>29</v>
      </c>
      <c r="K417" s="5">
        <v>12.38</v>
      </c>
      <c r="L417" s="4">
        <v>1285.7</v>
      </c>
      <c r="M417">
        <v>6233</v>
      </c>
      <c r="N417" t="s">
        <v>1783</v>
      </c>
      <c r="O417">
        <v>60</v>
      </c>
      <c r="P417" s="6">
        <v>400</v>
      </c>
      <c r="Q417" t="s">
        <v>31</v>
      </c>
      <c r="R417" t="s">
        <v>32</v>
      </c>
      <c r="S417" s="2" t="str">
        <f>HYPERLINK("https://yandex.ru/maps/?&amp;text=59.954502, 30.409113", "59.954502, 30.409113")</f>
        <v>59.954502, 30.409113</v>
      </c>
      <c r="T417" s="2" t="str">
        <f>HYPERLINK("D:\venv_torgi\env\cache\objs_in_district/59.954502_30.409113.json", "59.954502_30.409113.json")</f>
        <v>59.954502_30.409113.json</v>
      </c>
      <c r="U417" t="s">
        <v>1811</v>
      </c>
      <c r="V417" s="7" t="s">
        <v>39</v>
      </c>
      <c r="W417" s="16">
        <v>105981.93836334829</v>
      </c>
      <c r="X417" s="14">
        <v>28839.081220491189</v>
      </c>
      <c r="Y417">
        <v>0</v>
      </c>
    </row>
    <row r="418" spans="1:25">
      <c r="A418" s="8">
        <v>485</v>
      </c>
      <c r="B418">
        <v>78</v>
      </c>
      <c r="C418" s="1">
        <v>10.7</v>
      </c>
      <c r="D418" s="2" t="str">
        <f>HYPERLINK("https://torgi.gov.ru/new/public/lots/lot/21000002210000000115_1/(lotInfo:info)", "21000002210000000115_1")</f>
        <v>21000002210000000115_1</v>
      </c>
      <c r="E418" t="s">
        <v>1812</v>
      </c>
      <c r="F418" s="3" t="s">
        <v>1813</v>
      </c>
      <c r="G418" t="s">
        <v>1814</v>
      </c>
      <c r="H418" s="4">
        <v>857013</v>
      </c>
      <c r="I418" s="4">
        <v>80094.672897196273</v>
      </c>
      <c r="J418" s="5" t="s">
        <v>29</v>
      </c>
      <c r="K418" s="5">
        <v>29.5</v>
      </c>
      <c r="L418" s="4">
        <v>1291.8399999999999</v>
      </c>
      <c r="M418">
        <v>2715</v>
      </c>
      <c r="N418" t="s">
        <v>2076</v>
      </c>
      <c r="O418">
        <v>62</v>
      </c>
      <c r="P418" s="6">
        <v>1300</v>
      </c>
      <c r="Q418" t="s">
        <v>855</v>
      </c>
      <c r="R418" t="s">
        <v>32</v>
      </c>
      <c r="S418" s="2" t="str">
        <f>HYPERLINK("https://yandex.ru/maps/?&amp;text=59.91586, 29.764913", "59.91586, 29.764913")</f>
        <v>59.91586, 29.764913</v>
      </c>
      <c r="T418" s="2" t="str">
        <f>HYPERLINK("D:\venv_torgi\env\cache\objs_in_district/59.91586_29.764913.json", "59.91586_29.764913.json")</f>
        <v>59.91586_29.764913.json</v>
      </c>
      <c r="U418" t="s">
        <v>1815</v>
      </c>
      <c r="V418" s="7" t="s">
        <v>128</v>
      </c>
      <c r="W418" s="16">
        <v>92216.844738822983</v>
      </c>
      <c r="X418" s="14">
        <v>12122.17184162671</v>
      </c>
      <c r="Y418">
        <v>0</v>
      </c>
    </row>
    <row r="419" spans="1:25">
      <c r="A419" s="8">
        <v>486</v>
      </c>
      <c r="B419">
        <v>78</v>
      </c>
      <c r="C419" s="1">
        <v>43.7</v>
      </c>
      <c r="D419" s="2" t="str">
        <f>HYPERLINK("https://torgi.gov.ru/new/public/lots/lot/21000002210000000296_1/(lotInfo:info)", "21000002210000000296_1")</f>
        <v>21000002210000000296_1</v>
      </c>
      <c r="E419" t="s">
        <v>1816</v>
      </c>
      <c r="F419" s="3" t="s">
        <v>1817</v>
      </c>
      <c r="G419" t="s">
        <v>1818</v>
      </c>
      <c r="H419" s="4">
        <v>3584000</v>
      </c>
      <c r="I419" s="4">
        <v>82013.729977116702</v>
      </c>
      <c r="J419" s="5" t="s">
        <v>29</v>
      </c>
      <c r="K419" s="5">
        <v>26.19</v>
      </c>
      <c r="L419" s="4">
        <v>2828.03</v>
      </c>
      <c r="M419">
        <v>3132</v>
      </c>
      <c r="N419" t="s">
        <v>2077</v>
      </c>
      <c r="O419">
        <v>29</v>
      </c>
      <c r="P419" s="6">
        <v>600</v>
      </c>
      <c r="Q419" t="s">
        <v>31</v>
      </c>
      <c r="R419" t="s">
        <v>32</v>
      </c>
      <c r="S419" s="2" t="str">
        <f>HYPERLINK("https://yandex.ru/maps/?&amp;text=59.881886, 29.900828", "59.881886, 29.900828")</f>
        <v>59.881886, 29.900828</v>
      </c>
      <c r="T419" s="2" t="str">
        <f>HYPERLINK("D:\venv_torgi\env\cache\objs_in_district/59.881886_29.900828.json", "59.881886_29.900828.json")</f>
        <v>59.881886_29.900828.json</v>
      </c>
      <c r="U419" t="s">
        <v>1819</v>
      </c>
      <c r="V419" s="7" t="s">
        <v>34</v>
      </c>
      <c r="W419" s="16">
        <v>137210.17774425761</v>
      </c>
      <c r="X419" s="14">
        <v>55196.447767140853</v>
      </c>
      <c r="Y419">
        <v>0</v>
      </c>
    </row>
    <row r="420" spans="1:25">
      <c r="A420" s="8">
        <v>487</v>
      </c>
      <c r="B420">
        <v>78</v>
      </c>
      <c r="C420" s="1">
        <v>89.4</v>
      </c>
      <c r="D420" s="2" t="str">
        <f>HYPERLINK("https://torgi.gov.ru/new/public/lots/lot/21000002210000000033_1/(lotInfo:info)", "21000002210000000033_1")</f>
        <v>21000002210000000033_1</v>
      </c>
      <c r="E420" t="s">
        <v>1820</v>
      </c>
      <c r="F420" s="3" t="s">
        <v>1821</v>
      </c>
      <c r="G420" t="s">
        <v>1822</v>
      </c>
      <c r="H420" s="4">
        <v>7380000</v>
      </c>
      <c r="I420" s="4">
        <v>82550.33557046979</v>
      </c>
      <c r="J420" s="5" t="s">
        <v>29</v>
      </c>
      <c r="K420" s="5">
        <v>10.11</v>
      </c>
      <c r="L420" s="4">
        <v>771.5</v>
      </c>
      <c r="M420">
        <v>8163</v>
      </c>
      <c r="N420" t="s">
        <v>1783</v>
      </c>
      <c r="O420">
        <v>107</v>
      </c>
      <c r="Q420" t="s">
        <v>31</v>
      </c>
      <c r="R420" t="s">
        <v>32</v>
      </c>
      <c r="S420" s="2" t="str">
        <f>HYPERLINK("https://yandex.ru/maps/?&amp;text=59.887747, 30.270261", "59.887747, 30.270261")</f>
        <v>59.887747, 30.270261</v>
      </c>
      <c r="T420" s="2" t="str">
        <f>HYPERLINK("D:\venv_torgi\env\cache\objs_in_district/59.887747_30.270261.json", "59.887747_30.270261.json")</f>
        <v>59.887747_30.270261.json</v>
      </c>
      <c r="U420" t="s">
        <v>1823</v>
      </c>
      <c r="V420" s="7" t="s">
        <v>39</v>
      </c>
      <c r="W420" s="16">
        <v>103843.9871315497</v>
      </c>
      <c r="X420" s="14">
        <v>21293.651561079911</v>
      </c>
      <c r="Y420">
        <v>0</v>
      </c>
    </row>
    <row r="421" spans="1:25">
      <c r="A421" s="8">
        <v>488</v>
      </c>
      <c r="B421">
        <v>78</v>
      </c>
      <c r="C421" s="1">
        <v>30.8</v>
      </c>
      <c r="D421" s="2" t="str">
        <f>HYPERLINK("https://torgi.gov.ru/new/public/lots/lot/21000002210000000015_1/(lotInfo:info)", "21000002210000000015_1")</f>
        <v>21000002210000000015_1</v>
      </c>
      <c r="E421" t="s">
        <v>1824</v>
      </c>
      <c r="F421" s="3" t="s">
        <v>1825</v>
      </c>
      <c r="G421" t="s">
        <v>1826</v>
      </c>
      <c r="H421" s="4">
        <v>2640000</v>
      </c>
      <c r="I421" s="4">
        <v>85714.28571428571</v>
      </c>
      <c r="J421" s="5" t="s">
        <v>29</v>
      </c>
      <c r="K421" s="5">
        <v>4.99</v>
      </c>
      <c r="L421" s="4">
        <v>468.38</v>
      </c>
      <c r="M421">
        <v>17188</v>
      </c>
      <c r="N421" t="s">
        <v>1783</v>
      </c>
      <c r="O421">
        <v>183</v>
      </c>
      <c r="P421" s="6">
        <v>200</v>
      </c>
      <c r="Q421" t="s">
        <v>31</v>
      </c>
      <c r="R421" t="s">
        <v>32</v>
      </c>
      <c r="S421" s="2" t="str">
        <f>HYPERLINK("https://yandex.ru/maps/?&amp;text=59.917917, 30.294282", "59.917917, 30.294282")</f>
        <v>59.917917, 30.294282</v>
      </c>
      <c r="T421" s="2" t="str">
        <f>HYPERLINK("D:\venv_torgi\env\cache\objs_in_district/59.917917_30.294282.json", "59.917917_30.294282.json")</f>
        <v>59.917917_30.294282.json</v>
      </c>
      <c r="U421" t="s">
        <v>1827</v>
      </c>
      <c r="V421" s="7" t="s">
        <v>39</v>
      </c>
      <c r="W421" s="16">
        <v>113235.4200545964</v>
      </c>
      <c r="X421" s="14">
        <v>27521.134340310669</v>
      </c>
      <c r="Y421">
        <v>0</v>
      </c>
    </row>
    <row r="422" spans="1:25">
      <c r="A422" s="8">
        <v>489</v>
      </c>
      <c r="B422">
        <v>78</v>
      </c>
      <c r="C422" s="1">
        <v>19</v>
      </c>
      <c r="D422" s="2" t="str">
        <f>HYPERLINK("https://torgi.gov.ru/new/public/lots/lot/21000002210000000578_1/(lotInfo:info)", "21000002210000000578_1")</f>
        <v>21000002210000000578_1</v>
      </c>
      <c r="E422" t="s">
        <v>1828</v>
      </c>
      <c r="F422" s="3" t="s">
        <v>1829</v>
      </c>
      <c r="G422" t="s">
        <v>1830</v>
      </c>
      <c r="H422" s="4">
        <v>1704000</v>
      </c>
      <c r="I422" s="4">
        <v>89684.210526315786</v>
      </c>
      <c r="J422" s="5" t="s">
        <v>29</v>
      </c>
      <c r="K422" s="5">
        <v>11.64</v>
      </c>
      <c r="L422" s="4">
        <v>800.75</v>
      </c>
      <c r="M422">
        <v>7708</v>
      </c>
      <c r="N422" t="s">
        <v>1783</v>
      </c>
      <c r="O422">
        <v>112</v>
      </c>
      <c r="P422" s="6">
        <v>100</v>
      </c>
      <c r="Q422" t="s">
        <v>31</v>
      </c>
      <c r="R422" t="s">
        <v>32</v>
      </c>
      <c r="S422" s="2" t="str">
        <f>HYPERLINK("https://yandex.ru/maps/?&amp;text=59.946851, 30.343689", "59.946851, 30.343689")</f>
        <v>59.946851, 30.343689</v>
      </c>
      <c r="T422" s="2" t="str">
        <f>HYPERLINK("D:\venv_torgi\env\cache\objs_in_district/59.946851_30.343689.json", "59.946851_30.343689.json")</f>
        <v>59.946851_30.343689.json</v>
      </c>
      <c r="U422" t="s">
        <v>1831</v>
      </c>
      <c r="V422" s="7" t="s">
        <v>34</v>
      </c>
      <c r="W422" s="16">
        <v>148186.9071975374</v>
      </c>
      <c r="X422" s="14">
        <v>58502.696671221638</v>
      </c>
      <c r="Y422">
        <v>0</v>
      </c>
    </row>
    <row r="423" spans="1:25">
      <c r="A423" s="8">
        <v>490</v>
      </c>
      <c r="B423">
        <v>78</v>
      </c>
      <c r="C423" s="1">
        <v>19.399999999999999</v>
      </c>
      <c r="D423" s="2" t="str">
        <f>HYPERLINK("https://torgi.gov.ru/new/public/lots/lot/21000002210000000321_1/(lotInfo:info)", "21000002210000000321_1")</f>
        <v>21000002210000000321_1</v>
      </c>
      <c r="E423" t="s">
        <v>1832</v>
      </c>
      <c r="F423" s="3" t="s">
        <v>1833</v>
      </c>
      <c r="G423" t="s">
        <v>1834</v>
      </c>
      <c r="H423" s="4">
        <v>1745000</v>
      </c>
      <c r="I423" s="4">
        <v>89948.453608247422</v>
      </c>
      <c r="J423" s="5" t="s">
        <v>29</v>
      </c>
      <c r="K423" s="5">
        <v>13.21</v>
      </c>
      <c r="L423" s="4">
        <v>1083.71</v>
      </c>
      <c r="M423">
        <v>6808</v>
      </c>
      <c r="N423" t="s">
        <v>1783</v>
      </c>
      <c r="O423">
        <v>83</v>
      </c>
      <c r="Q423" t="s">
        <v>31</v>
      </c>
      <c r="R423" t="s">
        <v>32</v>
      </c>
      <c r="S423" s="2" t="str">
        <f>HYPERLINK("https://yandex.ru/maps/?&amp;text=59.873451, 30.384005", "59.873451, 30.384005")</f>
        <v>59.873451, 30.384005</v>
      </c>
      <c r="T423" s="2" t="str">
        <f>HYPERLINK("D:\venv_torgi\env\cache\objs_in_district/59.873451_30.384005.json", "59.873451_30.384005.json")</f>
        <v>59.873451_30.384005.json</v>
      </c>
      <c r="U423" t="s">
        <v>1835</v>
      </c>
      <c r="V423" s="7" t="s">
        <v>39</v>
      </c>
      <c r="W423" s="16">
        <v>107441.82996246019</v>
      </c>
      <c r="X423" s="14">
        <v>17493.376354212789</v>
      </c>
      <c r="Y423">
        <v>0</v>
      </c>
    </row>
    <row r="424" spans="1:25">
      <c r="A424" s="8">
        <v>491</v>
      </c>
      <c r="B424">
        <v>78</v>
      </c>
      <c r="C424" s="1">
        <v>22.6</v>
      </c>
      <c r="D424" s="2" t="str">
        <f>HYPERLINK("https://torgi.gov.ru/new/public/lots/lot/21000002210000000346_1/(lotInfo:info)", "21000002210000000346_1")</f>
        <v>21000002210000000346_1</v>
      </c>
      <c r="E424" t="s">
        <v>1836</v>
      </c>
      <c r="F424" s="3" t="s">
        <v>1837</v>
      </c>
      <c r="G424" t="s">
        <v>1838</v>
      </c>
      <c r="H424" s="4">
        <v>2060000</v>
      </c>
      <c r="I424" s="4">
        <v>91150.442477876102</v>
      </c>
      <c r="J424" s="5" t="s">
        <v>29</v>
      </c>
      <c r="K424" s="5">
        <v>8.36</v>
      </c>
      <c r="L424" s="4">
        <v>506.39</v>
      </c>
      <c r="M424">
        <v>10908</v>
      </c>
      <c r="N424" t="s">
        <v>1783</v>
      </c>
      <c r="O424">
        <v>180</v>
      </c>
      <c r="P424" s="6">
        <v>400</v>
      </c>
      <c r="Q424" t="s">
        <v>31</v>
      </c>
      <c r="R424" t="s">
        <v>32</v>
      </c>
      <c r="S424" s="2" t="str">
        <f>HYPERLINK("https://yandex.ru/maps/?&amp;text=59.926715, 30.302447", "59.926715, 30.302447")</f>
        <v>59.926715, 30.302447</v>
      </c>
      <c r="T424" s="2" t="str">
        <f>HYPERLINK("D:\venv_torgi\env\cache\objs_in_district/59.926715_30.302447.json", "59.926715_30.302447.json")</f>
        <v>59.926715_30.302447.json</v>
      </c>
      <c r="U424" t="s">
        <v>1839</v>
      </c>
      <c r="V424" s="7" t="s">
        <v>39</v>
      </c>
      <c r="W424" s="16">
        <v>113216.8159094148</v>
      </c>
      <c r="X424" s="14">
        <v>22066.37343153865</v>
      </c>
      <c r="Y424">
        <v>0</v>
      </c>
    </row>
    <row r="425" spans="1:25">
      <c r="A425" s="8">
        <v>492</v>
      </c>
      <c r="B425">
        <v>78</v>
      </c>
      <c r="C425" s="1">
        <v>15.8</v>
      </c>
      <c r="D425" s="2" t="str">
        <f>HYPERLINK("https://torgi.gov.ru/new/public/lots/lot/21000002210000000077_1/(lotInfo:info)", "21000002210000000077_1")</f>
        <v>21000002210000000077_1</v>
      </c>
      <c r="E425" t="s">
        <v>1840</v>
      </c>
      <c r="F425" s="3" t="s">
        <v>1841</v>
      </c>
      <c r="G425" t="s">
        <v>1842</v>
      </c>
      <c r="H425" s="4">
        <v>1460000</v>
      </c>
      <c r="I425" s="4">
        <v>92405.063291139231</v>
      </c>
      <c r="J425" s="5" t="s">
        <v>29</v>
      </c>
      <c r="K425" s="5">
        <v>6.33</v>
      </c>
      <c r="L425" s="4">
        <v>624.36</v>
      </c>
      <c r="M425">
        <v>14596</v>
      </c>
      <c r="N425" t="s">
        <v>1783</v>
      </c>
      <c r="O425">
        <v>148</v>
      </c>
      <c r="P425" s="6">
        <v>100</v>
      </c>
      <c r="Q425" t="s">
        <v>31</v>
      </c>
      <c r="R425" t="s">
        <v>32</v>
      </c>
      <c r="S425" s="2" t="str">
        <f>HYPERLINK("https://yandex.ru/maps/?&amp;text=59.924149, 30.283708", "59.924149, 30.283708")</f>
        <v>59.924149, 30.283708</v>
      </c>
      <c r="T425" s="2" t="str">
        <f>HYPERLINK("D:\venv_torgi\env\cache\objs_in_district/59.924149_30.283708.json", "59.924149_30.283708.json")</f>
        <v>59.924149_30.283708.json</v>
      </c>
      <c r="U425" t="s">
        <v>1843</v>
      </c>
      <c r="V425" s="7" t="s">
        <v>34</v>
      </c>
      <c r="W425" s="16">
        <v>150953.35902920039</v>
      </c>
      <c r="X425" s="14">
        <v>58548.295738061162</v>
      </c>
      <c r="Y425">
        <v>0</v>
      </c>
    </row>
    <row r="426" spans="1:25">
      <c r="A426" s="8">
        <v>493</v>
      </c>
      <c r="B426">
        <v>78</v>
      </c>
      <c r="C426" s="1">
        <v>20.8</v>
      </c>
      <c r="D426" s="2" t="str">
        <f>HYPERLINK("https://torgi.gov.ru/new/public/lots/lot/21000002210000000016_1/(lotInfo:info)", "21000002210000000016_1")</f>
        <v>21000002210000000016_1</v>
      </c>
      <c r="E426" t="s">
        <v>1844</v>
      </c>
      <c r="F426" s="3" t="s">
        <v>1825</v>
      </c>
      <c r="G426" t="s">
        <v>1845</v>
      </c>
      <c r="H426" s="4">
        <v>2000000</v>
      </c>
      <c r="I426" s="4">
        <v>96153.846153846156</v>
      </c>
      <c r="J426" s="5" t="s">
        <v>29</v>
      </c>
      <c r="K426" s="5">
        <v>5.59</v>
      </c>
      <c r="L426" s="4">
        <v>525.42999999999995</v>
      </c>
      <c r="M426">
        <v>17188</v>
      </c>
      <c r="N426" t="s">
        <v>1783</v>
      </c>
      <c r="O426">
        <v>183</v>
      </c>
      <c r="P426" s="6">
        <v>200</v>
      </c>
      <c r="Q426" t="s">
        <v>31</v>
      </c>
      <c r="R426" t="s">
        <v>32</v>
      </c>
      <c r="S426" s="2" t="str">
        <f>HYPERLINK("https://yandex.ru/maps/?&amp;text=59.917917, 30.294282", "59.917917, 30.294282")</f>
        <v>59.917917, 30.294282</v>
      </c>
      <c r="T426" s="2" t="str">
        <f>HYPERLINK("D:\venv_torgi\env\cache\objs_in_district/59.917917_30.294282.json", "59.917917_30.294282.json")</f>
        <v>59.917917_30.294282.json</v>
      </c>
      <c r="U426" t="s">
        <v>1846</v>
      </c>
      <c r="V426" s="7" t="s">
        <v>39</v>
      </c>
      <c r="W426" s="16">
        <v>113976.1449848732</v>
      </c>
      <c r="X426" s="14">
        <v>17822.298831027059</v>
      </c>
      <c r="Y426">
        <v>0</v>
      </c>
    </row>
    <row r="427" spans="1:25">
      <c r="A427" s="8">
        <v>494</v>
      </c>
      <c r="B427">
        <v>78</v>
      </c>
      <c r="C427" s="1">
        <v>64.900000000000006</v>
      </c>
      <c r="D427" s="2" t="str">
        <f>HYPERLINK("https://torgi.gov.ru/new/public/lots/lot/21000002210000000173_1/(lotInfo:info)", "21000002210000000173_1")</f>
        <v>21000002210000000173_1</v>
      </c>
      <c r="E427" t="s">
        <v>1847</v>
      </c>
      <c r="F427" s="3" t="s">
        <v>1848</v>
      </c>
      <c r="G427" t="s">
        <v>1849</v>
      </c>
      <c r="H427" s="4">
        <v>6320000</v>
      </c>
      <c r="I427" s="4">
        <v>97380.585516178733</v>
      </c>
      <c r="J427" s="5" t="s">
        <v>29</v>
      </c>
      <c r="K427" s="5">
        <v>5.26</v>
      </c>
      <c r="L427" s="4">
        <v>475.02</v>
      </c>
      <c r="M427">
        <v>18515</v>
      </c>
      <c r="N427" t="s">
        <v>1783</v>
      </c>
      <c r="O427">
        <v>205</v>
      </c>
      <c r="P427" s="6">
        <v>100</v>
      </c>
      <c r="Q427" t="s">
        <v>31</v>
      </c>
      <c r="R427" t="s">
        <v>32</v>
      </c>
      <c r="S427" s="2" t="str">
        <f>HYPERLINK("https://yandex.ru/maps/?&amp;text=59.91908, 30.289503", "59.91908, 30.289503")</f>
        <v>59.91908, 30.289503</v>
      </c>
      <c r="T427" s="2" t="str">
        <f>HYPERLINK("D:\venv_torgi\env\cache\objs_in_district/59.91908_30.289503.json", "59.91908_30.289503.json")</f>
        <v>59.91908_30.289503.json</v>
      </c>
      <c r="U427" t="s">
        <v>1850</v>
      </c>
      <c r="V427" s="7" t="s">
        <v>39</v>
      </c>
      <c r="W427" s="16">
        <v>112287.4172687801</v>
      </c>
      <c r="X427" s="14">
        <v>14906.831752601391</v>
      </c>
      <c r="Y427">
        <v>0</v>
      </c>
    </row>
    <row r="428" spans="1:25">
      <c r="A428" s="8">
        <v>495</v>
      </c>
      <c r="B428">
        <v>78</v>
      </c>
      <c r="C428" s="1">
        <v>79.7</v>
      </c>
      <c r="D428" s="2" t="str">
        <f>HYPERLINK("https://torgi.gov.ru/new/public/lots/lot/21000002210000000061_1/(lotInfo:info)", "21000002210000000061_1")</f>
        <v>21000002210000000061_1</v>
      </c>
      <c r="E428" t="s">
        <v>1851</v>
      </c>
      <c r="F428" s="3" t="s">
        <v>1852</v>
      </c>
      <c r="G428" t="s">
        <v>1853</v>
      </c>
      <c r="H428" s="4">
        <v>7800000</v>
      </c>
      <c r="I428" s="4">
        <v>97867.001254705145</v>
      </c>
      <c r="J428" s="5" t="s">
        <v>29</v>
      </c>
      <c r="K428" s="5">
        <v>18.27</v>
      </c>
      <c r="L428" s="4">
        <v>1223.3399999999999</v>
      </c>
      <c r="M428">
        <v>5358</v>
      </c>
      <c r="N428" t="s">
        <v>1783</v>
      </c>
      <c r="O428">
        <v>80</v>
      </c>
      <c r="P428" s="6">
        <v>600</v>
      </c>
      <c r="Q428" t="s">
        <v>31</v>
      </c>
      <c r="R428" t="s">
        <v>32</v>
      </c>
      <c r="S428" s="2" t="str">
        <f>HYPERLINK("https://yandex.ru/maps/?&amp;text=59.908678, 30.275938", "59.908678, 30.275938")</f>
        <v>59.908678, 30.275938</v>
      </c>
      <c r="T428" s="2" t="str">
        <f>HYPERLINK("D:\venv_torgi\env\cache\objs_in_district/59.908678_30.275938.json", "59.908678_30.275938.json")</f>
        <v>59.908678_30.275938.json</v>
      </c>
      <c r="U428" t="s">
        <v>1854</v>
      </c>
      <c r="V428" s="7" t="s">
        <v>34</v>
      </c>
      <c r="W428" s="16">
        <v>140956.23009790471</v>
      </c>
      <c r="X428" s="14">
        <v>43089.228843199598</v>
      </c>
      <c r="Y428">
        <v>0</v>
      </c>
    </row>
    <row r="429" spans="1:25">
      <c r="A429" s="8">
        <v>496</v>
      </c>
      <c r="B429">
        <v>78</v>
      </c>
      <c r="C429" s="1">
        <v>86.8</v>
      </c>
      <c r="D429" s="2" t="str">
        <f>HYPERLINK("https://torgi.gov.ru/new/public/lots/lot/21000002210000000274_1/(lotInfo:info)", "21000002210000000274_1")</f>
        <v>21000002210000000274_1</v>
      </c>
      <c r="E429" t="s">
        <v>1855</v>
      </c>
      <c r="F429" s="3" t="s">
        <v>1790</v>
      </c>
      <c r="G429" t="s">
        <v>1856</v>
      </c>
      <c r="H429" s="4">
        <v>8600000</v>
      </c>
      <c r="I429" s="4">
        <v>99078.341013824887</v>
      </c>
      <c r="J429" s="5" t="s">
        <v>29</v>
      </c>
      <c r="K429" s="5">
        <v>11.34</v>
      </c>
      <c r="L429" s="4">
        <v>750.59</v>
      </c>
      <c r="M429">
        <v>8739</v>
      </c>
      <c r="N429" t="s">
        <v>1783</v>
      </c>
      <c r="O429">
        <v>132</v>
      </c>
      <c r="P429" s="6">
        <v>300</v>
      </c>
      <c r="Q429" t="s">
        <v>31</v>
      </c>
      <c r="R429" t="s">
        <v>32</v>
      </c>
      <c r="S429" s="2" t="str">
        <f>HYPERLINK("https://yandex.ru/maps/?&amp;text=59.916649, 30.286098", "59.916649, 30.286098")</f>
        <v>59.916649, 30.286098</v>
      </c>
      <c r="T429" s="2" t="str">
        <f>HYPERLINK("D:\venv_torgi\env\cache\objs_in_district/59.916649_30.286098.json", "59.916649_30.286098.json")</f>
        <v>59.916649_30.286098.json</v>
      </c>
      <c r="U429" t="s">
        <v>1857</v>
      </c>
      <c r="V429" s="7" t="s">
        <v>39</v>
      </c>
      <c r="W429" s="16">
        <v>105423.76093659439</v>
      </c>
      <c r="X429" s="14">
        <v>6345.4199227695062</v>
      </c>
      <c r="Y429">
        <v>0</v>
      </c>
    </row>
    <row r="430" spans="1:25">
      <c r="A430" s="8">
        <v>497</v>
      </c>
      <c r="B430">
        <v>78</v>
      </c>
      <c r="C430" s="1">
        <v>37.299999999999997</v>
      </c>
      <c r="D430" s="2" t="str">
        <f>HYPERLINK("https://torgi.gov.ru/new/public/lots/lot/21000002210000000636_1/(lotInfo:info)", "21000002210000000636_1")</f>
        <v>21000002210000000636_1</v>
      </c>
      <c r="E430" t="s">
        <v>1858</v>
      </c>
      <c r="F430" s="3" t="s">
        <v>1859</v>
      </c>
      <c r="G430" t="s">
        <v>1860</v>
      </c>
      <c r="H430" s="4">
        <v>3720000</v>
      </c>
      <c r="I430" s="4">
        <v>99731.903485254705</v>
      </c>
      <c r="J430" s="5" t="s">
        <v>29</v>
      </c>
      <c r="K430" s="5">
        <v>6.55</v>
      </c>
      <c r="L430" s="4">
        <v>1917.9</v>
      </c>
      <c r="M430">
        <v>15227</v>
      </c>
      <c r="N430" t="s">
        <v>1783</v>
      </c>
      <c r="O430">
        <v>52</v>
      </c>
      <c r="P430" s="6">
        <v>700</v>
      </c>
      <c r="Q430" t="s">
        <v>31</v>
      </c>
      <c r="R430" t="s">
        <v>32</v>
      </c>
      <c r="S430" s="2" t="str">
        <f>HYPERLINK("https://yandex.ru/maps/?&amp;text=59.919193, 30.276378", "59.919193, 30.276378")</f>
        <v>59.919193, 30.276378</v>
      </c>
      <c r="T430" s="2" t="str">
        <f>HYPERLINK("D:\venv_torgi\env\cache\objs_in_district/59.919193_30.276378.json", "59.919193_30.276378.json")</f>
        <v>59.919193_30.276378.json</v>
      </c>
      <c r="U430" t="s">
        <v>1861</v>
      </c>
      <c r="V430" s="7" t="s">
        <v>39</v>
      </c>
      <c r="W430" s="16">
        <v>103655.07232021019</v>
      </c>
      <c r="X430" s="14">
        <v>3923.1688349554902</v>
      </c>
      <c r="Y430">
        <v>0</v>
      </c>
    </row>
    <row r="431" spans="1:25">
      <c r="A431" s="8">
        <v>498</v>
      </c>
      <c r="B431">
        <v>78</v>
      </c>
      <c r="C431" s="1">
        <v>56.3</v>
      </c>
      <c r="D431" s="2" t="str">
        <f>HYPERLINK("https://torgi.gov.ru/new/public/lots/lot/21000002210000000043_1/(lotInfo:info)", "21000002210000000043_1")</f>
        <v>21000002210000000043_1</v>
      </c>
      <c r="E431" t="s">
        <v>1862</v>
      </c>
      <c r="F431" s="3" t="s">
        <v>1863</v>
      </c>
      <c r="G431" t="s">
        <v>1864</v>
      </c>
      <c r="H431" s="4">
        <v>5700000</v>
      </c>
      <c r="I431" s="4">
        <v>101243.3392539965</v>
      </c>
      <c r="J431" s="5" t="s">
        <v>29</v>
      </c>
      <c r="K431" s="5">
        <v>11.14</v>
      </c>
      <c r="L431" s="4">
        <v>252.48</v>
      </c>
      <c r="M431">
        <v>9090</v>
      </c>
      <c r="N431" t="s">
        <v>1783</v>
      </c>
      <c r="O431">
        <v>401</v>
      </c>
      <c r="P431" s="6">
        <v>200</v>
      </c>
      <c r="Q431" t="s">
        <v>31</v>
      </c>
      <c r="R431" t="s">
        <v>32</v>
      </c>
      <c r="S431" s="2" t="str">
        <f>HYPERLINK("https://yandex.ru/maps/?&amp;text=59.925619, 30.312455", "59.925619, 30.312455")</f>
        <v>59.925619, 30.312455</v>
      </c>
      <c r="T431" s="2" t="str">
        <f>HYPERLINK("D:\venv_torgi\env\cache\objs_in_district/59.925619_30.312455.json", "59.925619_30.312455.json")</f>
        <v>59.925619_30.312455.json</v>
      </c>
      <c r="U431" t="s">
        <v>1865</v>
      </c>
      <c r="V431" s="7" t="s">
        <v>34</v>
      </c>
      <c r="W431" s="16">
        <v>163959.63345672321</v>
      </c>
      <c r="X431" s="14">
        <v>62716.294202726713</v>
      </c>
      <c r="Y431">
        <v>0</v>
      </c>
    </row>
    <row r="432" spans="1:25">
      <c r="A432" s="8">
        <v>499</v>
      </c>
      <c r="B432">
        <v>78</v>
      </c>
      <c r="C432" s="1">
        <v>24.7</v>
      </c>
      <c r="D432" s="2" t="str">
        <f>HYPERLINK("https://torgi.gov.ru/new/public/lots/lot/21000002210000000236_1/(lotInfo:info)", "21000002210000000236_1")</f>
        <v>21000002210000000236_1</v>
      </c>
      <c r="E432" t="s">
        <v>1866</v>
      </c>
      <c r="F432" s="3" t="s">
        <v>1867</v>
      </c>
      <c r="G432" t="s">
        <v>1868</v>
      </c>
      <c r="H432" s="4">
        <v>2660000</v>
      </c>
      <c r="I432" s="4">
        <v>107692.3076923077</v>
      </c>
      <c r="J432" s="5" t="s">
        <v>29</v>
      </c>
      <c r="K432" s="5">
        <v>11.09</v>
      </c>
      <c r="L432" s="4">
        <v>527.9</v>
      </c>
      <c r="M432">
        <v>9714</v>
      </c>
      <c r="N432" t="s">
        <v>1783</v>
      </c>
      <c r="O432">
        <v>204</v>
      </c>
      <c r="P432" s="6">
        <v>500</v>
      </c>
      <c r="Q432" t="s">
        <v>31</v>
      </c>
      <c r="R432" t="s">
        <v>32</v>
      </c>
      <c r="S432" s="2" t="str">
        <f>HYPERLINK("https://yandex.ru/maps/?&amp;text=59.925908, 30.305322", "59.925908, 30.305322")</f>
        <v>59.925908, 30.305322</v>
      </c>
      <c r="T432" s="2" t="str">
        <f>HYPERLINK("D:\venv_torgi\env\cache\objs_in_district/59.925908_30.305322.json", "59.925908_30.305322.json")</f>
        <v>59.925908_30.305322.json</v>
      </c>
      <c r="U432" t="s">
        <v>1869</v>
      </c>
      <c r="V432" s="7" t="s">
        <v>34</v>
      </c>
      <c r="W432" s="16">
        <v>153270.29409017219</v>
      </c>
      <c r="X432" s="14">
        <v>45577.986397864523</v>
      </c>
      <c r="Y432">
        <v>0</v>
      </c>
    </row>
    <row r="433" spans="1:25">
      <c r="A433" s="8">
        <v>500</v>
      </c>
      <c r="B433">
        <v>78</v>
      </c>
      <c r="C433" s="1">
        <v>26.1</v>
      </c>
      <c r="D433" s="2" t="str">
        <f>HYPERLINK("https://torgi.gov.ru/new/public/lots/lot/21000002210000000041_1/(lotInfo:info)", "21000002210000000041_1")</f>
        <v>21000002210000000041_1</v>
      </c>
      <c r="E433" t="s">
        <v>1870</v>
      </c>
      <c r="F433" s="3" t="s">
        <v>1863</v>
      </c>
      <c r="G433" t="s">
        <v>1871</v>
      </c>
      <c r="H433" s="4">
        <v>2898000</v>
      </c>
      <c r="I433" s="4">
        <v>111034.4827586207</v>
      </c>
      <c r="J433" s="5" t="s">
        <v>29</v>
      </c>
      <c r="K433" s="5">
        <v>32.020000000000003</v>
      </c>
      <c r="L433" s="4">
        <v>3581.74</v>
      </c>
      <c r="M433">
        <v>3468</v>
      </c>
      <c r="N433" t="s">
        <v>2076</v>
      </c>
      <c r="O433">
        <v>31</v>
      </c>
      <c r="P433" s="6">
        <v>200</v>
      </c>
      <c r="Q433" t="s">
        <v>31</v>
      </c>
      <c r="R433" t="s">
        <v>32</v>
      </c>
      <c r="S433" s="2" t="str">
        <f>HYPERLINK("https://yandex.ru/maps/?&amp;text=59.7308532, 30.5769343", "59.7308532, 30.5769343")</f>
        <v>59.7308532, 30.5769343</v>
      </c>
      <c r="T433" s="2" t="str">
        <f>HYPERLINK("D:\venv_torgi\env\cache\objs_in_district/59.7308532_30.5769343.json", "59.7308532_30.5769343.json")</f>
        <v>59.7308532_30.5769343.json</v>
      </c>
      <c r="U433" t="s">
        <v>1872</v>
      </c>
      <c r="V433" s="7" t="s">
        <v>34</v>
      </c>
      <c r="W433" s="16">
        <v>139134.18303019251</v>
      </c>
      <c r="X433" s="14">
        <v>28099.700271571812</v>
      </c>
      <c r="Y433">
        <v>0</v>
      </c>
    </row>
    <row r="434" spans="1:25">
      <c r="A434" s="8">
        <v>501</v>
      </c>
      <c r="B434">
        <v>78</v>
      </c>
      <c r="C434" s="1">
        <v>11.7</v>
      </c>
      <c r="D434" s="2" t="str">
        <f>HYPERLINK("https://torgi.gov.ru/new/public/lots/lot/21000002210000000707_1/(lotInfo:info)", "21000002210000000707_1")</f>
        <v>21000002210000000707_1</v>
      </c>
      <c r="E434" t="s">
        <v>1873</v>
      </c>
      <c r="F434" s="3" t="s">
        <v>482</v>
      </c>
      <c r="G434" t="s">
        <v>1874</v>
      </c>
      <c r="H434" s="4">
        <v>1300000</v>
      </c>
      <c r="I434" s="4">
        <v>111111.11111111109</v>
      </c>
      <c r="J434" s="5" t="s">
        <v>29</v>
      </c>
      <c r="K434" s="5">
        <v>9.5299999999999994</v>
      </c>
      <c r="L434" s="4">
        <v>472.81</v>
      </c>
      <c r="M434">
        <v>11664</v>
      </c>
      <c r="N434" t="s">
        <v>1783</v>
      </c>
      <c r="O434">
        <v>235</v>
      </c>
      <c r="P434" s="6">
        <v>200</v>
      </c>
      <c r="Q434" t="s">
        <v>31</v>
      </c>
      <c r="R434" t="s">
        <v>32</v>
      </c>
      <c r="S434" s="2" t="str">
        <f>HYPERLINK("https://yandex.ru/maps/?&amp;text=59.939379, 30.357766", "59.939379, 30.357766")</f>
        <v>59.939379, 30.357766</v>
      </c>
      <c r="T434" s="2" t="str">
        <f>HYPERLINK("D:\venv_torgi\env\cache\objs_in_district/59.939379_30.357766.json", "59.939379_30.357766.json")</f>
        <v>59.939379_30.357766.json</v>
      </c>
      <c r="U434" t="s">
        <v>1875</v>
      </c>
      <c r="V434" s="7" t="s">
        <v>34</v>
      </c>
      <c r="W434" s="16">
        <v>156650.449653196</v>
      </c>
      <c r="X434" s="14">
        <v>45539.338542084937</v>
      </c>
      <c r="Y434">
        <v>0</v>
      </c>
    </row>
    <row r="435" spans="1:25">
      <c r="A435" s="8">
        <v>502</v>
      </c>
      <c r="B435">
        <v>78</v>
      </c>
      <c r="C435" s="1">
        <v>25.9</v>
      </c>
      <c r="D435" s="2" t="str">
        <f>HYPERLINK("https://torgi.gov.ru/new/public/lots/lot/21000002210000000267_1/(lotInfo:info)", "21000002210000000267_1")</f>
        <v>21000002210000000267_1</v>
      </c>
      <c r="E435" t="s">
        <v>1876</v>
      </c>
      <c r="F435" s="3" t="s">
        <v>1790</v>
      </c>
      <c r="G435" t="s">
        <v>1877</v>
      </c>
      <c r="H435" s="4">
        <v>2948000</v>
      </c>
      <c r="I435" s="4">
        <v>113822.3938223938</v>
      </c>
      <c r="J435" s="5" t="s">
        <v>29</v>
      </c>
      <c r="K435" s="5">
        <v>13.96</v>
      </c>
      <c r="L435" s="4">
        <v>1084.02</v>
      </c>
      <c r="M435">
        <v>8155</v>
      </c>
      <c r="N435" t="s">
        <v>1783</v>
      </c>
      <c r="O435">
        <v>105</v>
      </c>
      <c r="P435" s="6">
        <v>200</v>
      </c>
      <c r="Q435" t="s">
        <v>31</v>
      </c>
      <c r="R435" t="s">
        <v>32</v>
      </c>
      <c r="S435" s="2" t="str">
        <f>HYPERLINK("https://yandex.ru/maps/?&amp;text=59.947167, 30.412132", "59.947167, 30.412132")</f>
        <v>59.947167, 30.412132</v>
      </c>
      <c r="T435" s="2" t="str">
        <f>HYPERLINK("D:\venv_torgi\env\cache\objs_in_district/59.947167_30.412132.json", "59.947167_30.412132.json")</f>
        <v>59.947167_30.412132.json</v>
      </c>
      <c r="U435" t="s">
        <v>1878</v>
      </c>
      <c r="V435" s="7" t="s">
        <v>34</v>
      </c>
      <c r="W435" s="16">
        <v>147118.32645539421</v>
      </c>
      <c r="X435" s="14">
        <v>33295.932633000353</v>
      </c>
      <c r="Y435">
        <v>0</v>
      </c>
    </row>
    <row r="436" spans="1:25">
      <c r="A436" s="8">
        <v>503</v>
      </c>
      <c r="B436">
        <v>78</v>
      </c>
      <c r="C436" s="1">
        <v>49.8</v>
      </c>
      <c r="D436" s="2" t="str">
        <f>HYPERLINK("https://torgi.gov.ru/new/public/lots/lot/21000002210000000066_1/(lotInfo:info)", "21000002210000000066_1")</f>
        <v>21000002210000000066_1</v>
      </c>
      <c r="E436" t="s">
        <v>1879</v>
      </c>
      <c r="F436" s="3" t="s">
        <v>1880</v>
      </c>
      <c r="G436" t="s">
        <v>1881</v>
      </c>
      <c r="H436" s="4">
        <v>5810000</v>
      </c>
      <c r="I436" s="4">
        <v>116666.6666666667</v>
      </c>
      <c r="J436" s="5" t="s">
        <v>29</v>
      </c>
      <c r="K436" s="5">
        <v>12.24</v>
      </c>
      <c r="L436" s="4">
        <v>1100.6199999999999</v>
      </c>
      <c r="M436">
        <v>9528</v>
      </c>
      <c r="N436" t="s">
        <v>1783</v>
      </c>
      <c r="O436">
        <v>106</v>
      </c>
      <c r="P436" s="6">
        <v>200</v>
      </c>
      <c r="Q436" t="s">
        <v>31</v>
      </c>
      <c r="R436" t="s">
        <v>32</v>
      </c>
      <c r="S436" s="2" t="str">
        <f>HYPERLINK("https://yandex.ru/maps/?&amp;text=59.944256, 30.382388", "59.944256, 30.382388")</f>
        <v>59.944256, 30.382388</v>
      </c>
      <c r="T436" s="2" t="str">
        <f>HYPERLINK("D:\venv_torgi\env\cache\objs_in_district/59.944256_30.382388.json", "59.944256_30.382388.json")</f>
        <v>59.944256_30.382388.json</v>
      </c>
      <c r="U436" t="s">
        <v>1882</v>
      </c>
      <c r="V436" s="7" t="s">
        <v>39</v>
      </c>
      <c r="W436" s="16">
        <v>106634.30957353349</v>
      </c>
      <c r="X436" s="15">
        <v>-10032.357093133191</v>
      </c>
      <c r="Y436">
        <v>0</v>
      </c>
    </row>
    <row r="437" spans="1:25">
      <c r="A437" s="8">
        <v>504</v>
      </c>
      <c r="B437">
        <v>78</v>
      </c>
      <c r="C437" s="1">
        <v>16.3</v>
      </c>
      <c r="D437" s="2" t="str">
        <f>HYPERLINK("https://torgi.gov.ru/new/public/lots/lot/21000002210000000419_1/(lotInfo:info)", "21000002210000000419_1")</f>
        <v>21000002210000000419_1</v>
      </c>
      <c r="E437" t="s">
        <v>1883</v>
      </c>
      <c r="F437" s="3" t="s">
        <v>487</v>
      </c>
      <c r="G437" t="s">
        <v>1884</v>
      </c>
      <c r="H437" s="4">
        <v>1940000</v>
      </c>
      <c r="I437" s="4">
        <v>119018.4049079754</v>
      </c>
      <c r="J437" s="5" t="s">
        <v>29</v>
      </c>
      <c r="K437" s="5">
        <v>6.35</v>
      </c>
      <c r="L437" s="4">
        <v>386.42</v>
      </c>
      <c r="M437">
        <v>18744</v>
      </c>
      <c r="N437" t="s">
        <v>1783</v>
      </c>
      <c r="O437">
        <v>308</v>
      </c>
      <c r="P437" s="6">
        <v>700</v>
      </c>
      <c r="Q437" t="s">
        <v>31</v>
      </c>
      <c r="R437" t="s">
        <v>32</v>
      </c>
      <c r="S437" s="2" t="str">
        <f>HYPERLINK("https://yandex.ru/maps/?&amp;text=59.92649, 30.3519", "59.92649, 30.3519")</f>
        <v>59.92649, 30.3519</v>
      </c>
      <c r="T437" s="2" t="str">
        <f>HYPERLINK("D:\venv_torgi\env\cache\objs_in_district/59.92649_30.3519.json", "59.92649_30.3519.json")</f>
        <v>59.92649_30.3519.json</v>
      </c>
      <c r="U437" t="s">
        <v>1885</v>
      </c>
      <c r="V437" s="7" t="s">
        <v>34</v>
      </c>
      <c r="W437" s="16">
        <v>160626.53108799321</v>
      </c>
      <c r="X437" s="14">
        <v>41608.126180017804</v>
      </c>
      <c r="Y437">
        <v>0</v>
      </c>
    </row>
    <row r="438" spans="1:25">
      <c r="A438" s="8">
        <v>505</v>
      </c>
      <c r="B438">
        <v>78</v>
      </c>
      <c r="C438" s="1">
        <v>15.8</v>
      </c>
      <c r="D438" s="2" t="str">
        <f>HYPERLINK("https://torgi.gov.ru/new/public/lots/lot/21000002210000000075_1/(lotInfo:info)", "21000002210000000075_1")</f>
        <v>21000002210000000075_1</v>
      </c>
      <c r="E438" t="s">
        <v>1886</v>
      </c>
      <c r="F438" s="3" t="s">
        <v>1880</v>
      </c>
      <c r="G438" t="s">
        <v>1887</v>
      </c>
      <c r="H438" s="4">
        <v>1890000</v>
      </c>
      <c r="I438" s="4">
        <v>119620.253164557</v>
      </c>
      <c r="J438" s="5" t="s">
        <v>29</v>
      </c>
      <c r="K438" s="5">
        <v>17.29</v>
      </c>
      <c r="L438" s="4">
        <v>1898.73</v>
      </c>
      <c r="M438">
        <v>6918</v>
      </c>
      <c r="N438" t="s">
        <v>1783</v>
      </c>
      <c r="O438">
        <v>63</v>
      </c>
      <c r="P438" s="6">
        <v>400</v>
      </c>
      <c r="Q438" t="s">
        <v>31</v>
      </c>
      <c r="R438" t="s">
        <v>32</v>
      </c>
      <c r="S438" s="2" t="str">
        <f>HYPERLINK("https://yandex.ru/maps/?&amp;text=59.838385, 30.498792", "59.838385, 30.498792")</f>
        <v>59.838385, 30.498792</v>
      </c>
      <c r="T438" s="2" t="str">
        <f>HYPERLINK("D:\venv_torgi\env\cache\objs_in_district/59.838385_30.498792.json", "59.838385_30.498792.json")</f>
        <v>59.838385_30.498792.json</v>
      </c>
      <c r="U438" t="s">
        <v>1888</v>
      </c>
      <c r="V438" s="7" t="s">
        <v>34</v>
      </c>
      <c r="W438" s="16">
        <v>144882.89283610991</v>
      </c>
      <c r="X438" s="14">
        <v>25262.639671552941</v>
      </c>
      <c r="Y438">
        <v>0</v>
      </c>
    </row>
    <row r="439" spans="1:25">
      <c r="A439" s="8">
        <v>506</v>
      </c>
      <c r="B439">
        <v>78</v>
      </c>
      <c r="C439" s="1">
        <v>77.5</v>
      </c>
      <c r="D439" s="2" t="str">
        <f>HYPERLINK("https://torgi.gov.ru/new/public/lots/lot/21000002210000000777_1/(lotInfo:info)", "21000002210000000777_1")</f>
        <v>21000002210000000777_1</v>
      </c>
      <c r="E439" t="s">
        <v>1889</v>
      </c>
      <c r="F439" s="3" t="s">
        <v>1890</v>
      </c>
      <c r="G439" t="s">
        <v>1891</v>
      </c>
      <c r="H439" s="4">
        <v>9710000</v>
      </c>
      <c r="I439" s="4">
        <v>125290.3225806452</v>
      </c>
      <c r="J439" s="5" t="s">
        <v>29</v>
      </c>
      <c r="K439" s="5">
        <v>12.04</v>
      </c>
      <c r="L439" s="4">
        <v>380.82</v>
      </c>
      <c r="M439">
        <v>10406</v>
      </c>
      <c r="N439" t="s">
        <v>1783</v>
      </c>
      <c r="O439">
        <v>329</v>
      </c>
      <c r="P439" s="6">
        <v>100</v>
      </c>
      <c r="Q439" t="s">
        <v>31</v>
      </c>
      <c r="R439" t="s">
        <v>32</v>
      </c>
      <c r="S439" s="2" t="str">
        <f>HYPERLINK("https://yandex.ru/maps/?&amp;text=59.926535, 30.357173", "59.926535, 30.357173")</f>
        <v>59.926535, 30.357173</v>
      </c>
      <c r="T439" s="2" t="str">
        <f>HYPERLINK("D:\venv_torgi\env\cache\objs_in_district/59.926535_30.357173.json", "59.926535_30.357173.json")</f>
        <v>59.926535_30.357173.json</v>
      </c>
      <c r="U439" t="s">
        <v>1892</v>
      </c>
      <c r="V439" s="7" t="s">
        <v>34</v>
      </c>
      <c r="W439" s="16">
        <v>157912.56205454929</v>
      </c>
      <c r="X439" s="14">
        <v>32622.23947390409</v>
      </c>
      <c r="Y439">
        <v>0</v>
      </c>
    </row>
    <row r="440" spans="1:25">
      <c r="A440" s="8">
        <v>507</v>
      </c>
      <c r="B440">
        <v>78</v>
      </c>
      <c r="C440" s="1">
        <v>31.4</v>
      </c>
      <c r="D440" s="2" t="str">
        <f>HYPERLINK("https://torgi.gov.ru/new/public/lots/lot/21000002210000000211_1/(lotInfo:info)", "21000002210000000211_1")</f>
        <v>21000002210000000211_1</v>
      </c>
      <c r="E440" t="s">
        <v>1893</v>
      </c>
      <c r="F440" s="3" t="s">
        <v>1802</v>
      </c>
      <c r="G440" t="s">
        <v>1894</v>
      </c>
      <c r="H440" s="4">
        <v>3960000</v>
      </c>
      <c r="I440" s="4">
        <v>126114.6496815287</v>
      </c>
      <c r="J440" s="5" t="s">
        <v>29</v>
      </c>
      <c r="K440" s="5">
        <v>24.77</v>
      </c>
      <c r="L440" s="4">
        <v>793.17</v>
      </c>
      <c r="M440">
        <v>5092</v>
      </c>
      <c r="N440" t="s">
        <v>1783</v>
      </c>
      <c r="O440">
        <v>159</v>
      </c>
      <c r="Q440" t="s">
        <v>31</v>
      </c>
      <c r="R440" t="s">
        <v>32</v>
      </c>
      <c r="S440" s="2" t="str">
        <f>HYPERLINK("https://yandex.ru/maps/?&amp;text=59.833787, 30.42328", "59.833787, 30.42328")</f>
        <v>59.833787, 30.42328</v>
      </c>
      <c r="T440" s="2" t="str">
        <f>HYPERLINK("D:\venv_torgi\env\cache\objs_in_district/59.833787_30.42328.json", "59.833787_30.42328.json")</f>
        <v>59.833787_30.42328.json</v>
      </c>
      <c r="U440" t="s">
        <v>1895</v>
      </c>
      <c r="V440" s="7" t="s">
        <v>34</v>
      </c>
      <c r="W440" s="16">
        <v>150215.4954941099</v>
      </c>
      <c r="X440" s="14">
        <v>24100.84581258117</v>
      </c>
      <c r="Y440">
        <v>0</v>
      </c>
    </row>
    <row r="441" spans="1:25">
      <c r="A441" s="8">
        <v>508</v>
      </c>
      <c r="B441">
        <v>78</v>
      </c>
      <c r="C441" s="1">
        <v>23.8</v>
      </c>
      <c r="D441" s="2" t="str">
        <f>HYPERLINK("https://torgi.gov.ru/new/public/lots/lot/21000002210000000767_1/(lotInfo:info)", "21000002210000000767_1")</f>
        <v>21000002210000000767_1</v>
      </c>
      <c r="E441" t="s">
        <v>1896</v>
      </c>
      <c r="F441" s="3" t="s">
        <v>1897</v>
      </c>
      <c r="G441" t="s">
        <v>1898</v>
      </c>
      <c r="H441" s="4">
        <v>3010000</v>
      </c>
      <c r="I441" s="4">
        <v>126470.5882352941</v>
      </c>
      <c r="J441" s="5" t="s">
        <v>29</v>
      </c>
      <c r="K441" s="5">
        <v>14.51</v>
      </c>
      <c r="L441" s="4">
        <v>805.54</v>
      </c>
      <c r="M441">
        <v>8716</v>
      </c>
      <c r="N441" t="s">
        <v>1783</v>
      </c>
      <c r="O441">
        <v>157</v>
      </c>
      <c r="P441" s="6">
        <v>200</v>
      </c>
      <c r="Q441" t="s">
        <v>31</v>
      </c>
      <c r="R441" t="s">
        <v>32</v>
      </c>
      <c r="S441" s="2" t="str">
        <f>HYPERLINK("https://yandex.ru/maps/?&amp;text=59.943264, 30.341874", "59.943264, 30.341874")</f>
        <v>59.943264, 30.341874</v>
      </c>
      <c r="T441" s="2" t="str">
        <f>HYPERLINK("D:\venv_torgi\env\cache\objs_in_district/59.943264_30.341874.json", "59.943264_30.341874.json")</f>
        <v>59.943264_30.341874.json</v>
      </c>
      <c r="U441" t="s">
        <v>1899</v>
      </c>
      <c r="V441" s="7" t="s">
        <v>34</v>
      </c>
      <c r="W441" s="16">
        <v>150640.21368505849</v>
      </c>
      <c r="X441" s="14">
        <v>24169.625449764371</v>
      </c>
      <c r="Y441">
        <v>0</v>
      </c>
    </row>
    <row r="442" spans="1:25">
      <c r="A442" s="8">
        <v>509</v>
      </c>
      <c r="B442">
        <v>78</v>
      </c>
      <c r="C442" s="1">
        <v>12.9</v>
      </c>
      <c r="D442" s="2" t="str">
        <f>HYPERLINK("https://torgi.gov.ru/new/public/lots/lot/21000002210000000535_1/(lotInfo:info)", "21000002210000000535_1")</f>
        <v>21000002210000000535_1</v>
      </c>
      <c r="E442" t="s">
        <v>1900</v>
      </c>
      <c r="F442" s="3" t="s">
        <v>1901</v>
      </c>
      <c r="G442" t="s">
        <v>1902</v>
      </c>
      <c r="H442" s="4">
        <v>1680000</v>
      </c>
      <c r="I442" s="4">
        <v>130232.5581395349</v>
      </c>
      <c r="J442" s="5" t="s">
        <v>29</v>
      </c>
      <c r="K442" s="5">
        <v>12.62</v>
      </c>
      <c r="L442" s="4">
        <v>424.21</v>
      </c>
      <c r="M442">
        <v>10320</v>
      </c>
      <c r="N442" t="s">
        <v>1783</v>
      </c>
      <c r="O442">
        <v>307</v>
      </c>
      <c r="P442" s="6">
        <v>100</v>
      </c>
      <c r="Q442" t="s">
        <v>31</v>
      </c>
      <c r="R442" t="s">
        <v>32</v>
      </c>
      <c r="S442" s="2" t="str">
        <f>HYPERLINK("https://yandex.ru/maps/?&amp;text=59.943787, 30.354559", "59.943787, 30.354559")</f>
        <v>59.943787, 30.354559</v>
      </c>
      <c r="T442" s="2" t="str">
        <f>HYPERLINK("D:\venv_torgi\env\cache\objs_in_district/59.943787_30.354559.json", "59.943787_30.354559.json")</f>
        <v>59.943787_30.354559.json</v>
      </c>
      <c r="U442" t="s">
        <v>1903</v>
      </c>
      <c r="V442" s="7" t="s">
        <v>34</v>
      </c>
      <c r="W442" s="16">
        <v>161278.05745899881</v>
      </c>
      <c r="X442" s="14">
        <v>31045.499319463881</v>
      </c>
      <c r="Y442">
        <v>0</v>
      </c>
    </row>
    <row r="443" spans="1:25">
      <c r="A443" s="8">
        <v>510</v>
      </c>
      <c r="B443">
        <v>78</v>
      </c>
      <c r="C443" s="1">
        <v>23.8</v>
      </c>
      <c r="D443" s="2" t="str">
        <f>HYPERLINK("https://torgi.gov.ru/new/public/lots/lot/21000002210000000741_1/(lotInfo:info)", "21000002210000000741_1")</f>
        <v>21000002210000000741_1</v>
      </c>
      <c r="E443" t="s">
        <v>1904</v>
      </c>
      <c r="F443" s="3" t="s">
        <v>1905</v>
      </c>
      <c r="G443" t="s">
        <v>1906</v>
      </c>
      <c r="H443" s="4">
        <v>3100000</v>
      </c>
      <c r="I443" s="4">
        <v>130252.1008403361</v>
      </c>
      <c r="J443" s="5" t="s">
        <v>29</v>
      </c>
      <c r="K443" s="5">
        <v>6.17</v>
      </c>
      <c r="L443" s="4">
        <v>387.65</v>
      </c>
      <c r="M443">
        <v>21127</v>
      </c>
      <c r="N443" t="s">
        <v>1783</v>
      </c>
      <c r="O443">
        <v>336</v>
      </c>
      <c r="P443" s="6">
        <v>200</v>
      </c>
      <c r="Q443" t="s">
        <v>31</v>
      </c>
      <c r="R443" t="s">
        <v>32</v>
      </c>
      <c r="S443" s="2" t="str">
        <f>HYPERLINK("https://yandex.ru/maps/?&amp;text=59.923265, 30.346231", "59.923265, 30.346231")</f>
        <v>59.923265, 30.346231</v>
      </c>
      <c r="T443" s="2" t="str">
        <f>HYPERLINK("D:\venv_torgi\env\cache\objs_in_district/59.923265_30.346231.json", "59.923265_30.346231.json")</f>
        <v>59.923265_30.346231.json</v>
      </c>
      <c r="U443" t="s">
        <v>1907</v>
      </c>
      <c r="V443" s="7" t="s">
        <v>34</v>
      </c>
      <c r="W443" s="16">
        <v>162548.8455315188</v>
      </c>
      <c r="X443" s="14">
        <v>32296.744691182699</v>
      </c>
      <c r="Y443">
        <v>0</v>
      </c>
    </row>
    <row r="444" spans="1:25">
      <c r="A444" s="8">
        <v>511</v>
      </c>
      <c r="B444">
        <v>78</v>
      </c>
      <c r="C444" s="1">
        <v>10.1</v>
      </c>
      <c r="D444" s="2" t="str">
        <f>HYPERLINK("https://torgi.gov.ru/new/public/lots/lot/21000002210000000343_1/(lotInfo:info)", "21000002210000000343_1")</f>
        <v>21000002210000000343_1</v>
      </c>
      <c r="E444" t="s">
        <v>1908</v>
      </c>
      <c r="F444" s="3" t="s">
        <v>1837</v>
      </c>
      <c r="G444" t="s">
        <v>1909</v>
      </c>
      <c r="H444" s="4">
        <v>1350000</v>
      </c>
      <c r="I444" s="4">
        <v>133663.36633663371</v>
      </c>
      <c r="J444" s="5" t="s">
        <v>29</v>
      </c>
      <c r="K444" s="5">
        <v>8.7799999999999994</v>
      </c>
      <c r="L444" s="4">
        <v>2570.44</v>
      </c>
      <c r="M444">
        <v>15227</v>
      </c>
      <c r="N444" t="s">
        <v>1783</v>
      </c>
      <c r="O444">
        <v>52</v>
      </c>
      <c r="P444" s="6">
        <v>700</v>
      </c>
      <c r="Q444" t="s">
        <v>31</v>
      </c>
      <c r="R444" t="s">
        <v>32</v>
      </c>
      <c r="S444" s="2" t="str">
        <f>HYPERLINK("https://yandex.ru/maps/?&amp;text=59.919193, 30.276378", "59.919193, 30.276378")</f>
        <v>59.919193, 30.276378</v>
      </c>
      <c r="T444" s="2" t="str">
        <f>HYPERLINK("D:\venv_torgi\env\cache\objs_in_district/59.919193_30.276378.json", "59.919193_30.276378.json")</f>
        <v>59.919193_30.276378.json</v>
      </c>
      <c r="U444" t="s">
        <v>1910</v>
      </c>
      <c r="V444" s="7" t="s">
        <v>34</v>
      </c>
      <c r="W444" s="16">
        <v>144489.947639366</v>
      </c>
      <c r="X444" s="14">
        <v>10826.581302732289</v>
      </c>
      <c r="Y444">
        <v>0</v>
      </c>
    </row>
    <row r="445" spans="1:25">
      <c r="A445" s="8">
        <v>512</v>
      </c>
      <c r="B445">
        <v>78</v>
      </c>
      <c r="C445" s="1">
        <v>27.4</v>
      </c>
      <c r="D445" s="2" t="str">
        <f>HYPERLINK("https://torgi.gov.ru/new/public/lots/lot/21000002210000000161_1/(lotInfo:info)", "21000002210000000161_1")</f>
        <v>21000002210000000161_1</v>
      </c>
      <c r="E445" t="s">
        <v>1911</v>
      </c>
      <c r="F445" s="3" t="s">
        <v>1912</v>
      </c>
      <c r="G445" t="s">
        <v>1913</v>
      </c>
      <c r="H445" s="4">
        <v>3720000</v>
      </c>
      <c r="I445" s="4">
        <v>135766.4233576642</v>
      </c>
      <c r="J445" s="5" t="s">
        <v>29</v>
      </c>
      <c r="K445" s="5">
        <v>13.87</v>
      </c>
      <c r="L445" s="4">
        <v>767.04</v>
      </c>
      <c r="M445">
        <v>9788</v>
      </c>
      <c r="N445" t="s">
        <v>1783</v>
      </c>
      <c r="O445">
        <v>177</v>
      </c>
      <c r="P445" s="6">
        <v>200</v>
      </c>
      <c r="Q445" t="s">
        <v>31</v>
      </c>
      <c r="R445" t="s">
        <v>32</v>
      </c>
      <c r="S445" s="2" t="str">
        <f>HYPERLINK("https://yandex.ru/maps/?&amp;text=59.937247, 30.372767", "59.937247, 30.372767")</f>
        <v>59.937247, 30.372767</v>
      </c>
      <c r="T445" s="2" t="str">
        <f>HYPERLINK("D:\venv_torgi\env\cache\objs_in_district/59.937247_30.372767.json", "59.937247_30.372767.json")</f>
        <v>59.937247_30.372767.json</v>
      </c>
      <c r="U445" t="s">
        <v>1914</v>
      </c>
      <c r="V445" s="7" t="s">
        <v>34</v>
      </c>
      <c r="W445" s="16">
        <v>151694.49654794121</v>
      </c>
      <c r="X445" s="14">
        <v>15928.073190277029</v>
      </c>
      <c r="Y445">
        <v>0</v>
      </c>
    </row>
    <row r="446" spans="1:25">
      <c r="A446" s="8">
        <v>513</v>
      </c>
      <c r="B446">
        <v>78</v>
      </c>
      <c r="C446" s="1">
        <v>37.9</v>
      </c>
      <c r="D446" s="2" t="str">
        <f>HYPERLINK("https://torgi.gov.ru/new/public/lots/lot/21000002210000000024_1/(lotInfo:info)", "21000002210000000024_1")</f>
        <v>21000002210000000024_1</v>
      </c>
      <c r="E446" t="s">
        <v>1915</v>
      </c>
      <c r="F446" s="3" t="s">
        <v>1798</v>
      </c>
      <c r="G446" t="s">
        <v>1916</v>
      </c>
      <c r="H446" s="4">
        <v>5360000</v>
      </c>
      <c r="I446" s="4">
        <v>141424.80211081801</v>
      </c>
      <c r="J446" s="5" t="s">
        <v>29</v>
      </c>
      <c r="K446" s="5">
        <v>7.55</v>
      </c>
      <c r="L446" s="4">
        <v>369.25</v>
      </c>
      <c r="M446">
        <v>18744</v>
      </c>
      <c r="N446" t="s">
        <v>1783</v>
      </c>
      <c r="O446">
        <v>383</v>
      </c>
      <c r="P446" s="6">
        <v>200</v>
      </c>
      <c r="Q446" t="s">
        <v>31</v>
      </c>
      <c r="R446" t="s">
        <v>32</v>
      </c>
      <c r="S446" s="2" t="str">
        <f>HYPERLINK("https://yandex.ru/maps/?&amp;text=59.928983, 30.351998", "59.928983, 30.351998")</f>
        <v>59.928983, 30.351998</v>
      </c>
      <c r="T446" s="2" t="str">
        <f>HYPERLINK("D:\venv_torgi\env\cache\objs_in_district/59.928983_30.351998.json", "59.928983_30.351998.json")</f>
        <v>59.928983_30.351998.json</v>
      </c>
      <c r="U446" t="s">
        <v>1917</v>
      </c>
      <c r="V446" s="7" t="s">
        <v>39</v>
      </c>
      <c r="W446" s="16">
        <v>125638.5365947768</v>
      </c>
      <c r="X446" s="15">
        <v>-15786.26551604124</v>
      </c>
      <c r="Y446">
        <v>0</v>
      </c>
    </row>
    <row r="447" spans="1:25">
      <c r="A447" s="8">
        <v>514</v>
      </c>
      <c r="B447">
        <v>78</v>
      </c>
      <c r="C447" s="1">
        <v>26.2</v>
      </c>
      <c r="D447" s="2" t="str">
        <f>HYPERLINK("https://torgi.gov.ru/new/public/lots/lot/21000002210000000495_1/(lotInfo:info)", "21000002210000000495_1")</f>
        <v>21000002210000000495_1</v>
      </c>
      <c r="E447" t="s">
        <v>1918</v>
      </c>
      <c r="F447" s="3" t="s">
        <v>1919</v>
      </c>
      <c r="G447" t="s">
        <v>1920</v>
      </c>
      <c r="H447" s="4">
        <v>3740000</v>
      </c>
      <c r="I447" s="4">
        <v>142748.09160305341</v>
      </c>
      <c r="J447" s="5" t="s">
        <v>29</v>
      </c>
      <c r="K447" s="5">
        <v>17.5</v>
      </c>
      <c r="L447" s="4">
        <v>1359.5</v>
      </c>
      <c r="M447">
        <v>8155</v>
      </c>
      <c r="N447" t="s">
        <v>1783</v>
      </c>
      <c r="O447">
        <v>105</v>
      </c>
      <c r="P447" s="6">
        <v>200</v>
      </c>
      <c r="Q447" t="s">
        <v>31</v>
      </c>
      <c r="R447" t="s">
        <v>32</v>
      </c>
      <c r="S447" s="2" t="str">
        <f>HYPERLINK("https://yandex.ru/maps/?&amp;text=59.947167, 30.412132", "59.947167, 30.412132")</f>
        <v>59.947167, 30.412132</v>
      </c>
      <c r="T447" s="2" t="str">
        <f>HYPERLINK("D:\venv_torgi\env\cache\objs_in_district/59.947167_30.412132.json", "59.947167_30.412132.json")</f>
        <v>59.947167_30.412132.json</v>
      </c>
      <c r="U447" t="s">
        <v>1921</v>
      </c>
      <c r="V447" s="7" t="s">
        <v>34</v>
      </c>
      <c r="W447" s="16">
        <v>147096.10470748579</v>
      </c>
      <c r="X447" s="14">
        <v>4348.013104432408</v>
      </c>
      <c r="Y447">
        <v>0</v>
      </c>
    </row>
    <row r="448" spans="1:25">
      <c r="A448" s="8">
        <v>515</v>
      </c>
      <c r="B448">
        <v>78</v>
      </c>
      <c r="C448" s="1">
        <v>20.100000000000001</v>
      </c>
      <c r="D448" s="2" t="str">
        <f>HYPERLINK("https://torgi.gov.ru/new/public/lots/lot/21000002210000000342_1/(lotInfo:info)", "21000002210000000342_1")</f>
        <v>21000002210000000342_1</v>
      </c>
      <c r="E448" t="s">
        <v>1922</v>
      </c>
      <c r="F448" s="3" t="s">
        <v>1837</v>
      </c>
      <c r="G448" t="s">
        <v>1923</v>
      </c>
      <c r="H448" s="4">
        <v>2870000</v>
      </c>
      <c r="I448" s="4">
        <v>142786.0696517413</v>
      </c>
      <c r="J448" s="5" t="s">
        <v>29</v>
      </c>
      <c r="K448" s="5">
        <v>14.49</v>
      </c>
      <c r="L448" s="4">
        <v>637.44000000000005</v>
      </c>
      <c r="M448">
        <v>9852</v>
      </c>
      <c r="N448" t="s">
        <v>1783</v>
      </c>
      <c r="O448">
        <v>224</v>
      </c>
      <c r="P448" s="6">
        <v>300</v>
      </c>
      <c r="Q448" t="s">
        <v>31</v>
      </c>
      <c r="R448" t="s">
        <v>32</v>
      </c>
      <c r="S448" s="2" t="str">
        <f>HYPERLINK("https://yandex.ru/maps/?&amp;text=59.83049, 30.402933", "59.83049, 30.402933")</f>
        <v>59.83049, 30.402933</v>
      </c>
      <c r="T448" s="2" t="str">
        <f>HYPERLINK("D:\venv_torgi\env\cache\objs_in_district/59.83049_30.402933.json", "59.83049_30.402933.json")</f>
        <v>59.83049_30.402933.json</v>
      </c>
      <c r="U448" t="s">
        <v>1924</v>
      </c>
      <c r="V448" s="7" t="s">
        <v>34</v>
      </c>
      <c r="W448" s="16">
        <v>155144.00915683431</v>
      </c>
      <c r="X448" s="14">
        <v>12357.939505092971</v>
      </c>
      <c r="Y448">
        <v>0</v>
      </c>
    </row>
    <row r="449" spans="1:25">
      <c r="A449" s="8">
        <v>516</v>
      </c>
      <c r="B449">
        <v>78</v>
      </c>
      <c r="C449" s="1">
        <v>11.9</v>
      </c>
      <c r="D449" s="2" t="str">
        <f>HYPERLINK("https://torgi.gov.ru/new/public/lots/lot/21000002210000000183_1/(lotInfo:info)", "21000002210000000183_1")</f>
        <v>21000002210000000183_1</v>
      </c>
      <c r="E449" t="s">
        <v>1925</v>
      </c>
      <c r="F449" s="3" t="s">
        <v>1926</v>
      </c>
      <c r="G449" t="s">
        <v>1927</v>
      </c>
      <c r="H449" s="4">
        <v>1700000</v>
      </c>
      <c r="I449" s="4">
        <v>142857.14285714281</v>
      </c>
      <c r="J449" s="5" t="s">
        <v>29</v>
      </c>
      <c r="K449" s="5">
        <v>28.25</v>
      </c>
      <c r="L449" s="4">
        <v>2070.39</v>
      </c>
      <c r="M449">
        <v>5057</v>
      </c>
      <c r="N449" t="s">
        <v>1783</v>
      </c>
      <c r="O449">
        <v>69</v>
      </c>
      <c r="P449" s="6">
        <v>900</v>
      </c>
      <c r="Q449" t="s">
        <v>31</v>
      </c>
      <c r="R449" t="s">
        <v>32</v>
      </c>
      <c r="S449" s="2" t="str">
        <f>HYPERLINK("https://yandex.ru/maps/?&amp;text=59.98523, 30.207064", "59.98523, 30.207064")</f>
        <v>59.98523, 30.207064</v>
      </c>
      <c r="T449" s="2" t="str">
        <f>HYPERLINK("D:\venv_torgi\env\cache\objs_in_district/59.98523_30.207064.json", "59.98523_30.207064.json")</f>
        <v>59.98523_30.207064.json</v>
      </c>
      <c r="U449" t="s">
        <v>1928</v>
      </c>
      <c r="V449" s="7" t="s">
        <v>34</v>
      </c>
      <c r="W449" s="16">
        <v>144899.7313001485</v>
      </c>
      <c r="X449" s="14">
        <v>2042.588443005719</v>
      </c>
      <c r="Y449">
        <v>0</v>
      </c>
    </row>
    <row r="450" spans="1:25">
      <c r="A450" s="8">
        <v>517</v>
      </c>
      <c r="B450">
        <v>78</v>
      </c>
      <c r="C450" s="1">
        <v>25.4</v>
      </c>
      <c r="D450" s="2" t="str">
        <f>HYPERLINK("https://torgi.gov.ru/new/public/lots/lot/21000002210000000716_1/(lotInfo:info)", "21000002210000000716_1")</f>
        <v>21000002210000000716_1</v>
      </c>
      <c r="E450" t="s">
        <v>1929</v>
      </c>
      <c r="F450" s="3" t="s">
        <v>482</v>
      </c>
      <c r="G450" t="s">
        <v>1930</v>
      </c>
      <c r="H450" s="4">
        <v>3650000</v>
      </c>
      <c r="I450" s="4">
        <v>143700.78740157481</v>
      </c>
      <c r="J450" s="5" t="s">
        <v>29</v>
      </c>
      <c r="K450" s="5">
        <v>9.24</v>
      </c>
      <c r="L450" s="4">
        <v>459.11</v>
      </c>
      <c r="M450">
        <v>15557</v>
      </c>
      <c r="N450" t="s">
        <v>1783</v>
      </c>
      <c r="O450">
        <v>313</v>
      </c>
      <c r="P450" s="6">
        <v>100</v>
      </c>
      <c r="Q450" t="s">
        <v>31</v>
      </c>
      <c r="R450" t="s">
        <v>32</v>
      </c>
      <c r="S450" s="2" t="str">
        <f>HYPERLINK("https://yandex.ru/maps/?&amp;text=59.932103, 30.345369", "59.932103, 30.345369")</f>
        <v>59.932103, 30.345369</v>
      </c>
      <c r="T450" s="2" t="str">
        <f>HYPERLINK("D:\venv_torgi\env\cache\objs_in_district/59.932103_30.345369.json", "59.932103_30.345369.json")</f>
        <v>59.932103_30.345369.json</v>
      </c>
      <c r="U450" t="s">
        <v>1931</v>
      </c>
      <c r="V450" s="7" t="s">
        <v>34</v>
      </c>
      <c r="W450" s="16">
        <v>160898.83964630181</v>
      </c>
      <c r="X450" s="14">
        <v>17198.05224472703</v>
      </c>
      <c r="Y450">
        <v>0</v>
      </c>
    </row>
    <row r="451" spans="1:25">
      <c r="A451" s="8">
        <v>518</v>
      </c>
      <c r="B451">
        <v>78</v>
      </c>
      <c r="C451" s="1">
        <v>31.9</v>
      </c>
      <c r="D451" s="2" t="str">
        <f>HYPERLINK("https://torgi.gov.ru/new/public/lots/lot/21000002210000000451_1/(lotInfo:info)", "21000002210000000451_1")</f>
        <v>21000002210000000451_1</v>
      </c>
      <c r="E451" t="s">
        <v>1932</v>
      </c>
      <c r="F451" s="3" t="s">
        <v>1933</v>
      </c>
      <c r="G451" t="s">
        <v>1934</v>
      </c>
      <c r="H451" s="4">
        <v>4640000</v>
      </c>
      <c r="I451" s="4">
        <v>145454.5454545455</v>
      </c>
      <c r="J451" s="5" t="s">
        <v>29</v>
      </c>
      <c r="K451" s="5">
        <v>14.27</v>
      </c>
      <c r="L451" s="4">
        <v>542.74</v>
      </c>
      <c r="M451">
        <v>10194</v>
      </c>
      <c r="N451" t="s">
        <v>1783</v>
      </c>
      <c r="O451">
        <v>268</v>
      </c>
      <c r="P451" s="6">
        <v>300</v>
      </c>
      <c r="Q451" t="s">
        <v>31</v>
      </c>
      <c r="R451" t="s">
        <v>32</v>
      </c>
      <c r="S451" s="2" t="str">
        <f>HYPERLINK("https://yandex.ru/maps/?&amp;text=59.941141, 30.358206", "59.941141, 30.358206")</f>
        <v>59.941141, 30.358206</v>
      </c>
      <c r="T451" s="2" t="str">
        <f>HYPERLINK("D:\venv_torgi\env\cache\objs_in_district/59.941141_30.358206.json", "59.941141_30.358206.json")</f>
        <v>59.941141_30.358206.json</v>
      </c>
      <c r="U451" t="s">
        <v>1935</v>
      </c>
      <c r="V451" s="7" t="s">
        <v>34</v>
      </c>
      <c r="W451" s="16">
        <v>157114.3308204498</v>
      </c>
      <c r="X451" s="14">
        <v>11659.785365904299</v>
      </c>
      <c r="Y451">
        <v>0</v>
      </c>
    </row>
    <row r="452" spans="1:25">
      <c r="A452" s="8">
        <v>519</v>
      </c>
      <c r="B452">
        <v>78</v>
      </c>
      <c r="C452" s="1">
        <v>11.7</v>
      </c>
      <c r="D452" s="2" t="str">
        <f>HYPERLINK("https://torgi.gov.ru/new/public/lots/lot/21000002210000000414_1/(lotInfo:info)", "21000002210000000414_1")</f>
        <v>21000002210000000414_1</v>
      </c>
      <c r="E452" t="s">
        <v>1936</v>
      </c>
      <c r="F452" s="3" t="s">
        <v>487</v>
      </c>
      <c r="G452" t="s">
        <v>1937</v>
      </c>
      <c r="H452" s="4">
        <v>1720000</v>
      </c>
      <c r="I452" s="4">
        <v>147008.547008547</v>
      </c>
      <c r="J452" s="5" t="s">
        <v>29</v>
      </c>
      <c r="K452" s="5">
        <v>19.670000000000002</v>
      </c>
      <c r="L452" s="4">
        <v>1455.52</v>
      </c>
      <c r="M452">
        <v>7474</v>
      </c>
      <c r="N452" t="s">
        <v>1783</v>
      </c>
      <c r="O452">
        <v>101</v>
      </c>
      <c r="P452" s="6">
        <v>600</v>
      </c>
      <c r="Q452" t="s">
        <v>31</v>
      </c>
      <c r="R452" t="s">
        <v>32</v>
      </c>
      <c r="S452" s="2" t="str">
        <f>HYPERLINK("https://yandex.ru/maps/?&amp;text=59.911404, 30.304604", "59.911404, 30.304604")</f>
        <v>59.911404, 30.304604</v>
      </c>
      <c r="T452" s="2" t="str">
        <f>HYPERLINK("D:\venv_torgi\env\cache\objs_in_district/59.911404_30.304604.json", "59.911404_30.304604.json")</f>
        <v>59.911404_30.304604.json</v>
      </c>
      <c r="U452" t="s">
        <v>1938</v>
      </c>
      <c r="V452" s="7" t="s">
        <v>34</v>
      </c>
      <c r="W452" s="16">
        <v>147410.4556762251</v>
      </c>
      <c r="X452" s="19">
        <v>401.90866767812992</v>
      </c>
      <c r="Y452">
        <v>0</v>
      </c>
    </row>
    <row r="453" spans="1:25">
      <c r="A453" s="8">
        <v>520</v>
      </c>
      <c r="B453">
        <v>78</v>
      </c>
      <c r="C453" s="1">
        <v>19.7</v>
      </c>
      <c r="D453" s="2" t="str">
        <f>HYPERLINK("https://torgi.gov.ru/new/public/lots/lot/21000002210000000654_1/(lotInfo:info)", "21000002210000000654_1")</f>
        <v>21000002210000000654_1</v>
      </c>
      <c r="E453" t="s">
        <v>1939</v>
      </c>
      <c r="F453" s="3" t="s">
        <v>1806</v>
      </c>
      <c r="G453" t="s">
        <v>1940</v>
      </c>
      <c r="H453" s="4">
        <v>2910000</v>
      </c>
      <c r="I453" s="4">
        <v>147715.7360406091</v>
      </c>
      <c r="J453" s="5" t="s">
        <v>29</v>
      </c>
      <c r="K453" s="5">
        <v>9.6999999999999993</v>
      </c>
      <c r="L453" s="4">
        <v>2272.54</v>
      </c>
      <c r="M453">
        <v>15227</v>
      </c>
      <c r="N453" t="s">
        <v>1783</v>
      </c>
      <c r="O453">
        <v>65</v>
      </c>
      <c r="P453" s="6">
        <v>500</v>
      </c>
      <c r="Q453" t="s">
        <v>31</v>
      </c>
      <c r="R453" t="s">
        <v>32</v>
      </c>
      <c r="S453" s="2" t="str">
        <f>HYPERLINK("https://yandex.ru/maps/?&amp;text=59.918214, 30.278166", "59.918214, 30.278166")</f>
        <v>59.918214, 30.278166</v>
      </c>
      <c r="T453" s="2" t="str">
        <f>HYPERLINK("D:\venv_torgi\env\cache\objs_in_district/59.918214_30.278166.json", "59.918214_30.278166.json")</f>
        <v>59.918214_30.278166.json</v>
      </c>
      <c r="U453" t="s">
        <v>1941</v>
      </c>
      <c r="V453" s="7" t="s">
        <v>34</v>
      </c>
      <c r="W453" s="16">
        <v>144856.76099028459</v>
      </c>
      <c r="X453" s="15">
        <v>-2858.9750503244868</v>
      </c>
      <c r="Y453">
        <v>0</v>
      </c>
    </row>
    <row r="454" spans="1:25">
      <c r="A454" s="8">
        <v>521</v>
      </c>
      <c r="B454">
        <v>78</v>
      </c>
      <c r="C454" s="1">
        <v>15.4</v>
      </c>
      <c r="D454" s="2" t="str">
        <f>HYPERLINK("https://torgi.gov.ru/new/public/lots/lot/21000002210000000603_1/(lotInfo:info)", "21000002210000000603_1")</f>
        <v>21000002210000000603_1</v>
      </c>
      <c r="E454" t="s">
        <v>1942</v>
      </c>
      <c r="F454" s="3" t="s">
        <v>1781</v>
      </c>
      <c r="G454" t="s">
        <v>1943</v>
      </c>
      <c r="H454" s="4">
        <v>2280000</v>
      </c>
      <c r="I454" s="4">
        <v>148051.94805194801</v>
      </c>
      <c r="J454" s="5" t="s">
        <v>29</v>
      </c>
      <c r="K454" s="5">
        <v>14.13</v>
      </c>
      <c r="L454" s="4">
        <v>430.38</v>
      </c>
      <c r="M454">
        <v>10480</v>
      </c>
      <c r="N454" t="s">
        <v>1783</v>
      </c>
      <c r="O454">
        <v>344</v>
      </c>
      <c r="P454" s="6">
        <v>300</v>
      </c>
      <c r="Q454" t="s">
        <v>31</v>
      </c>
      <c r="R454" t="s">
        <v>32</v>
      </c>
      <c r="S454" s="2" t="str">
        <f>HYPERLINK("https://yandex.ru/maps/?&amp;text=59.92784, 30.312534", "59.92784, 30.312534")</f>
        <v>59.92784, 30.312534</v>
      </c>
      <c r="T454" s="2" t="str">
        <f>HYPERLINK("D:\venv_torgi\env\cache\objs_in_district/59.92784_30.312534.json", "59.92784_30.312534.json")</f>
        <v>59.92784_30.312534.json</v>
      </c>
      <c r="U454" t="s">
        <v>1944</v>
      </c>
      <c r="V454" s="7" t="s">
        <v>34</v>
      </c>
      <c r="W454" s="16">
        <v>163240.21763406281</v>
      </c>
      <c r="X454" s="14">
        <v>15188.26958211479</v>
      </c>
      <c r="Y454">
        <v>0</v>
      </c>
    </row>
    <row r="455" spans="1:25">
      <c r="A455" s="8">
        <v>522</v>
      </c>
      <c r="B455">
        <v>78</v>
      </c>
      <c r="C455" s="1">
        <v>17</v>
      </c>
      <c r="D455" s="2" t="str">
        <f>HYPERLINK("https://torgi.gov.ru/new/public/lots/lot/21000002210000000696_1/(lotInfo:info)", "21000002210000000696_1")</f>
        <v>21000002210000000696_1</v>
      </c>
      <c r="E455" t="s">
        <v>1945</v>
      </c>
      <c r="F455" s="3" t="s">
        <v>1946</v>
      </c>
      <c r="G455" t="s">
        <v>1947</v>
      </c>
      <c r="H455" s="4">
        <v>2530000</v>
      </c>
      <c r="I455" s="4">
        <v>148823.5294117647</v>
      </c>
      <c r="J455" s="5" t="s">
        <v>29</v>
      </c>
      <c r="K455" s="5">
        <v>15.32</v>
      </c>
      <c r="L455" s="4">
        <v>747.85</v>
      </c>
      <c r="M455">
        <v>9714</v>
      </c>
      <c r="N455" t="s">
        <v>1783</v>
      </c>
      <c r="O455">
        <v>199</v>
      </c>
      <c r="P455" s="6">
        <v>400</v>
      </c>
      <c r="Q455" t="s">
        <v>31</v>
      </c>
      <c r="R455" t="s">
        <v>32</v>
      </c>
      <c r="S455" s="2" t="str">
        <f>HYPERLINK("https://yandex.ru/maps/?&amp;text=59.925732, 30.305313", "59.925732, 30.305313")</f>
        <v>59.925732, 30.305313</v>
      </c>
      <c r="T455" s="2" t="str">
        <f>HYPERLINK("D:\venv_torgi\env\cache\objs_in_district/59.925732_30.305313.json", "59.925732_30.305313.json")</f>
        <v>59.925732_30.305313.json</v>
      </c>
      <c r="U455" t="s">
        <v>1948</v>
      </c>
      <c r="V455" s="7" t="s">
        <v>34</v>
      </c>
      <c r="W455" s="16">
        <v>153638.9253041771</v>
      </c>
      <c r="X455" s="14">
        <v>4815.3958924124308</v>
      </c>
      <c r="Y455">
        <v>0</v>
      </c>
    </row>
    <row r="456" spans="1:25">
      <c r="A456" s="8">
        <v>523</v>
      </c>
      <c r="B456">
        <v>78</v>
      </c>
      <c r="C456" s="1">
        <v>15.1</v>
      </c>
      <c r="D456" s="2" t="str">
        <f>HYPERLINK("https://torgi.gov.ru/new/public/lots/lot/21000002210000000615_1/(lotInfo:info)", "21000002210000000615_1")</f>
        <v>21000002210000000615_1</v>
      </c>
      <c r="E456" t="s">
        <v>1949</v>
      </c>
      <c r="F456" s="3" t="s">
        <v>846</v>
      </c>
      <c r="G456" t="s">
        <v>1950</v>
      </c>
      <c r="H456" s="4">
        <v>2280000</v>
      </c>
      <c r="I456" s="4">
        <v>150993.37748344371</v>
      </c>
      <c r="J456" s="5" t="s">
        <v>29</v>
      </c>
      <c r="K456" s="5">
        <v>23.4</v>
      </c>
      <c r="L456" s="4">
        <v>671.08</v>
      </c>
      <c r="M456">
        <v>6453</v>
      </c>
      <c r="N456" t="s">
        <v>1783</v>
      </c>
      <c r="O456">
        <v>225</v>
      </c>
      <c r="P456" s="6">
        <v>100</v>
      </c>
      <c r="Q456" t="s">
        <v>31</v>
      </c>
      <c r="R456" t="s">
        <v>32</v>
      </c>
      <c r="S456" s="2" t="str">
        <f>HYPERLINK("https://yandex.ru/maps/?&amp;text=59.956566, 30.359769", "59.956566, 30.359769")</f>
        <v>59.956566, 30.359769</v>
      </c>
      <c r="T456" s="2" t="str">
        <f>HYPERLINK("D:\venv_torgi\env\cache\objs_in_district/59.956566_30.359769.json", "59.956566_30.359769.json")</f>
        <v>59.956566_30.359769.json</v>
      </c>
      <c r="U456" t="s">
        <v>1951</v>
      </c>
      <c r="V456" s="7" t="s">
        <v>34</v>
      </c>
      <c r="W456" s="16">
        <v>155715.39051025501</v>
      </c>
      <c r="X456" s="14">
        <v>4722.0130268112698</v>
      </c>
      <c r="Y456">
        <v>0</v>
      </c>
    </row>
    <row r="457" spans="1:25">
      <c r="A457" s="8">
        <v>524</v>
      </c>
      <c r="B457">
        <v>78</v>
      </c>
      <c r="C457" s="1">
        <v>13.9</v>
      </c>
      <c r="D457" s="2" t="str">
        <f>HYPERLINK("https://torgi.gov.ru/new/public/lots/lot/21000002210000000700_1/(lotInfo:info)", "21000002210000000700_1")</f>
        <v>21000002210000000700_1</v>
      </c>
      <c r="E457" t="s">
        <v>1952</v>
      </c>
      <c r="F457" s="3" t="s">
        <v>1946</v>
      </c>
      <c r="G457" t="s">
        <v>1953</v>
      </c>
      <c r="H457" s="4">
        <v>2100000</v>
      </c>
      <c r="I457" s="4">
        <v>151079.13669064749</v>
      </c>
      <c r="J457" s="5" t="s">
        <v>29</v>
      </c>
      <c r="K457" s="5">
        <v>18.88</v>
      </c>
      <c r="L457" s="4">
        <v>782.79</v>
      </c>
      <c r="M457">
        <v>8000</v>
      </c>
      <c r="N457" t="s">
        <v>1783</v>
      </c>
      <c r="O457">
        <v>193</v>
      </c>
      <c r="P457" s="6">
        <v>100</v>
      </c>
      <c r="Q457" t="s">
        <v>31</v>
      </c>
      <c r="R457" t="s">
        <v>32</v>
      </c>
      <c r="S457" s="2" t="str">
        <f>HYPERLINK("https://yandex.ru/maps/?&amp;text=59.931481, 30.334724", "59.931481, 30.334724")</f>
        <v>59.931481, 30.334724</v>
      </c>
      <c r="T457" s="2" t="str">
        <f>HYPERLINK("D:\venv_torgi\env\cache\objs_in_district/59.931481_30.334724.json", "59.931481_30.334724.json")</f>
        <v>59.931481_30.334724.json</v>
      </c>
      <c r="U457" t="s">
        <v>1954</v>
      </c>
      <c r="V457" s="7" t="s">
        <v>34</v>
      </c>
      <c r="W457" s="16">
        <v>153790.58667208691</v>
      </c>
      <c r="X457" s="14">
        <v>2711.4499814394512</v>
      </c>
      <c r="Y457">
        <v>0</v>
      </c>
    </row>
    <row r="458" spans="1:25">
      <c r="A458" s="8">
        <v>525</v>
      </c>
      <c r="B458">
        <v>78</v>
      </c>
      <c r="C458" s="1">
        <v>19</v>
      </c>
      <c r="D458" s="2" t="str">
        <f>HYPERLINK("https://torgi.gov.ru/new/public/lots/lot/21000002210000000562_1/(lotInfo:info)", "21000002210000000562_1")</f>
        <v>21000002210000000562_1</v>
      </c>
      <c r="E458" t="s">
        <v>1955</v>
      </c>
      <c r="F458" s="3" t="s">
        <v>1956</v>
      </c>
      <c r="G458" t="s">
        <v>1957</v>
      </c>
      <c r="H458" s="4">
        <v>2880000</v>
      </c>
      <c r="I458" s="4">
        <v>151578.94736842101</v>
      </c>
      <c r="J458" s="5" t="s">
        <v>29</v>
      </c>
      <c r="K458" s="5">
        <v>28.87</v>
      </c>
      <c r="L458" s="4">
        <v>4330.8</v>
      </c>
      <c r="M458">
        <v>5251</v>
      </c>
      <c r="N458" t="s">
        <v>1783</v>
      </c>
      <c r="O458">
        <v>35</v>
      </c>
      <c r="P458" s="6">
        <v>200</v>
      </c>
      <c r="Q458" t="s">
        <v>31</v>
      </c>
      <c r="R458" t="s">
        <v>32</v>
      </c>
      <c r="S458" s="2" t="str">
        <f>HYPERLINK("https://yandex.ru/maps/?&amp;text=60.064953, 30.311377", "60.064953, 30.311377")</f>
        <v>60.064953, 30.311377</v>
      </c>
      <c r="T458" s="2" t="str">
        <f>HYPERLINK("D:\venv_torgi\env\cache\objs_in_district/60.064953_30.311377.json", "60.064953_30.311377.json")</f>
        <v>60.064953_30.311377.json</v>
      </c>
      <c r="U458" t="s">
        <v>1958</v>
      </c>
      <c r="V458" s="7" t="s">
        <v>34</v>
      </c>
      <c r="W458" s="16">
        <v>143032.07098282719</v>
      </c>
      <c r="X458" s="15">
        <v>-8546.876385593845</v>
      </c>
      <c r="Y458">
        <v>0</v>
      </c>
    </row>
    <row r="459" spans="1:25">
      <c r="A459" s="8">
        <v>526</v>
      </c>
      <c r="B459">
        <v>78</v>
      </c>
      <c r="C459" s="1">
        <v>23.8</v>
      </c>
      <c r="D459" s="2" t="str">
        <f>HYPERLINK("https://torgi.gov.ru/new/public/lots/lot/21000002210000000398_1/(lotInfo:info)", "21000002210000000398_1")</f>
        <v>21000002210000000398_1</v>
      </c>
      <c r="E459" t="s">
        <v>1959</v>
      </c>
      <c r="F459" s="3" t="s">
        <v>1960</v>
      </c>
      <c r="G459" t="s">
        <v>1961</v>
      </c>
      <c r="H459" s="4">
        <v>3680000</v>
      </c>
      <c r="I459" s="4">
        <v>154621.84873949579</v>
      </c>
      <c r="J459" s="5" t="s">
        <v>29</v>
      </c>
      <c r="K459" s="5">
        <v>10.59</v>
      </c>
      <c r="L459" s="4">
        <v>1044.74</v>
      </c>
      <c r="M459">
        <v>14596</v>
      </c>
      <c r="N459" t="s">
        <v>1783</v>
      </c>
      <c r="O459">
        <v>148</v>
      </c>
      <c r="P459" s="6">
        <v>100</v>
      </c>
      <c r="Q459" t="s">
        <v>31</v>
      </c>
      <c r="R459" t="s">
        <v>32</v>
      </c>
      <c r="S459" s="2" t="str">
        <f>HYPERLINK("https://yandex.ru/maps/?&amp;text=59.924149, 30.283708", "59.924149, 30.283708")</f>
        <v>59.924149, 30.283708</v>
      </c>
      <c r="T459" s="2" t="str">
        <f>HYPERLINK("D:\venv_torgi\env\cache\objs_in_district/59.924149_30.283708.json", "59.924149_30.283708.json")</f>
        <v>59.924149_30.283708.json</v>
      </c>
      <c r="U459" t="s">
        <v>1962</v>
      </c>
      <c r="V459" s="7" t="s">
        <v>34</v>
      </c>
      <c r="W459" s="16">
        <v>150360.77908497889</v>
      </c>
      <c r="X459" s="15">
        <v>-4261.0696545168757</v>
      </c>
      <c r="Y459">
        <v>0</v>
      </c>
    </row>
    <row r="460" spans="1:25">
      <c r="A460" s="8">
        <v>527</v>
      </c>
      <c r="B460">
        <v>78</v>
      </c>
      <c r="C460" s="1">
        <v>13</v>
      </c>
      <c r="D460" s="2" t="str">
        <f>HYPERLINK("https://torgi.gov.ru/new/public/lots/lot/21000002210000000298_1/(lotInfo:info)", "21000002210000000298_1")</f>
        <v>21000002210000000298_1</v>
      </c>
      <c r="E460" t="s">
        <v>1963</v>
      </c>
      <c r="F460" s="3" t="s">
        <v>1817</v>
      </c>
      <c r="G460" t="s">
        <v>1964</v>
      </c>
      <c r="H460" s="4">
        <v>2070000</v>
      </c>
      <c r="I460" s="4">
        <v>159230.76923076919</v>
      </c>
      <c r="J460" s="5" t="s">
        <v>29</v>
      </c>
      <c r="K460" s="5">
        <v>10.46</v>
      </c>
      <c r="L460" s="4">
        <v>1851.51</v>
      </c>
      <c r="M460">
        <v>15227</v>
      </c>
      <c r="N460" t="s">
        <v>1783</v>
      </c>
      <c r="O460">
        <v>86</v>
      </c>
      <c r="P460" s="6">
        <v>400</v>
      </c>
      <c r="Q460" t="s">
        <v>31</v>
      </c>
      <c r="R460" t="s">
        <v>32</v>
      </c>
      <c r="S460" s="2" t="str">
        <f>HYPERLINK("https://yandex.ru/maps/?&amp;text=59.918751, 30.280825", "59.918751, 30.280825")</f>
        <v>59.918751, 30.280825</v>
      </c>
      <c r="T460" s="2" t="str">
        <f>HYPERLINK("D:\venv_torgi\env\cache\objs_in_district/59.918751_30.280825.json", "59.918751_30.280825.json")</f>
        <v>59.918751_30.280825.json</v>
      </c>
      <c r="U460" t="s">
        <v>1965</v>
      </c>
      <c r="V460" s="7" t="s">
        <v>34</v>
      </c>
      <c r="W460" s="16">
        <v>146825.90425315849</v>
      </c>
      <c r="X460" s="15">
        <v>-12404.864977610679</v>
      </c>
      <c r="Y460">
        <v>0</v>
      </c>
    </row>
    <row r="461" spans="1:25">
      <c r="A461" s="8">
        <v>528</v>
      </c>
      <c r="B461">
        <v>78</v>
      </c>
      <c r="C461" s="1">
        <v>17.2</v>
      </c>
      <c r="D461" s="2" t="str">
        <f>HYPERLINK("https://torgi.gov.ru/new/public/lots/lot/21000002210000000038_1/(lotInfo:info)", "21000002210000000038_1")</f>
        <v>21000002210000000038_1</v>
      </c>
      <c r="E461" t="s">
        <v>1966</v>
      </c>
      <c r="F461" s="3" t="s">
        <v>1863</v>
      </c>
      <c r="G461" t="s">
        <v>1967</v>
      </c>
      <c r="H461" s="4">
        <v>2750000</v>
      </c>
      <c r="I461" s="4">
        <v>159883.72093023261</v>
      </c>
      <c r="J461" s="5" t="s">
        <v>29</v>
      </c>
      <c r="K461" s="5">
        <v>10.55</v>
      </c>
      <c r="L461" s="4">
        <v>549.42999999999995</v>
      </c>
      <c r="M461">
        <v>15154</v>
      </c>
      <c r="N461" t="s">
        <v>1783</v>
      </c>
      <c r="O461">
        <v>291</v>
      </c>
      <c r="P461" s="6">
        <v>800</v>
      </c>
      <c r="Q461" t="s">
        <v>31</v>
      </c>
      <c r="R461" t="s">
        <v>32</v>
      </c>
      <c r="S461" s="2" t="str">
        <f>HYPERLINK("https://yandex.ru/maps/?&amp;text=59.91365, 30.313191", "59.91365, 30.313191")</f>
        <v>59.91365, 30.313191</v>
      </c>
      <c r="T461" s="2" t="str">
        <f>HYPERLINK("D:\venv_torgi\env\cache\objs_in_district/59.91365_30.313191.json", "59.91365_30.313191.json")</f>
        <v>59.91365_30.313191.json</v>
      </c>
      <c r="U461" t="s">
        <v>1968</v>
      </c>
      <c r="V461" s="7" t="s">
        <v>34</v>
      </c>
      <c r="W461" s="16">
        <v>159234.78708796701</v>
      </c>
      <c r="X461" s="15">
        <v>-648.933842265571</v>
      </c>
      <c r="Y461">
        <v>0</v>
      </c>
    </row>
    <row r="462" spans="1:25">
      <c r="A462" s="8">
        <v>529</v>
      </c>
      <c r="B462">
        <v>78</v>
      </c>
      <c r="C462" s="1">
        <v>28</v>
      </c>
      <c r="D462" s="2" t="str">
        <f>HYPERLINK("https://torgi.gov.ru/new/public/lots/lot/21000002210000000124_1/(lotInfo:info)", "21000002210000000124_1")</f>
        <v>21000002210000000124_1</v>
      </c>
      <c r="E462" t="s">
        <v>1969</v>
      </c>
      <c r="F462" s="3" t="s">
        <v>1970</v>
      </c>
      <c r="G462" t="s">
        <v>1971</v>
      </c>
      <c r="H462" s="4">
        <v>4500000</v>
      </c>
      <c r="I462" s="4">
        <v>160714.28571428571</v>
      </c>
      <c r="J462" s="5" t="s">
        <v>29</v>
      </c>
      <c r="K462" s="5">
        <v>32.950000000000003</v>
      </c>
      <c r="L462" s="4">
        <v>539.30999999999995</v>
      </c>
      <c r="M462">
        <v>4878</v>
      </c>
      <c r="N462" t="s">
        <v>1783</v>
      </c>
      <c r="O462">
        <v>298</v>
      </c>
      <c r="P462" s="6">
        <v>700</v>
      </c>
      <c r="Q462" t="s">
        <v>31</v>
      </c>
      <c r="R462" t="s">
        <v>32</v>
      </c>
      <c r="S462" s="2" t="str">
        <f>HYPERLINK("https://yandex.ru/maps/?&amp;text=59.939, 30.323234", "59.939, 30.323234")</f>
        <v>59.939, 30.323234</v>
      </c>
      <c r="T462" s="2" t="str">
        <f>HYPERLINK("D:\venv_torgi\env\cache\objs_in_district/59.939_30.323234.json", "59.939_30.323234.json")</f>
        <v>59.939_30.323234.json</v>
      </c>
      <c r="U462" t="s">
        <v>1972</v>
      </c>
      <c r="V462" s="7" t="s">
        <v>39</v>
      </c>
      <c r="W462" s="16">
        <v>119871.4258748766</v>
      </c>
      <c r="X462" s="15">
        <v>-40842.859839409153</v>
      </c>
      <c r="Y462">
        <v>0</v>
      </c>
    </row>
    <row r="463" spans="1:25">
      <c r="A463" s="8">
        <v>530</v>
      </c>
      <c r="B463">
        <v>78</v>
      </c>
      <c r="C463" s="1">
        <v>24.9</v>
      </c>
      <c r="D463" s="2" t="str">
        <f>HYPERLINK("https://torgi.gov.ru/new/public/lots/lot/21000002210000000792_1/(lotInfo:info)", "21000002210000000792_1")</f>
        <v>21000002210000000792_1</v>
      </c>
      <c r="E463" t="s">
        <v>1973</v>
      </c>
      <c r="F463" s="3" t="s">
        <v>1974</v>
      </c>
      <c r="G463" t="s">
        <v>1975</v>
      </c>
      <c r="H463" s="4">
        <v>4020000</v>
      </c>
      <c r="I463" s="4">
        <v>161445.78313253011</v>
      </c>
      <c r="J463" s="5" t="s">
        <v>29</v>
      </c>
      <c r="K463" s="5">
        <v>13.45</v>
      </c>
      <c r="L463" s="4">
        <v>799.23</v>
      </c>
      <c r="M463">
        <v>12006</v>
      </c>
      <c r="N463" t="s">
        <v>1783</v>
      </c>
      <c r="O463">
        <v>202</v>
      </c>
      <c r="P463" s="6">
        <v>600</v>
      </c>
      <c r="Q463" t="s">
        <v>31</v>
      </c>
      <c r="R463" t="s">
        <v>32</v>
      </c>
      <c r="S463" s="2" t="str">
        <f>HYPERLINK("https://yandex.ru/maps/?&amp;text=59.939915, 30.34209", "59.939915, 30.34209")</f>
        <v>59.939915, 30.34209</v>
      </c>
      <c r="T463" s="2" t="str">
        <f>HYPERLINK("D:\venv_torgi\env\cache\objs_in_district/59.939915_30.34209.json", "59.939915_30.34209.json")</f>
        <v>59.939915_30.34209.json</v>
      </c>
      <c r="U463" t="s">
        <v>1976</v>
      </c>
      <c r="V463" s="7" t="s">
        <v>34</v>
      </c>
      <c r="W463" s="16">
        <v>153076.489272576</v>
      </c>
      <c r="X463" s="15">
        <v>-8369.2938599541085</v>
      </c>
      <c r="Y463">
        <v>0</v>
      </c>
    </row>
    <row r="464" spans="1:25">
      <c r="A464" s="8">
        <v>531</v>
      </c>
      <c r="B464">
        <v>78</v>
      </c>
      <c r="C464" s="1">
        <v>10.9</v>
      </c>
      <c r="D464" s="2" t="str">
        <f>HYPERLINK("https://torgi.gov.ru/new/public/lots/lot/21000002210000000477_1/(lotInfo:info)", "21000002210000000477_1")</f>
        <v>21000002210000000477_1</v>
      </c>
      <c r="E464" t="s">
        <v>1977</v>
      </c>
      <c r="F464" s="3" t="s">
        <v>1978</v>
      </c>
      <c r="G464" t="s">
        <v>1979</v>
      </c>
      <c r="H464" s="4">
        <v>1800000</v>
      </c>
      <c r="I464" s="4">
        <v>165137.61467889909</v>
      </c>
      <c r="J464" s="5" t="s">
        <v>1980</v>
      </c>
      <c r="K464" s="5">
        <v>26.19</v>
      </c>
      <c r="L464" s="4">
        <v>727.48</v>
      </c>
      <c r="M464">
        <v>6306</v>
      </c>
      <c r="N464" t="s">
        <v>1783</v>
      </c>
      <c r="O464">
        <v>227</v>
      </c>
      <c r="P464" s="6">
        <v>100</v>
      </c>
      <c r="Q464" t="s">
        <v>31</v>
      </c>
      <c r="R464" t="s">
        <v>32</v>
      </c>
      <c r="S464" s="2" t="str">
        <f>HYPERLINK("https://yandex.ru/maps/?&amp;text=59.8989631, 30.4278453", "59.8989631, 30.4278453")</f>
        <v>59.8989631, 30.4278453</v>
      </c>
      <c r="T464" s="2" t="str">
        <f>HYPERLINK("D:\venv_torgi\env\cache\objs_in_district/59.8989631_30.4278453.json", "59.8989631_30.4278453.json")</f>
        <v>59.8989631_30.4278453.json</v>
      </c>
      <c r="U464" t="s">
        <v>1981</v>
      </c>
      <c r="V464" s="7" t="s">
        <v>128</v>
      </c>
      <c r="W464" s="16">
        <v>134356.05815534719</v>
      </c>
      <c r="X464" s="15">
        <v>-30781.556523551841</v>
      </c>
      <c r="Y464">
        <v>0</v>
      </c>
    </row>
    <row r="465" spans="1:25">
      <c r="A465" s="8">
        <v>532</v>
      </c>
      <c r="B465">
        <v>78</v>
      </c>
      <c r="C465" s="1">
        <v>13</v>
      </c>
      <c r="D465" s="2" t="str">
        <f>HYPERLINK("https://torgi.gov.ru/new/public/lots/lot/21000002210000000505_1/(lotInfo:info)", "21000002210000000505_1")</f>
        <v>21000002210000000505_1</v>
      </c>
      <c r="E465" t="s">
        <v>1982</v>
      </c>
      <c r="F465" s="3" t="s">
        <v>1983</v>
      </c>
      <c r="G465" t="s">
        <v>1984</v>
      </c>
      <c r="H465" s="4">
        <v>2190000</v>
      </c>
      <c r="I465" s="4">
        <v>168461.5384615385</v>
      </c>
      <c r="J465" s="5" t="s">
        <v>29</v>
      </c>
      <c r="K465" s="5">
        <v>19.43</v>
      </c>
      <c r="L465" s="4">
        <v>578.9</v>
      </c>
      <c r="M465">
        <v>8669</v>
      </c>
      <c r="N465" t="s">
        <v>1783</v>
      </c>
      <c r="O465">
        <v>291</v>
      </c>
      <c r="P465" s="6">
        <v>200</v>
      </c>
      <c r="Q465" t="s">
        <v>31</v>
      </c>
      <c r="R465" t="s">
        <v>32</v>
      </c>
      <c r="S465" s="2" t="str">
        <f>HYPERLINK("https://yandex.ru/maps/?&amp;text=59.939753, 30.276163", "59.939753, 30.276163")</f>
        <v>59.939753, 30.276163</v>
      </c>
      <c r="T465" s="2" t="str">
        <f>HYPERLINK("D:\venv_torgi\env\cache\objs_in_district/59.939753_30.276163.json", "59.939753_30.276163.json")</f>
        <v>59.939753_30.276163.json</v>
      </c>
      <c r="U465" t="s">
        <v>1985</v>
      </c>
      <c r="V465" s="7" t="s">
        <v>39</v>
      </c>
      <c r="W465" s="16">
        <v>121249.2060592635</v>
      </c>
      <c r="X465" s="15">
        <v>-47212.332402275031</v>
      </c>
      <c r="Y465">
        <v>0</v>
      </c>
    </row>
    <row r="466" spans="1:25">
      <c r="A466" s="8">
        <v>533</v>
      </c>
      <c r="B466">
        <v>78</v>
      </c>
      <c r="C466" s="1">
        <v>15</v>
      </c>
      <c r="D466" s="2" t="str">
        <f>HYPERLINK("https://torgi.gov.ru/new/public/lots/lot/21000002210000000060_1/(lotInfo:info)", "21000002210000000060_1")</f>
        <v>21000002210000000060_1</v>
      </c>
      <c r="E466" t="s">
        <v>1986</v>
      </c>
      <c r="F466" s="3" t="s">
        <v>1852</v>
      </c>
      <c r="G466" t="s">
        <v>1987</v>
      </c>
      <c r="H466" s="4">
        <v>2530000</v>
      </c>
      <c r="I466" s="4">
        <v>168666.66666666669</v>
      </c>
      <c r="J466" s="5" t="s">
        <v>29</v>
      </c>
      <c r="K466" s="5">
        <v>36.479999999999997</v>
      </c>
      <c r="L466" s="4">
        <v>1519.51</v>
      </c>
      <c r="M466">
        <v>4623</v>
      </c>
      <c r="N466" t="s">
        <v>1783</v>
      </c>
      <c r="O466">
        <v>111</v>
      </c>
      <c r="P466" s="6">
        <v>300</v>
      </c>
      <c r="Q466" t="s">
        <v>31</v>
      </c>
      <c r="R466" t="s">
        <v>32</v>
      </c>
      <c r="S466" s="2" t="str">
        <f>HYPERLINK("https://yandex.ru/maps/?&amp;text=59.909612, 30.278498", "59.909612, 30.278498")</f>
        <v>59.909612, 30.278498</v>
      </c>
      <c r="T466" s="2" t="str">
        <f>HYPERLINK("D:\venv_torgi\env\cache\objs_in_district/59.909612_30.278498.json", "59.909612_30.278498.json")</f>
        <v>59.909612_30.278498.json</v>
      </c>
      <c r="U466" t="s">
        <v>1988</v>
      </c>
      <c r="V466" s="7" t="s">
        <v>34</v>
      </c>
      <c r="W466" s="16">
        <v>148083.77585041171</v>
      </c>
      <c r="X466" s="15">
        <v>-20582.890816255011</v>
      </c>
      <c r="Y466">
        <v>0</v>
      </c>
    </row>
    <row r="467" spans="1:25">
      <c r="A467" s="8">
        <v>534</v>
      </c>
      <c r="B467">
        <v>78</v>
      </c>
      <c r="C467" s="1">
        <v>14.9</v>
      </c>
      <c r="D467" s="2" t="str">
        <f>HYPERLINK("https://torgi.gov.ru/new/public/lots/lot/21000002210000000022_1/(lotInfo:info)", "21000002210000000022_1")</f>
        <v>21000002210000000022_1</v>
      </c>
      <c r="E467" t="s">
        <v>1989</v>
      </c>
      <c r="F467" s="3" t="s">
        <v>1798</v>
      </c>
      <c r="G467" t="s">
        <v>1990</v>
      </c>
      <c r="H467" s="4">
        <v>2520000</v>
      </c>
      <c r="I467" s="4">
        <v>169127.51677852351</v>
      </c>
      <c r="J467" s="5" t="s">
        <v>29</v>
      </c>
      <c r="K467" s="5">
        <v>12.65</v>
      </c>
      <c r="L467" s="4">
        <v>1191.04</v>
      </c>
      <c r="M467">
        <v>13366</v>
      </c>
      <c r="N467" t="s">
        <v>1783</v>
      </c>
      <c r="O467">
        <v>142</v>
      </c>
      <c r="P467" s="6">
        <v>100</v>
      </c>
      <c r="Q467" t="s">
        <v>31</v>
      </c>
      <c r="R467" t="s">
        <v>32</v>
      </c>
      <c r="S467" s="2" t="str">
        <f>HYPERLINK("https://yandex.ru/maps/?&amp;text=59.919491, 30.297363", "59.919491, 30.297363")</f>
        <v>59.919491, 30.297363</v>
      </c>
      <c r="T467" s="2" t="str">
        <f>HYPERLINK("D:\venv_torgi\env\cache\objs_in_district/59.919491_30.297363.json", "59.919491_30.297363.json")</f>
        <v>59.919491_30.297363.json</v>
      </c>
      <c r="U467" t="s">
        <v>1991</v>
      </c>
      <c r="V467" s="7" t="s">
        <v>34</v>
      </c>
      <c r="W467" s="16">
        <v>150595.94519804351</v>
      </c>
      <c r="X467" s="15">
        <v>-18531.571580479969</v>
      </c>
      <c r="Y467">
        <v>0</v>
      </c>
    </row>
    <row r="468" spans="1:25">
      <c r="A468" s="8">
        <v>535</v>
      </c>
      <c r="B468">
        <v>78</v>
      </c>
      <c r="C468" s="1">
        <v>31.9</v>
      </c>
      <c r="D468" s="2" t="str">
        <f>HYPERLINK("https://torgi.gov.ru/new/public/lots/lot/21000002210000000383_1/(lotInfo:info)", "21000002210000000383_1")</f>
        <v>21000002210000000383_1</v>
      </c>
      <c r="E468" t="s">
        <v>1992</v>
      </c>
      <c r="F468" s="3" t="s">
        <v>1993</v>
      </c>
      <c r="G468" t="s">
        <v>1994</v>
      </c>
      <c r="H468" s="4">
        <v>5400000</v>
      </c>
      <c r="I468" s="4">
        <v>169278.99686520381</v>
      </c>
      <c r="J468" s="5" t="s">
        <v>29</v>
      </c>
      <c r="K468" s="5">
        <v>18.420000000000002</v>
      </c>
      <c r="L468" s="4">
        <v>461.25</v>
      </c>
      <c r="M468">
        <v>9189</v>
      </c>
      <c r="N468" t="s">
        <v>1783</v>
      </c>
      <c r="O468">
        <v>367</v>
      </c>
      <c r="P468" s="6">
        <v>100</v>
      </c>
      <c r="Q468" t="s">
        <v>31</v>
      </c>
      <c r="R468" t="s">
        <v>32</v>
      </c>
      <c r="S468" s="2" t="str">
        <f>HYPERLINK("https://yandex.ru/maps/?&amp;text=59.928176, 30.326082", "59.928176, 30.326082")</f>
        <v>59.928176, 30.326082</v>
      </c>
      <c r="T468" s="2" t="str">
        <f>HYPERLINK("D:\venv_torgi\env\cache\objs_in_district/59.928176_30.326082.json", "59.928176_30.326082.json")</f>
        <v>59.928176_30.326082.json</v>
      </c>
      <c r="U468" t="s">
        <v>1995</v>
      </c>
      <c r="V468" s="7" t="s">
        <v>39</v>
      </c>
      <c r="W468" s="16">
        <v>124880.395238621</v>
      </c>
      <c r="X468" s="15">
        <v>-44398.601626582851</v>
      </c>
      <c r="Y468">
        <v>0</v>
      </c>
    </row>
    <row r="469" spans="1:25">
      <c r="A469" s="8">
        <v>536</v>
      </c>
      <c r="B469">
        <v>78</v>
      </c>
      <c r="C469" s="1">
        <v>42</v>
      </c>
      <c r="D469" s="2" t="str">
        <f>HYPERLINK("https://torgi.gov.ru/new/public/lots/lot/21000002210000000639_1/(lotInfo:info)", "21000002210000000639_1")</f>
        <v>21000002210000000639_1</v>
      </c>
      <c r="E469" t="s">
        <v>1996</v>
      </c>
      <c r="F469" s="3" t="s">
        <v>1859</v>
      </c>
      <c r="G469" t="s">
        <v>1997</v>
      </c>
      <c r="H469" s="4">
        <v>7300000</v>
      </c>
      <c r="I469" s="4">
        <v>173809.52380952379</v>
      </c>
      <c r="J469" s="5" t="s">
        <v>29</v>
      </c>
      <c r="K469" s="5">
        <v>44.29</v>
      </c>
      <c r="L469" s="4">
        <v>700.84</v>
      </c>
      <c r="M469">
        <v>3924</v>
      </c>
      <c r="N469" t="s">
        <v>1783</v>
      </c>
      <c r="O469">
        <v>248</v>
      </c>
      <c r="P469" s="6">
        <v>100</v>
      </c>
      <c r="Q469" t="s">
        <v>31</v>
      </c>
      <c r="R469" t="s">
        <v>32</v>
      </c>
      <c r="S469" s="2" t="str">
        <f>HYPERLINK("https://yandex.ru/maps/?&amp;text=59.9363379, 30.3159641", "59.9363379, 30.3159641")</f>
        <v>59.9363379, 30.3159641</v>
      </c>
      <c r="T469" s="2" t="str">
        <f>HYPERLINK("D:\venv_torgi\env\cache\objs_in_district/59.9363379_30.3159641.json", "59.9363379_30.3159641.json")</f>
        <v>59.9363379_30.3159641.json</v>
      </c>
      <c r="U469" t="s">
        <v>1998</v>
      </c>
      <c r="V469" s="7" t="s">
        <v>34</v>
      </c>
      <c r="W469" s="16">
        <v>155126.81940463401</v>
      </c>
      <c r="X469" s="15">
        <v>-18682.704404889781</v>
      </c>
      <c r="Y469">
        <v>0</v>
      </c>
    </row>
    <row r="470" spans="1:25">
      <c r="A470" s="8">
        <v>537</v>
      </c>
      <c r="B470">
        <v>78</v>
      </c>
      <c r="C470" s="1">
        <v>17.8</v>
      </c>
      <c r="D470" s="2" t="str">
        <f>HYPERLINK("https://torgi.gov.ru/new/public/lots/lot/21000002210000000428_1/(lotInfo:info)", "21000002210000000428_1")</f>
        <v>21000002210000000428_1</v>
      </c>
      <c r="E470" t="s">
        <v>1999</v>
      </c>
      <c r="F470" s="3" t="s">
        <v>2000</v>
      </c>
      <c r="G470" t="s">
        <v>2001</v>
      </c>
      <c r="H470" s="4">
        <v>3100000</v>
      </c>
      <c r="I470" s="4">
        <v>174157.30337078651</v>
      </c>
      <c r="J470" s="5" t="s">
        <v>29</v>
      </c>
      <c r="K470" s="5">
        <v>28</v>
      </c>
      <c r="L470" s="4">
        <v>445.41</v>
      </c>
      <c r="M470">
        <v>6219</v>
      </c>
      <c r="N470" t="s">
        <v>1783</v>
      </c>
      <c r="O470">
        <v>391</v>
      </c>
      <c r="P470" s="6">
        <v>500</v>
      </c>
      <c r="Q470" t="s">
        <v>31</v>
      </c>
      <c r="R470" t="s">
        <v>32</v>
      </c>
      <c r="S470" s="2" t="str">
        <f>HYPERLINK("https://yandex.ru/maps/?&amp;text=59.936079, 30.33776", "59.936079, 30.33776")</f>
        <v>59.936079, 30.33776</v>
      </c>
      <c r="T470" s="2" t="str">
        <f>HYPERLINK("D:\venv_torgi\env\cache\objs_in_district/59.936079_30.33776.json", "59.936079_30.33776.json")</f>
        <v>59.936079_30.33776.json</v>
      </c>
      <c r="U470" t="s">
        <v>2002</v>
      </c>
      <c r="V470" s="7" t="s">
        <v>128</v>
      </c>
      <c r="W470" s="16">
        <v>151191.90786533579</v>
      </c>
      <c r="X470" s="15">
        <v>-22965.39550545075</v>
      </c>
      <c r="Y470">
        <v>0</v>
      </c>
    </row>
    <row r="471" spans="1:25">
      <c r="A471" s="8">
        <v>538</v>
      </c>
      <c r="B471">
        <v>78</v>
      </c>
      <c r="C471" s="1">
        <v>24.2</v>
      </c>
      <c r="D471" s="2" t="str">
        <f>HYPERLINK("https://torgi.gov.ru/new/public/lots/lot/21000002210000000072_1/(lotInfo:info)", "21000002210000000072_1")</f>
        <v>21000002210000000072_1</v>
      </c>
      <c r="E471" t="s">
        <v>2003</v>
      </c>
      <c r="F471" s="3" t="s">
        <v>1880</v>
      </c>
      <c r="G471" t="s">
        <v>2004</v>
      </c>
      <c r="H471" s="4">
        <v>4240000</v>
      </c>
      <c r="I471" s="4">
        <v>175206.61157024789</v>
      </c>
      <c r="J471" s="5" t="s">
        <v>29</v>
      </c>
      <c r="K471" s="5">
        <v>12.14</v>
      </c>
      <c r="L471" s="4">
        <v>3650.12</v>
      </c>
      <c r="M471">
        <v>14430</v>
      </c>
      <c r="N471" t="s">
        <v>1783</v>
      </c>
      <c r="O471">
        <v>48</v>
      </c>
      <c r="Q471" t="s">
        <v>31</v>
      </c>
      <c r="R471" t="s">
        <v>32</v>
      </c>
      <c r="S471" s="2" t="str">
        <f>HYPERLINK("https://yandex.ru/maps/?&amp;text=59.847652, 30.205474", "59.847652, 30.205474")</f>
        <v>59.847652, 30.205474</v>
      </c>
      <c r="T471" s="2" t="str">
        <f>HYPERLINK("D:\venv_torgi\env\cache\objs_in_district/59.847652_30.205474.json", "59.847652_30.205474.json")</f>
        <v>59.847652_30.205474.json</v>
      </c>
      <c r="U471" t="s">
        <v>2005</v>
      </c>
      <c r="V471" s="7" t="s">
        <v>34</v>
      </c>
      <c r="W471" s="16">
        <v>143885.36091526161</v>
      </c>
      <c r="X471" s="15">
        <v>-31321.250654986299</v>
      </c>
      <c r="Y471">
        <v>0</v>
      </c>
    </row>
    <row r="472" spans="1:25">
      <c r="A472" s="8">
        <v>539</v>
      </c>
      <c r="B472">
        <v>78</v>
      </c>
      <c r="C472" s="1">
        <v>20.2</v>
      </c>
      <c r="D472" s="2" t="str">
        <f>HYPERLINK("https://torgi.gov.ru/new/public/lots/lot/21000002210000000147_1/(lotInfo:info)", "21000002210000000147_1")</f>
        <v>21000002210000000147_1</v>
      </c>
      <c r="E472" t="s">
        <v>2006</v>
      </c>
      <c r="F472" s="3" t="s">
        <v>2007</v>
      </c>
      <c r="G472" t="s">
        <v>2008</v>
      </c>
      <c r="H472" s="4">
        <v>3540000</v>
      </c>
      <c r="I472" s="4">
        <v>175247.52475247529</v>
      </c>
      <c r="J472" s="5" t="s">
        <v>29</v>
      </c>
      <c r="K472" s="5">
        <v>21.08</v>
      </c>
      <c r="L472" s="4">
        <v>1472.66</v>
      </c>
      <c r="M472">
        <v>8314</v>
      </c>
      <c r="N472" t="s">
        <v>1783</v>
      </c>
      <c r="O472">
        <v>119</v>
      </c>
      <c r="P472" s="6">
        <v>200</v>
      </c>
      <c r="Q472" t="s">
        <v>31</v>
      </c>
      <c r="R472" t="s">
        <v>32</v>
      </c>
      <c r="S472" s="2" t="str">
        <f>HYPERLINK("https://yandex.ru/maps/?&amp;text=59.91432, 30.30535", "59.91432, 30.30535")</f>
        <v>59.91432, 30.30535</v>
      </c>
      <c r="T472" s="2" t="str">
        <f>HYPERLINK("D:\venv_torgi\env\cache\objs_in_district/59.91432_30.30535.json", "59.91432_30.30535.json")</f>
        <v>59.91432_30.30535.json</v>
      </c>
      <c r="U472" t="s">
        <v>2009</v>
      </c>
      <c r="V472" s="7" t="s">
        <v>34</v>
      </c>
      <c r="W472" s="16">
        <v>148447.1042389494</v>
      </c>
      <c r="X472" s="15">
        <v>-26800.420513525929</v>
      </c>
      <c r="Y472">
        <v>0</v>
      </c>
    </row>
    <row r="473" spans="1:25">
      <c r="A473" s="8">
        <v>540</v>
      </c>
      <c r="B473">
        <v>78</v>
      </c>
      <c r="C473" s="1">
        <v>17.399999999999999</v>
      </c>
      <c r="D473" s="2" t="str">
        <f>HYPERLINK("https://torgi.gov.ru/new/public/lots/lot/21000002210000000045_1/(lotInfo:info)", "21000002210000000045_1")</f>
        <v>21000002210000000045_1</v>
      </c>
      <c r="E473" t="s">
        <v>2010</v>
      </c>
      <c r="F473" s="3" t="s">
        <v>1863</v>
      </c>
      <c r="G473" t="s">
        <v>2011</v>
      </c>
      <c r="H473" s="4">
        <v>3080000</v>
      </c>
      <c r="I473" s="4">
        <v>177011.49425287361</v>
      </c>
      <c r="J473" s="5" t="s">
        <v>29</v>
      </c>
      <c r="K473" s="5">
        <v>18.32</v>
      </c>
      <c r="L473" s="4">
        <v>1945.18</v>
      </c>
      <c r="M473">
        <v>9662</v>
      </c>
      <c r="N473" t="s">
        <v>1783</v>
      </c>
      <c r="O473">
        <v>91</v>
      </c>
      <c r="P473" s="6">
        <v>300</v>
      </c>
      <c r="Q473" t="s">
        <v>31</v>
      </c>
      <c r="R473" t="s">
        <v>32</v>
      </c>
      <c r="S473" s="2" t="str">
        <f>HYPERLINK("https://yandex.ru/maps/?&amp;text=59.952074, 30.232891", "59.952074, 30.232891")</f>
        <v>59.952074, 30.232891</v>
      </c>
      <c r="T473" s="2" t="str">
        <f>HYPERLINK("D:\venv_torgi\env\cache\objs_in_district/59.952074_30.232891.json", "59.952074_30.232891.json")</f>
        <v>59.952074_30.232891.json</v>
      </c>
      <c r="U473" t="s">
        <v>2012</v>
      </c>
      <c r="V473" s="7" t="s">
        <v>34</v>
      </c>
      <c r="W473" s="16">
        <v>146772.04711874609</v>
      </c>
      <c r="X473" s="15">
        <v>-30239.447134127549</v>
      </c>
      <c r="Y473">
        <v>0</v>
      </c>
    </row>
    <row r="474" spans="1:25">
      <c r="A474" s="8">
        <v>541</v>
      </c>
      <c r="B474">
        <v>78</v>
      </c>
      <c r="C474" s="1">
        <v>13.3</v>
      </c>
      <c r="D474" s="2" t="str">
        <f>HYPERLINK("https://torgi.gov.ru/new/public/lots/lot/21000002210000000116_1/(lotInfo:info)", "21000002210000000116_1")</f>
        <v>21000002210000000116_1</v>
      </c>
      <c r="E474" t="s">
        <v>2013</v>
      </c>
      <c r="F474" s="3" t="s">
        <v>1813</v>
      </c>
      <c r="G474" t="s">
        <v>2014</v>
      </c>
      <c r="H474" s="4">
        <v>2370000</v>
      </c>
      <c r="I474" s="4">
        <v>178195.48872180449</v>
      </c>
      <c r="J474" s="5" t="s">
        <v>1980</v>
      </c>
      <c r="K474" s="5">
        <v>19.940000000000001</v>
      </c>
      <c r="L474" s="4">
        <v>565.70000000000005</v>
      </c>
      <c r="M474">
        <v>8937</v>
      </c>
      <c r="N474" t="s">
        <v>1783</v>
      </c>
      <c r="O474">
        <v>315</v>
      </c>
      <c r="P474" s="6">
        <v>200</v>
      </c>
      <c r="Q474" t="s">
        <v>31</v>
      </c>
      <c r="R474" t="s">
        <v>32</v>
      </c>
      <c r="S474" s="2" t="str">
        <f>HYPERLINK("https://yandex.ru/maps/?&amp;text=59.875181, 30.440096", "59.875181, 30.440096")</f>
        <v>59.875181, 30.440096</v>
      </c>
      <c r="T474" s="2" t="str">
        <f>HYPERLINK("D:\venv_torgi\env\cache\objs_in_district/59.875181_30.440096.json", "59.875181_30.440096.json")</f>
        <v>59.875181_30.440096.json</v>
      </c>
      <c r="U474" t="s">
        <v>2015</v>
      </c>
      <c r="V474" s="7" t="s">
        <v>34</v>
      </c>
      <c r="W474" s="16">
        <v>154332.97663961971</v>
      </c>
      <c r="X474" s="15">
        <v>-23862.51208218481</v>
      </c>
      <c r="Y474">
        <v>0</v>
      </c>
    </row>
    <row r="475" spans="1:25">
      <c r="A475" s="8">
        <v>542</v>
      </c>
      <c r="B475">
        <v>78</v>
      </c>
      <c r="C475" s="1">
        <v>17.2</v>
      </c>
      <c r="D475" s="2" t="str">
        <f>HYPERLINK("https://torgi.gov.ru/new/public/lots/lot/21000002210000000514_1/(lotInfo:info)", "21000002210000000514_1")</f>
        <v>21000002210000000514_1</v>
      </c>
      <c r="E475" t="s">
        <v>2016</v>
      </c>
      <c r="F475" s="3" t="s">
        <v>1983</v>
      </c>
      <c r="G475" t="s">
        <v>2017</v>
      </c>
      <c r="H475" s="4">
        <v>3100000</v>
      </c>
      <c r="I475" s="4">
        <v>180232.5581395349</v>
      </c>
      <c r="J475" s="5" t="s">
        <v>29</v>
      </c>
      <c r="K475" s="5">
        <v>18.190000000000001</v>
      </c>
      <c r="L475" s="4">
        <v>1234.47</v>
      </c>
      <c r="M475">
        <v>9906</v>
      </c>
      <c r="N475" t="s">
        <v>1783</v>
      </c>
      <c r="O475">
        <v>146</v>
      </c>
      <c r="P475" s="6">
        <v>700</v>
      </c>
      <c r="Q475" t="s">
        <v>31</v>
      </c>
      <c r="R475" t="s">
        <v>32</v>
      </c>
      <c r="S475" s="2" t="str">
        <f>HYPERLINK("https://yandex.ru/maps/?&amp;text=59.924055, 30.300794", "59.924055, 30.300794")</f>
        <v>59.924055, 30.300794</v>
      </c>
      <c r="T475" s="2" t="str">
        <f>HYPERLINK("D:\venv_torgi\env\cache\objs_in_district/59.924055_30.300794.json", "59.924055_30.300794.json")</f>
        <v>59.924055_30.300794.json</v>
      </c>
      <c r="U475" t="s">
        <v>2018</v>
      </c>
      <c r="V475" s="7" t="s">
        <v>128</v>
      </c>
      <c r="W475" s="16">
        <v>135328.81306418631</v>
      </c>
      <c r="X475" s="15">
        <v>-44903.745075348648</v>
      </c>
      <c r="Y475">
        <v>0</v>
      </c>
    </row>
    <row r="476" spans="1:25">
      <c r="A476" s="8">
        <v>543</v>
      </c>
      <c r="B476">
        <v>78</v>
      </c>
      <c r="C476" s="1">
        <v>20.100000000000001</v>
      </c>
      <c r="D476" s="2" t="str">
        <f>HYPERLINK("https://torgi.gov.ru/new/public/lots/lot/21000002210000000610_1/(lotInfo:info)", "21000002210000000610_1")</f>
        <v>21000002210000000610_1</v>
      </c>
      <c r="E476" t="s">
        <v>2019</v>
      </c>
      <c r="F476" s="3" t="s">
        <v>1781</v>
      </c>
      <c r="G476" t="s">
        <v>2020</v>
      </c>
      <c r="H476" s="4">
        <v>3790000</v>
      </c>
      <c r="I476" s="4">
        <v>188557.21393034831</v>
      </c>
      <c r="J476" s="5" t="s">
        <v>29</v>
      </c>
      <c r="K476" s="5">
        <v>17.29</v>
      </c>
      <c r="L476" s="4">
        <v>1274.03</v>
      </c>
      <c r="M476">
        <v>10908</v>
      </c>
      <c r="N476" t="s">
        <v>1783</v>
      </c>
      <c r="O476">
        <v>148</v>
      </c>
      <c r="P476" s="6">
        <v>300</v>
      </c>
      <c r="Q476" t="s">
        <v>31</v>
      </c>
      <c r="R476" t="s">
        <v>32</v>
      </c>
      <c r="S476" s="2" t="str">
        <f>HYPERLINK("https://yandex.ru/maps/?&amp;text=59.92796, 30.30163", "59.92796, 30.30163")</f>
        <v>59.92796, 30.30163</v>
      </c>
      <c r="T476" s="2" t="str">
        <f>HYPERLINK("D:\venv_torgi\env\cache\objs_in_district/59.92796_30.30163.json", "59.92796_30.30163.json")</f>
        <v>59.92796_30.30163.json</v>
      </c>
      <c r="U476" t="s">
        <v>2021</v>
      </c>
      <c r="V476" s="7" t="s">
        <v>39</v>
      </c>
      <c r="W476" s="16">
        <v>111461.2785200138</v>
      </c>
      <c r="X476" s="15">
        <v>-77095.935410334525</v>
      </c>
      <c r="Y476">
        <v>0</v>
      </c>
    </row>
    <row r="477" spans="1:25">
      <c r="A477" s="8">
        <v>544</v>
      </c>
      <c r="B477">
        <v>78</v>
      </c>
      <c r="C477" s="1">
        <v>11.3</v>
      </c>
      <c r="D477" s="2" t="str">
        <f>HYPERLINK("https://torgi.gov.ru/new/public/lots/lot/21000002210000000791_1/(lotInfo:info)", "21000002210000000791_1")</f>
        <v>21000002210000000791_1</v>
      </c>
      <c r="E477" t="s">
        <v>2022</v>
      </c>
      <c r="F477" s="3" t="s">
        <v>1974</v>
      </c>
      <c r="G477" t="s">
        <v>2023</v>
      </c>
      <c r="H477" s="4">
        <v>2176000</v>
      </c>
      <c r="I477" s="4">
        <v>192566.37168141591</v>
      </c>
      <c r="J477" s="5" t="s">
        <v>29</v>
      </c>
      <c r="K477" s="5">
        <v>18.89</v>
      </c>
      <c r="L477" s="4">
        <v>623.19000000000005</v>
      </c>
      <c r="M477">
        <v>10194</v>
      </c>
      <c r="N477" t="s">
        <v>1783</v>
      </c>
      <c r="O477">
        <v>309</v>
      </c>
      <c r="P477" s="6">
        <v>200</v>
      </c>
      <c r="Q477" t="s">
        <v>31</v>
      </c>
      <c r="R477" t="s">
        <v>32</v>
      </c>
      <c r="S477" s="2" t="str">
        <f>HYPERLINK("https://yandex.ru/maps/?&amp;text=59.940393, 30.359904", "59.940393, 30.359904")</f>
        <v>59.940393, 30.359904</v>
      </c>
      <c r="T477" s="2" t="str">
        <f>HYPERLINK("D:\venv_torgi\env\cache\objs_in_district/59.940393_30.359904.json", "59.940393_30.359904.json")</f>
        <v>59.940393_30.359904.json</v>
      </c>
      <c r="U477" t="s">
        <v>2024</v>
      </c>
      <c r="V477" s="7" t="s">
        <v>34</v>
      </c>
      <c r="W477" s="16">
        <v>161401.22369171359</v>
      </c>
      <c r="X477" s="15">
        <v>-31165.147989702269</v>
      </c>
      <c r="Y477">
        <v>0</v>
      </c>
    </row>
    <row r="478" spans="1:25">
      <c r="A478" s="8">
        <v>545</v>
      </c>
      <c r="B478">
        <v>78</v>
      </c>
      <c r="C478" s="1">
        <v>37.5</v>
      </c>
      <c r="D478" s="2" t="str">
        <f>HYPERLINK("https://torgi.gov.ru/new/public/lots/lot/21000002210000000508_1/(lotInfo:info)", "21000002210000000508_1")</f>
        <v>21000002210000000508_1</v>
      </c>
      <c r="E478" t="s">
        <v>2025</v>
      </c>
      <c r="F478" s="3" t="s">
        <v>1983</v>
      </c>
      <c r="G478" t="s">
        <v>2026</v>
      </c>
      <c r="H478" s="4">
        <v>7320000</v>
      </c>
      <c r="I478" s="4">
        <v>195200</v>
      </c>
      <c r="J478" s="5" t="s">
        <v>29</v>
      </c>
      <c r="K478" s="5">
        <v>26.17</v>
      </c>
      <c r="L478" s="4">
        <v>899.54</v>
      </c>
      <c r="M478">
        <v>7458</v>
      </c>
      <c r="N478" t="s">
        <v>1783</v>
      </c>
      <c r="O478">
        <v>217</v>
      </c>
      <c r="Q478" t="s">
        <v>31</v>
      </c>
      <c r="R478" t="s">
        <v>32</v>
      </c>
      <c r="S478" s="2" t="str">
        <f>HYPERLINK("https://yandex.ru/maps/?&amp;text=59.968871, 30.308996", "59.968871, 30.308996")</f>
        <v>59.968871, 30.308996</v>
      </c>
      <c r="T478" s="2" t="str">
        <f>HYPERLINK("D:\venv_torgi\env\cache\objs_in_district/59.968871_30.308996.json", "59.968871_30.308996.json")</f>
        <v>59.968871_30.308996.json</v>
      </c>
      <c r="U478" t="s">
        <v>2027</v>
      </c>
      <c r="V478" s="7" t="s">
        <v>39</v>
      </c>
      <c r="W478" s="16">
        <v>114751.5581403325</v>
      </c>
      <c r="X478" s="15">
        <v>-80448.441859667524</v>
      </c>
      <c r="Y478">
        <v>0</v>
      </c>
    </row>
    <row r="479" spans="1:25">
      <c r="A479" s="8">
        <v>546</v>
      </c>
      <c r="B479">
        <v>78</v>
      </c>
      <c r="C479" s="1">
        <v>25.8</v>
      </c>
      <c r="D479" s="2" t="str">
        <f>HYPERLINK("https://torgi.gov.ru/new/public/lots/lot/21000002210000000097_1/(lotInfo:info)", "21000002210000000097_1")</f>
        <v>21000002210000000097_1</v>
      </c>
      <c r="E479" t="s">
        <v>2028</v>
      </c>
      <c r="F479" s="3" t="s">
        <v>2029</v>
      </c>
      <c r="G479" t="s">
        <v>2030</v>
      </c>
      <c r="H479" s="4">
        <v>5300000</v>
      </c>
      <c r="I479" s="4">
        <v>205426.3565891473</v>
      </c>
      <c r="J479" s="5" t="s">
        <v>29</v>
      </c>
      <c r="K479" s="5">
        <v>19.600000000000001</v>
      </c>
      <c r="L479" s="4">
        <v>471.16</v>
      </c>
      <c r="M479">
        <v>10480</v>
      </c>
      <c r="N479" t="s">
        <v>1783</v>
      </c>
      <c r="O479">
        <v>436</v>
      </c>
      <c r="P479" s="6">
        <v>100</v>
      </c>
      <c r="Q479" t="s">
        <v>31</v>
      </c>
      <c r="R479" t="s">
        <v>32</v>
      </c>
      <c r="S479" s="2" t="str">
        <f>HYPERLINK("https://yandex.ru/maps/?&amp;text=59.92639, 30.313281", "59.92639, 30.313281")</f>
        <v>59.92639, 30.313281</v>
      </c>
      <c r="T479" s="2" t="str">
        <f>HYPERLINK("D:\venv_torgi\env\cache\objs_in_district/59.92639_30.313281.json", "59.92639_30.313281.json")</f>
        <v>59.92639_30.313281.json</v>
      </c>
      <c r="U479" t="s">
        <v>2031</v>
      </c>
      <c r="V479" s="7" t="s">
        <v>34</v>
      </c>
      <c r="W479" s="16">
        <v>168635.93371401459</v>
      </c>
      <c r="X479" s="15">
        <v>-36790.422875132732</v>
      </c>
      <c r="Y479">
        <v>0</v>
      </c>
    </row>
    <row r="480" spans="1:25">
      <c r="A480" s="8">
        <v>547</v>
      </c>
      <c r="B480">
        <v>78</v>
      </c>
      <c r="C480" s="1">
        <v>14.5</v>
      </c>
      <c r="D480" s="2" t="str">
        <f>HYPERLINK("https://torgi.gov.ru/new/public/lots/lot/21000002210000000560_1/(lotInfo:info)", "21000002210000000560_1")</f>
        <v>21000002210000000560_1</v>
      </c>
      <c r="E480" t="s">
        <v>2032</v>
      </c>
      <c r="F480" s="3" t="s">
        <v>1956</v>
      </c>
      <c r="G480" t="s">
        <v>2033</v>
      </c>
      <c r="H480" s="4">
        <v>3010000</v>
      </c>
      <c r="I480" s="4">
        <v>207586.20689655171</v>
      </c>
      <c r="J480" s="5" t="s">
        <v>29</v>
      </c>
      <c r="K480" s="5">
        <v>24.86</v>
      </c>
      <c r="L480" s="4">
        <v>1281.4000000000001</v>
      </c>
      <c r="M480">
        <v>8350</v>
      </c>
      <c r="N480" t="s">
        <v>1783</v>
      </c>
      <c r="O480">
        <v>162</v>
      </c>
      <c r="P480" s="6">
        <v>600</v>
      </c>
      <c r="Q480" t="s">
        <v>31</v>
      </c>
      <c r="R480" t="s">
        <v>32</v>
      </c>
      <c r="S480" s="2" t="str">
        <f>HYPERLINK("https://yandex.ru/maps/?&amp;text=59.909815, 30.315787", "59.909815, 30.315787")</f>
        <v>59.909815, 30.315787</v>
      </c>
      <c r="T480" s="2" t="str">
        <f>HYPERLINK("D:\venv_torgi\env\cache\objs_in_district/59.909815_30.315787.json", "59.909815_30.315787.json")</f>
        <v>59.909815_30.315787.json</v>
      </c>
      <c r="U480" t="s">
        <v>2034</v>
      </c>
      <c r="V480" s="7" t="s">
        <v>34</v>
      </c>
      <c r="W480" s="16">
        <v>151158.69018279589</v>
      </c>
      <c r="X480" s="15">
        <v>-56427.516713755787</v>
      </c>
      <c r="Y480">
        <v>0</v>
      </c>
    </row>
    <row r="481" spans="1:25">
      <c r="A481" s="8">
        <v>548</v>
      </c>
      <c r="B481">
        <v>78</v>
      </c>
      <c r="C481" s="1">
        <v>19.5</v>
      </c>
      <c r="D481" s="2" t="str">
        <f>HYPERLINK("https://torgi.gov.ru/new/public/lots/lot/21000002210000000273_1/(lotInfo:info)", "21000002210000000273_1")</f>
        <v>21000002210000000273_1</v>
      </c>
      <c r="E481" t="s">
        <v>2035</v>
      </c>
      <c r="F481" s="3" t="s">
        <v>1790</v>
      </c>
      <c r="G481" t="s">
        <v>2036</v>
      </c>
      <c r="H481" s="4">
        <v>4086000</v>
      </c>
      <c r="I481" s="4">
        <v>209538.4615384615</v>
      </c>
      <c r="J481" s="5" t="s">
        <v>29</v>
      </c>
      <c r="K481" s="5">
        <v>33.03</v>
      </c>
      <c r="L481" s="4">
        <v>3127.43</v>
      </c>
      <c r="M481">
        <v>6343</v>
      </c>
      <c r="N481" t="s">
        <v>1783</v>
      </c>
      <c r="O481">
        <v>67</v>
      </c>
      <c r="P481" s="6">
        <v>800</v>
      </c>
      <c r="Q481" t="s">
        <v>31</v>
      </c>
      <c r="R481" t="s">
        <v>32</v>
      </c>
      <c r="S481" s="2" t="str">
        <f>HYPERLINK("https://yandex.ru/maps/?&amp;text=59.923836, 30.412355", "59.923836, 30.412355")</f>
        <v>59.923836, 30.412355</v>
      </c>
      <c r="T481" s="2" t="str">
        <f>HYPERLINK("D:\venv_torgi\env\cache\objs_in_district/59.923836_30.412355.json", "59.923836_30.412355.json")</f>
        <v>59.923836_30.412355.json</v>
      </c>
      <c r="U481" t="s">
        <v>2037</v>
      </c>
      <c r="V481" s="7" t="s">
        <v>34</v>
      </c>
      <c r="W481" s="16">
        <v>144367.62468358999</v>
      </c>
      <c r="X481" s="15">
        <v>-65170.836854871479</v>
      </c>
      <c r="Y481">
        <v>0</v>
      </c>
    </row>
    <row r="482" spans="1:25">
      <c r="A482" s="8">
        <v>549</v>
      </c>
      <c r="B482">
        <v>78</v>
      </c>
      <c r="C482" s="1">
        <v>20.9</v>
      </c>
      <c r="D482" s="2" t="str">
        <f>HYPERLINK("https://torgi.gov.ru/new/public/lots/lot/21000002210000000037_1/(lotInfo:info)", "21000002210000000037_1")</f>
        <v>21000002210000000037_1</v>
      </c>
      <c r="E482" t="s">
        <v>2038</v>
      </c>
      <c r="F482" s="3" t="s">
        <v>1863</v>
      </c>
      <c r="G482" t="s">
        <v>2039</v>
      </c>
      <c r="H482" s="4">
        <v>4420000</v>
      </c>
      <c r="I482" s="4">
        <v>211483.25358851679</v>
      </c>
      <c r="J482" s="5" t="s">
        <v>29</v>
      </c>
      <c r="K482" s="5">
        <v>18.64</v>
      </c>
      <c r="L482" s="4">
        <v>5715.76</v>
      </c>
      <c r="M482">
        <v>11347</v>
      </c>
      <c r="N482" t="s">
        <v>1783</v>
      </c>
      <c r="O482">
        <v>37</v>
      </c>
      <c r="P482" s="6">
        <v>700</v>
      </c>
      <c r="Q482" t="s">
        <v>31</v>
      </c>
      <c r="R482" t="s">
        <v>32</v>
      </c>
      <c r="S482" s="2" t="str">
        <f>HYPERLINK("https://yandex.ru/maps/?&amp;text=59.9465586, 30.2585423", "59.9465586, 30.2585423")</f>
        <v>59.9465586, 30.2585423</v>
      </c>
      <c r="T482" s="2" t="str">
        <f>HYPERLINK("D:\venv_torgi\env\cache\objs_in_district/59.9465586_30.2585423.json", "59.9465586_30.2585423.json")</f>
        <v>59.9465586_30.2585423.json</v>
      </c>
      <c r="U482" t="s">
        <v>2040</v>
      </c>
      <c r="V482" s="7" t="s">
        <v>34</v>
      </c>
      <c r="W482" s="16">
        <v>142605.13501683369</v>
      </c>
      <c r="X482" s="15">
        <v>-68878.118571683066</v>
      </c>
      <c r="Y482">
        <v>0</v>
      </c>
    </row>
    <row r="483" spans="1:25">
      <c r="A483" s="8">
        <v>550</v>
      </c>
      <c r="B483">
        <v>78</v>
      </c>
      <c r="C483" s="1">
        <v>18.2</v>
      </c>
      <c r="D483" s="2" t="str">
        <f>HYPERLINK("https://torgi.gov.ru/new/public/lots/lot/21000002210000000404_1/(lotInfo:info)", "21000002210000000404_1")</f>
        <v>21000002210000000404_1</v>
      </c>
      <c r="E483" t="s">
        <v>2041</v>
      </c>
      <c r="F483" s="3" t="s">
        <v>1960</v>
      </c>
      <c r="G483" t="s">
        <v>2042</v>
      </c>
      <c r="H483" s="4">
        <v>4100000</v>
      </c>
      <c r="I483" s="4">
        <v>225274.72527472529</v>
      </c>
      <c r="J483" s="5" t="s">
        <v>29</v>
      </c>
      <c r="K483" s="5">
        <v>57.41</v>
      </c>
      <c r="L483" s="4">
        <v>908.36</v>
      </c>
      <c r="M483">
        <v>3924</v>
      </c>
      <c r="N483" t="s">
        <v>1783</v>
      </c>
      <c r="O483">
        <v>248</v>
      </c>
      <c r="P483" s="6">
        <v>100</v>
      </c>
      <c r="Q483" t="s">
        <v>31</v>
      </c>
      <c r="R483" t="s">
        <v>32</v>
      </c>
      <c r="S483" s="2" t="str">
        <f>HYPERLINK("https://yandex.ru/maps/?&amp;text=59.9363379, 30.3159641", "59.9363379, 30.3159641")</f>
        <v>59.9363379, 30.3159641</v>
      </c>
      <c r="T483" s="2" t="str">
        <f>HYPERLINK("D:\venv_torgi\env\cache\objs_in_district/59.9363379_30.3159641.json", "59.9363379_30.3159641.json")</f>
        <v>59.9363379_30.3159641.json</v>
      </c>
      <c r="U483" t="s">
        <v>2043</v>
      </c>
      <c r="V483" s="7" t="s">
        <v>34</v>
      </c>
      <c r="W483" s="16">
        <v>156889.74473869291</v>
      </c>
      <c r="X483" s="15">
        <v>-68384.98053603241</v>
      </c>
      <c r="Y483">
        <v>0</v>
      </c>
    </row>
    <row r="484" spans="1:25">
      <c r="A484" s="8">
        <v>551</v>
      </c>
      <c r="B484">
        <v>78</v>
      </c>
      <c r="C484" s="1">
        <v>19.7</v>
      </c>
      <c r="D484" s="2" t="str">
        <f>HYPERLINK("https://torgi.gov.ru/new/public/lots/lot/21000002210000000762_1/(lotInfo:info)", "21000002210000000762_1")</f>
        <v>21000002210000000762_1</v>
      </c>
      <c r="E484" t="s">
        <v>2044</v>
      </c>
      <c r="F484" s="3" t="s">
        <v>1897</v>
      </c>
      <c r="G484" t="s">
        <v>2045</v>
      </c>
      <c r="H484" s="4">
        <v>4520000</v>
      </c>
      <c r="I484" s="4">
        <v>229441.62436548219</v>
      </c>
      <c r="J484" s="5" t="s">
        <v>29</v>
      </c>
      <c r="K484" s="5">
        <v>56.32</v>
      </c>
      <c r="L484" s="4">
        <v>788.46</v>
      </c>
      <c r="M484">
        <v>4074</v>
      </c>
      <c r="N484" t="s">
        <v>1783</v>
      </c>
      <c r="O484">
        <v>291</v>
      </c>
      <c r="P484" s="6">
        <v>100</v>
      </c>
      <c r="Q484" t="s">
        <v>31</v>
      </c>
      <c r="R484" t="s">
        <v>32</v>
      </c>
      <c r="S484" s="2" t="str">
        <f>HYPERLINK("https://yandex.ru/maps/?&amp;text=59.937012, 30.314476", "59.937012, 30.314476")</f>
        <v>59.937012, 30.314476</v>
      </c>
      <c r="T484" s="2" t="str">
        <f>HYPERLINK("D:\venv_torgi\env\cache\objs_in_district/59.937012_30.314476.json", "59.937012_30.314476.json")</f>
        <v>59.937012_30.314476.json</v>
      </c>
      <c r="U484" t="s">
        <v>2046</v>
      </c>
      <c r="V484" s="7" t="s">
        <v>34</v>
      </c>
      <c r="W484" s="16">
        <v>159552.7310187025</v>
      </c>
      <c r="X484" s="15">
        <v>-69888.89334677966</v>
      </c>
      <c r="Y484">
        <v>0</v>
      </c>
    </row>
    <row r="485" spans="1:25">
      <c r="A485" s="8">
        <v>552</v>
      </c>
      <c r="B485">
        <v>78</v>
      </c>
      <c r="C485" s="1">
        <v>39.299999999999997</v>
      </c>
      <c r="D485" s="2" t="str">
        <f>HYPERLINK("https://torgi.gov.ru/new/public/lots/lot/21000002210000000068_1/(lotInfo:info)", "21000002210000000068_1")</f>
        <v>21000002210000000068_1</v>
      </c>
      <c r="E485" t="s">
        <v>2047</v>
      </c>
      <c r="F485" s="3" t="s">
        <v>1880</v>
      </c>
      <c r="G485" t="s">
        <v>2048</v>
      </c>
      <c r="H485" s="4">
        <v>9620000</v>
      </c>
      <c r="I485" s="4">
        <v>244783.71501272271</v>
      </c>
      <c r="J485" s="5" t="s">
        <v>29</v>
      </c>
      <c r="K485" s="5">
        <v>33.03</v>
      </c>
      <c r="L485" s="4">
        <v>647.57000000000005</v>
      </c>
      <c r="M485">
        <v>7410</v>
      </c>
      <c r="N485" t="s">
        <v>1783</v>
      </c>
      <c r="O485">
        <v>378</v>
      </c>
      <c r="P485" s="6">
        <v>300</v>
      </c>
      <c r="Q485" t="s">
        <v>31</v>
      </c>
      <c r="R485" t="s">
        <v>32</v>
      </c>
      <c r="S485" s="2" t="str">
        <f>HYPERLINK("https://yandex.ru/maps/?&amp;text=59.934853, 30.310245", "59.934853, 30.310245")</f>
        <v>59.934853, 30.310245</v>
      </c>
      <c r="T485" s="2" t="str">
        <f>HYPERLINK("D:\venv_torgi\env\cache\objs_in_district/59.934853_30.310245.json", "59.934853_30.310245.json")</f>
        <v>59.934853_30.310245.json</v>
      </c>
      <c r="U485" t="s">
        <v>2049</v>
      </c>
      <c r="V485" s="7" t="s">
        <v>34</v>
      </c>
      <c r="W485" s="16">
        <v>163565.78814784929</v>
      </c>
      <c r="X485" s="15">
        <v>-81217.926864873443</v>
      </c>
      <c r="Y485">
        <v>0</v>
      </c>
    </row>
    <row r="486" spans="1:25">
      <c r="A486" s="8">
        <v>553</v>
      </c>
      <c r="B486">
        <v>78</v>
      </c>
      <c r="C486" s="1">
        <v>14.1</v>
      </c>
      <c r="D486" s="2" t="str">
        <f>HYPERLINK("https://torgi.gov.ru/new/public/lots/lot/21000002210000000029_1/(lotInfo:info)", "21000002210000000029_1")</f>
        <v>21000002210000000029_1</v>
      </c>
      <c r="E486" t="s">
        <v>2050</v>
      </c>
      <c r="F486" s="3" t="s">
        <v>1821</v>
      </c>
      <c r="G486" t="s">
        <v>2051</v>
      </c>
      <c r="H486" s="4">
        <v>3610000</v>
      </c>
      <c r="I486" s="4">
        <v>256028.3687943262</v>
      </c>
      <c r="J486" s="5" t="s">
        <v>29</v>
      </c>
      <c r="K486" s="5">
        <v>32.25</v>
      </c>
      <c r="L486" s="4">
        <v>4197.18</v>
      </c>
      <c r="M486">
        <v>7938</v>
      </c>
      <c r="N486" t="s">
        <v>1783</v>
      </c>
      <c r="O486">
        <v>61</v>
      </c>
      <c r="P486" s="6">
        <v>500</v>
      </c>
      <c r="Q486" t="s">
        <v>31</v>
      </c>
      <c r="R486" t="s">
        <v>32</v>
      </c>
      <c r="S486" s="2" t="str">
        <f>HYPERLINK("https://yandex.ru/maps/?&amp;text=59.872493, 30.26594", "59.872493, 30.26594")</f>
        <v>59.872493, 30.26594</v>
      </c>
      <c r="T486" s="2" t="str">
        <f>HYPERLINK("D:\venv_torgi\env\cache\objs_in_district/59.872493_30.26594.json", "59.872493_30.26594.json")</f>
        <v>59.872493_30.26594.json</v>
      </c>
      <c r="U486" t="s">
        <v>2052</v>
      </c>
      <c r="V486" s="7" t="s">
        <v>34</v>
      </c>
      <c r="W486" s="16">
        <v>144790.9041185955</v>
      </c>
      <c r="X486" s="15">
        <v>-111237.46467573071</v>
      </c>
      <c r="Y486">
        <v>0</v>
      </c>
    </row>
    <row r="487" spans="1:25">
      <c r="A487" s="8">
        <v>554</v>
      </c>
      <c r="B487">
        <v>79</v>
      </c>
      <c r="C487" s="1">
        <v>310.2</v>
      </c>
      <c r="D487" s="2" t="str">
        <f>HYPERLINK("https://torgi.gov.ru/new/public/lots/lot/22000034760000000039_1/(lotInfo:info)", "22000034760000000039_1")</f>
        <v>22000034760000000039_1</v>
      </c>
      <c r="E487" t="s">
        <v>348</v>
      </c>
      <c r="F487" s="3" t="s">
        <v>2053</v>
      </c>
      <c r="G487" t="s">
        <v>2054</v>
      </c>
      <c r="H487" s="4">
        <v>4583300</v>
      </c>
      <c r="I487" s="4">
        <v>14775.30625402966</v>
      </c>
      <c r="J487" s="5" t="s">
        <v>29</v>
      </c>
      <c r="K487" s="5">
        <v>2.0499999999999998</v>
      </c>
      <c r="L487" s="4">
        <v>314.36</v>
      </c>
      <c r="M487">
        <v>7210</v>
      </c>
      <c r="N487" t="s">
        <v>2055</v>
      </c>
      <c r="O487">
        <v>47</v>
      </c>
      <c r="P487" s="6">
        <v>1100</v>
      </c>
      <c r="Q487" t="s">
        <v>31</v>
      </c>
      <c r="R487" t="s">
        <v>32</v>
      </c>
      <c r="S487" s="2" t="str">
        <f>HYPERLINK("https://yandex.ru/maps/?&amp;text=48.79526, 132.91965", "48.79526, 132.91965")</f>
        <v>48.79526, 132.91965</v>
      </c>
      <c r="T487" s="2" t="str">
        <f>HYPERLINK("D:\venv_torgi\env\cache\objs_in_district/48.79526_132.91965.json", "48.79526_132.91965.json")</f>
        <v>48.79526_132.91965.json</v>
      </c>
      <c r="U487" t="s">
        <v>2056</v>
      </c>
      <c r="W487" s="19">
        <v>7354.489883546642</v>
      </c>
      <c r="X487" s="20">
        <v>-7420.8163704830176</v>
      </c>
      <c r="Y487">
        <v>0</v>
      </c>
    </row>
    <row r="488" spans="1:25">
      <c r="A488" s="8">
        <v>555</v>
      </c>
      <c r="B488">
        <v>86</v>
      </c>
      <c r="C488" s="1">
        <v>519.6</v>
      </c>
      <c r="D488" s="2" t="str">
        <f>HYPERLINK("https://torgi.gov.ru/new/public/lots/lot/21000010520000000003_1/(lotInfo:info)", "21000010520000000003_1")</f>
        <v>21000010520000000003_1</v>
      </c>
      <c r="E488" t="s">
        <v>2057</v>
      </c>
      <c r="F488" s="3" t="s">
        <v>2058</v>
      </c>
      <c r="G488" t="s">
        <v>2059</v>
      </c>
      <c r="H488" s="4">
        <v>2167200</v>
      </c>
      <c r="I488" s="4">
        <v>4170.9006928406461</v>
      </c>
      <c r="J488" s="5" t="s">
        <v>2078</v>
      </c>
      <c r="K488" s="10">
        <v>0.46</v>
      </c>
      <c r="L488" s="11">
        <v>43.45</v>
      </c>
      <c r="M488">
        <v>9015</v>
      </c>
      <c r="N488" t="s">
        <v>2060</v>
      </c>
      <c r="O488" t="s">
        <v>2061</v>
      </c>
      <c r="P488" s="6">
        <v>500</v>
      </c>
      <c r="Q488" t="s">
        <v>31</v>
      </c>
      <c r="R488" t="s">
        <v>32</v>
      </c>
      <c r="S488" s="2" t="str">
        <f>HYPERLINK("https://yandex.ru/maps/?&amp;text=61.094214, 72.61926", "61.094214, 72.61926")</f>
        <v>61.094214, 72.61926</v>
      </c>
      <c r="T488" s="12" t="str">
        <f>HYPERLINK("D:\venv_torgi\env\cache\objs_in_district/61.094214_72.61926.json", "61.094214_72.61926.json")</f>
        <v>61.094214_72.61926.json</v>
      </c>
      <c r="U488" t="s">
        <v>2062</v>
      </c>
      <c r="W488" s="19">
        <v>7354.489883546642</v>
      </c>
      <c r="X488" s="21">
        <v>3183.5891907059959</v>
      </c>
      <c r="Y488">
        <v>0</v>
      </c>
    </row>
    <row r="489" spans="1:25">
      <c r="A489" s="8">
        <v>556</v>
      </c>
      <c r="B489">
        <v>86</v>
      </c>
      <c r="C489" s="1">
        <v>310</v>
      </c>
      <c r="D489" s="2" t="str">
        <f>HYPERLINK("https://torgi.gov.ru/new/public/lots/lot/21000027580000000002_1/(lotInfo:info)", "21000027580000000002_1")</f>
        <v>21000027580000000002_1</v>
      </c>
      <c r="E489" t="s">
        <v>2063</v>
      </c>
      <c r="F489" s="3" t="s">
        <v>2064</v>
      </c>
      <c r="G489" t="s">
        <v>2065</v>
      </c>
      <c r="H489" s="4">
        <v>1377000</v>
      </c>
      <c r="I489" s="4">
        <v>4441.9354838709678</v>
      </c>
      <c r="J489" s="5" t="s">
        <v>29</v>
      </c>
      <c r="K489" s="5">
        <v>0.64</v>
      </c>
      <c r="L489" s="4">
        <v>130.62</v>
      </c>
      <c r="M489">
        <v>6906</v>
      </c>
      <c r="N489" t="s">
        <v>2066</v>
      </c>
      <c r="O489">
        <v>34</v>
      </c>
      <c r="P489" s="6">
        <v>800</v>
      </c>
      <c r="Q489" t="s">
        <v>31</v>
      </c>
      <c r="R489" t="s">
        <v>32</v>
      </c>
      <c r="S489" s="2" t="str">
        <f>HYPERLINK("https://yandex.ru/maps/?&amp;text=60.933199, 76.59558", "60.933199, 76.59558")</f>
        <v>60.933199, 76.59558</v>
      </c>
      <c r="T489" s="2" t="str">
        <f>HYPERLINK("D:\venv_torgi\env\cache\objs_in_district/60.933199_76.59558.json", "60.933199_76.59558.json")</f>
        <v>60.933199_76.59558.json</v>
      </c>
      <c r="U489" t="s">
        <v>2067</v>
      </c>
      <c r="V489" s="7" t="s">
        <v>34</v>
      </c>
      <c r="W489" s="19">
        <v>7354.489883546642</v>
      </c>
      <c r="X489" s="21">
        <v>2912.5543996756742</v>
      </c>
      <c r="Y489">
        <v>0</v>
      </c>
    </row>
    <row r="490" spans="1:25">
      <c r="A490" s="8">
        <v>557</v>
      </c>
      <c r="B490">
        <v>89</v>
      </c>
      <c r="C490" s="1">
        <v>294.7</v>
      </c>
      <c r="D490" s="2" t="str">
        <f>HYPERLINK("https://torgi.gov.ru/new/public/lots/lot/21000034510000000014_1/(lotInfo:info)", "21000034510000000014_1")</f>
        <v>21000034510000000014_1</v>
      </c>
      <c r="E490" t="s">
        <v>2068</v>
      </c>
      <c r="F490" s="3" t="s">
        <v>2069</v>
      </c>
      <c r="G490" t="s">
        <v>2070</v>
      </c>
      <c r="H490" s="4">
        <v>3550000</v>
      </c>
      <c r="I490" s="4">
        <v>12046.148625721071</v>
      </c>
      <c r="J490" s="5" t="s">
        <v>29</v>
      </c>
      <c r="K490" s="5">
        <v>13.25</v>
      </c>
      <c r="L490" s="4">
        <v>1095.0899999999999</v>
      </c>
      <c r="M490">
        <v>909</v>
      </c>
      <c r="N490" t="s">
        <v>2071</v>
      </c>
      <c r="O490">
        <v>11</v>
      </c>
      <c r="P490" s="6">
        <v>100</v>
      </c>
      <c r="Q490" t="s">
        <v>574</v>
      </c>
      <c r="R490" t="s">
        <v>32</v>
      </c>
      <c r="S490" s="2" t="str">
        <f>HYPERLINK("https://yandex.ru/maps/?&amp;text=66.557754, 66.56545", "66.557754, 66.56545")</f>
        <v>66.557754, 66.56545</v>
      </c>
      <c r="T490" s="2" t="str">
        <f>HYPERLINK("D:\venv_torgi\env\cache\objs_in_district/66.557754_66.56545.json", "66.557754_66.56545.json")</f>
        <v>66.557754_66.56545.json</v>
      </c>
      <c r="U490" t="s">
        <v>2072</v>
      </c>
      <c r="W490" s="19">
        <v>10661.45189182739</v>
      </c>
      <c r="X490" s="20">
        <v>-1384.696733893677</v>
      </c>
      <c r="Y490">
        <v>0</v>
      </c>
    </row>
  </sheetData>
  <autoFilter ref="A1:T931"/>
  <sortState ref="A2:AA490">
    <sortCondition ref="A466"/>
  </sortState>
  <conditionalFormatting sqref="F1:F931">
    <cfRule type="timePeriod" dxfId="4" priority="4" timePeriod="nextWeek">
      <formula>AND(ROUNDDOWN(F1,0)-TODAY()&gt;(7-WEEKDAY(TODAY())),ROUNDDOWN(F1,0)-TODAY()&lt;(15-WEEKDAY(TODAY())))</formula>
    </cfRule>
    <cfRule type="timePeriod" dxfId="3" priority="5" timePeriod="thisWeek">
      <formula>AND(TODAY()-ROUNDDOWN(F1,0)&lt;=WEEKDAY(TODAY())-1,ROUNDDOWN(F1,0)-TODAY()&lt;=7-WEEKDAY(TODAY()))</formula>
    </cfRule>
  </conditionalFormatting>
  <conditionalFormatting sqref="I1:I931">
    <cfRule type="cellIs" dxfId="2" priority="2" operator="between">
      <formula>1</formula>
      <formula>10000</formula>
    </cfRule>
  </conditionalFormatting>
  <conditionalFormatting sqref="J1:K931">
    <cfRule type="cellIs" dxfId="1" priority="3" operator="between">
      <formula>0.1</formula>
      <formula>10</formula>
    </cfRule>
  </conditionalFormatting>
  <conditionalFormatting sqref="Q1:Q931">
    <cfRule type="containsText" dxfId="0" priority="1" operator="containsText" text="PP">
      <formula>NOT(ISERROR(SEARCH("PP",Q1)))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2022-08-26T13:06:26Z</dcterms:created>
  <dcterms:modified xsi:type="dcterms:W3CDTF">2022-08-27T17:44:25Z</dcterms:modified>
</cp:coreProperties>
</file>