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'Sheet1'!$B$1:$AA$1000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# ##0.0м2"/>
    <numFmt numFmtId="165" formatCode="dd.mm.yy hh:mm"/>
    <numFmt numFmtId="166" formatCode="# ### ##0₽"/>
    <numFmt numFmtId="167" formatCode="# ### ##0.0₽"/>
    <numFmt numFmtId="168" formatCode="# ### ##0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</cellXfs>
  <cellStyles count="1">
    <cellStyle name="Normal" xfId="0" builtinId="0"/>
  </cellStyles>
  <dxfs count="3">
    <dxf>
      <font>
        <b val="1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5"/>
  <cols>
    <col width="3.7109375" customWidth="1" min="1" max="1"/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1" max="11"/>
    <col width="8.7109375" customWidth="1" style="4" min="12" max="12"/>
    <col width="5.7109375" customWidth="1" min="13" max="13"/>
    <col width="10.7109375" customWidth="1" style="6" min="14" max="14"/>
    <col width="5.7109375" customWidth="1" min="15" max="15"/>
    <col width="6.7109375" customWidth="1" min="16" max="16"/>
    <col width="3.7109375" customWidth="1" min="17" max="18"/>
    <col width="13.7109375" customWidth="1" style="2" min="19" max="20"/>
    <col width="5.7109375" customWidth="1" min="21" max="21"/>
    <col width="3.7109375" customWidth="1" min="22" max="22"/>
    <col width="9.7109375" customWidth="1" style="4" min="23" max="24"/>
    <col width="3.7109375" customWidth="1" min="25" max="27"/>
  </cols>
  <sheetData>
    <row r="1">
      <c r="B1" s="7" t="inlineStr">
        <is>
          <t>Регион</t>
        </is>
      </c>
      <c r="C1" s="7" t="inlineStr">
        <is>
          <t>Общая площадь</t>
        </is>
      </c>
      <c r="D1" s="7" t="inlineStr">
        <is>
          <t>id</t>
        </is>
      </c>
      <c r="E1" s="7" t="inlineStr">
        <is>
          <t>Название</t>
        </is>
      </c>
      <c r="F1" s="7" t="inlineStr">
        <is>
          <t>Окончания подачи заявок</t>
        </is>
      </c>
      <c r="G1" s="7" t="inlineStr">
        <is>
          <t>Адрес</t>
        </is>
      </c>
      <c r="H1" s="7" t="inlineStr">
        <is>
          <t>Цена</t>
        </is>
      </c>
      <c r="I1" s="7" t="inlineStr">
        <is>
          <t>Цена за кв.м</t>
        </is>
      </c>
      <c r="J1" s="7" t="inlineStr">
        <is>
          <t>Тип объекта</t>
        </is>
      </c>
      <c r="K1" s="7" t="inlineStr">
        <is>
          <t>Чел/кв.м</t>
        </is>
      </c>
      <c r="L1" s="7" t="inlineStr">
        <is>
          <t>Ком/кв.м</t>
        </is>
      </c>
      <c r="M1" s="7" t="inlineStr">
        <is>
          <t>Жителей</t>
        </is>
      </c>
      <c r="N1" s="7" t="inlineStr">
        <is>
          <t>Жителей в нп</t>
        </is>
      </c>
      <c r="O1" s="7" t="inlineStr">
        <is>
          <t>Коммерческих объектов</t>
        </is>
      </c>
      <c r="P1" s="7" t="inlineStr">
        <is>
          <t>Прирост ст</t>
        </is>
      </c>
      <c r="Q1" s="7" t="inlineStr">
        <is>
          <t>Форма проведения</t>
        </is>
      </c>
      <c r="R1" s="7" t="inlineStr">
        <is>
          <t>Имущество</t>
        </is>
      </c>
      <c r="S1" s="7" t="inlineStr">
        <is>
          <t>Координаты</t>
        </is>
      </c>
      <c r="T1" s="7" t="inlineStr">
        <is>
          <t>Описание коммерческих объектов</t>
        </is>
      </c>
      <c r="U1" s="7" t="inlineStr">
        <is>
          <t>Кадастровый номер</t>
        </is>
      </c>
      <c r="V1" s="7" t="inlineStr">
        <is>
          <t>Этаж</t>
        </is>
      </c>
      <c r="W1" s="7" t="inlineStr">
        <is>
          <t>Предсказываемая</t>
        </is>
      </c>
      <c r="X1" s="7" t="inlineStr">
        <is>
          <t>Разница с реальной</t>
        </is>
      </c>
      <c r="Y1" s="7" t="inlineStr">
        <is>
          <t>Отдельный вход</t>
        </is>
      </c>
      <c r="Z1" s="7" t="inlineStr">
        <is>
          <t>Культурное наследие</t>
        </is>
      </c>
      <c r="AA1" s="7" t="inlineStr">
        <is>
          <t>Ремонт</t>
        </is>
      </c>
      <c r="AB1" s="7" t="inlineStr">
        <is>
          <t>Земельный участок</t>
        </is>
      </c>
    </row>
    <row r="2">
      <c r="A2" s="7" t="n">
        <v>0</v>
      </c>
      <c r="B2" t="n">
        <v>1</v>
      </c>
      <c r="C2" s="1" t="n">
        <v>52.9</v>
      </c>
      <c r="D2" s="2">
        <f>HYPERLINK("https://torgi.gov.ru/new/public/lots/lot/22000066460000000003_1/(lotInfo:info)", "22000066460000000003_1")</f>
        <v/>
      </c>
      <c r="E2" t="inlineStr">
        <is>
          <t>Нежилое помещение, Этаж № 1, общей площадью 52,9 кв.м, с кадастровым номером 01:08:0507074:272, по адресу: Республика Адыгея г. Майкоп, ул. Гоголя, д. 19</t>
        </is>
      </c>
      <c r="F2" s="3" t="inlineStr">
        <is>
          <t>22.04.22 21:00</t>
        </is>
      </c>
      <c r="G2" t="inlineStr">
        <is>
          <t>г Майкоп, ул Гоголя, д 19</t>
        </is>
      </c>
      <c r="H2" s="4" t="n">
        <v>1414000</v>
      </c>
      <c r="I2" s="4" t="n">
        <v>26729.6786389414</v>
      </c>
      <c r="J2" t="inlineStr">
        <is>
          <t>Нежилое помещение</t>
        </is>
      </c>
      <c r="K2" s="5" t="n">
        <v>8.51</v>
      </c>
      <c r="L2" s="4" t="n">
        <v>226.52</v>
      </c>
      <c r="M2" t="n">
        <v>3142</v>
      </c>
      <c r="N2" s="6" t="n">
        <v>165279</v>
      </c>
      <c r="O2" t="n">
        <v>118</v>
      </c>
      <c r="Q2" t="inlineStr">
        <is>
          <t>EA</t>
        </is>
      </c>
      <c r="R2" t="inlineStr">
        <is>
          <t>М</t>
        </is>
      </c>
      <c r="S2" s="2">
        <f>HYPERLINK("https://yandex.ru/maps/?&amp;text=44.604739, 40.108358", "44.604739, 40.108358")</f>
        <v/>
      </c>
      <c r="T2" s="2">
        <f>HYPERLINK("D:\venv_torgi\env\cache\objs_in_district/44.604739_40.108358.json", "44.604739_40.108358.json")</f>
        <v/>
      </c>
      <c r="U2" t="inlineStr">
        <is>
          <t xml:space="preserve">01:08:0507074:272, </t>
        </is>
      </c>
      <c r="V2" t="n">
        <v>1</v>
      </c>
      <c r="Y2" t="n">
        <v>0</v>
      </c>
      <c r="AA2" t="n">
        <v>0</v>
      </c>
      <c r="AB2" t="n">
        <v>0</v>
      </c>
    </row>
    <row r="3">
      <c r="A3" s="7" t="n">
        <v>1</v>
      </c>
      <c r="B3" t="n">
        <v>2</v>
      </c>
      <c r="C3" s="1" t="n">
        <v>227</v>
      </c>
      <c r="D3" s="2">
        <f>HYPERLINK("https://torgi.gov.ru/new/public/lots/lot/21000027860000000003_1/(lotInfo:info)", "21000027860000000003_1")</f>
        <v/>
      </c>
      <c r="E3" t="inlineStr">
        <is>
          <t>Нежилое здание с земельным участком</t>
        </is>
      </c>
      <c r="F3" s="3" t="inlineStr">
        <is>
          <t>18.07.22 12:00</t>
        </is>
      </c>
      <c r="G3" t="inlineStr">
        <is>
          <t>Респ Башкортостан, Кигинский р-н, деревня Кулбаково, ул Мира, д 40</t>
        </is>
      </c>
      <c r="H3" s="4" t="n">
        <v>461000</v>
      </c>
      <c r="I3" s="4" t="n">
        <v>2030.837004405286</v>
      </c>
      <c r="J3" t="inlineStr">
        <is>
          <t>жилое здание</t>
        </is>
      </c>
      <c r="K3" s="5" t="n">
        <v>39.8</v>
      </c>
      <c r="M3" t="n">
        <v>51</v>
      </c>
      <c r="N3" s="6" t="n">
        <v>175</v>
      </c>
      <c r="Q3" t="inlineStr">
        <is>
          <t>EA</t>
        </is>
      </c>
      <c r="R3" t="inlineStr">
        <is>
          <t>М</t>
        </is>
      </c>
      <c r="S3" s="2">
        <f>HYPERLINK("https://yandex.ru/maps/?&amp;text=55.34258, 59.143084", "55.34258, 59.143084")</f>
        <v/>
      </c>
      <c r="U3" t="inlineStr">
        <is>
          <t>02:32:020401:302</t>
        </is>
      </c>
      <c r="V3" t="n">
        <v>1</v>
      </c>
      <c r="Y3" t="n">
        <v>0</v>
      </c>
      <c r="AA3" t="n">
        <v>0</v>
      </c>
      <c r="AB3" t="n">
        <v>1</v>
      </c>
    </row>
    <row r="4">
      <c r="A4" s="7" t="n">
        <v>2</v>
      </c>
      <c r="B4" t="n">
        <v>2</v>
      </c>
      <c r="C4" s="1" t="n">
        <v>613</v>
      </c>
      <c r="D4" s="2">
        <f>HYPERLINK("https://torgi.gov.ru/new/public/lots/lot/22000039540000000001_1/(lotInfo:info)", "22000039540000000001_1")</f>
        <v/>
      </c>
      <c r="E4" t="inlineStr">
        <is>
          <t>Нежилое здание, кадастровый номер 02:36:070121:162, общая площадь- 613 кв. м., адрес объекта- Республика Башкортостан, с. Кушнаренково, ул. Красная, д. 1; земельный участок, кадастровый номер 02:36:070121:378, общая площадь- 4975 кв. м., вид разрешенного использования- для размещения производственных объектов, адрес - Республика Башкортостан, с. Кушнаренково, ул. Красная, д. 1</t>
        </is>
      </c>
      <c r="F4" s="3" t="inlineStr">
        <is>
          <t>04.03.22 13:00</t>
        </is>
      </c>
      <c r="G4" t="inlineStr">
        <is>
          <t>Респ Башкортостан, село Кушнаренково, ул Красная, д 1Б</t>
        </is>
      </c>
      <c r="H4" s="4" t="n">
        <v>1663000</v>
      </c>
      <c r="I4" s="4" t="n">
        <v>2712.887438825448</v>
      </c>
      <c r="J4" t="inlineStr">
        <is>
          <t>жилое здание</t>
        </is>
      </c>
      <c r="K4" s="5" t="n">
        <v>3.74</v>
      </c>
      <c r="L4" s="4" t="inlineStr"/>
      <c r="M4" t="n">
        <v>725</v>
      </c>
      <c r="N4" s="6" t="n">
        <v>11158</v>
      </c>
      <c r="O4" t="inlineStr"/>
      <c r="Q4" t="inlineStr">
        <is>
          <t>PP</t>
        </is>
      </c>
      <c r="R4" t="inlineStr">
        <is>
          <t>М</t>
        </is>
      </c>
      <c r="S4" s="2">
        <f>HYPERLINK("https://yandex.ru/maps/?&amp;text=55.104079, 55.368992", "55.104079, 55.368992")</f>
        <v/>
      </c>
      <c r="T4" s="8">
        <f>HYPERLINK("D:\venv_torgi\env\cache\objs_in_district/55.104079_55.368992.json", "55.104079_55.368992.json")</f>
        <v/>
      </c>
      <c r="U4" t="inlineStr">
        <is>
          <t xml:space="preserve">02:36:070121:162, </t>
        </is>
      </c>
      <c r="V4" t="n">
        <v>1</v>
      </c>
      <c r="Y4" t="n">
        <v>0</v>
      </c>
      <c r="AA4" t="n">
        <v>0</v>
      </c>
      <c r="AB4" t="n">
        <v>1</v>
      </c>
    </row>
    <row r="5">
      <c r="A5" s="7" t="n">
        <v>3</v>
      </c>
      <c r="B5" t="n">
        <v>2</v>
      </c>
      <c r="C5" s="1" t="n">
        <v>126.3</v>
      </c>
      <c r="D5" s="2">
        <f>HYPERLINK("https://torgi.gov.ru/new/public/lots/lot/22000022990000000001_1/(lotInfo:info)", "22000022990000000001_1")</f>
        <v/>
      </c>
      <c r="E5" t="inlineStr">
        <is>
          <t>Нежилое здание общей площадью 126,3 кв.м, расположенное по адресу: Республика Башкортостан, Благовещенский район, сельсовет Изяковский, деревня Нижний Изяк, улица Школьная, дом 4 с земельным участком, расположенным по адресу: Республика Башкортостан, Благовещенский район, сельсовет Изяковский, деревня Нижний Изяк, улица Школьная, дом 4. кадастровый номер 02:15:050301:111, площадью 763 кв.м., разрешенное использование –размещение школы.</t>
        </is>
      </c>
      <c r="F5" s="3" t="inlineStr">
        <is>
          <t>15.03.22 12:00</t>
        </is>
      </c>
      <c r="G5" t="inlineStr">
        <is>
          <t>Респ Башкортостан, Благовещенский р-н, деревня Нижний Изяк, ул Школьная, д 4</t>
        </is>
      </c>
      <c r="H5" s="4" t="n">
        <v>353100</v>
      </c>
      <c r="I5" s="4" t="n">
        <v>2795.724465558195</v>
      </c>
      <c r="J5" t="inlineStr">
        <is>
          <t>жилое здание</t>
        </is>
      </c>
      <c r="K5" s="5" t="n">
        <v>43</v>
      </c>
      <c r="M5" t="n">
        <v>65</v>
      </c>
      <c r="N5" s="6" t="n">
        <v>187</v>
      </c>
      <c r="Q5" t="inlineStr">
        <is>
          <t>EA</t>
        </is>
      </c>
      <c r="R5" t="inlineStr">
        <is>
          <t>М</t>
        </is>
      </c>
      <c r="S5" s="2">
        <f>HYPERLINK("https://yandex.ru/maps/?&amp;text=54.975005, 56.294311", "54.975005, 56.294311")</f>
        <v/>
      </c>
      <c r="U5" t="inlineStr">
        <is>
          <t xml:space="preserve">02:15:050301:111, </t>
        </is>
      </c>
      <c r="V5" t="n">
        <v>1</v>
      </c>
      <c r="Y5" t="n">
        <v>0</v>
      </c>
      <c r="AA5" t="n">
        <v>0</v>
      </c>
      <c r="AB5" t="n">
        <v>1</v>
      </c>
    </row>
    <row r="6">
      <c r="A6" s="7" t="n">
        <v>4</v>
      </c>
      <c r="B6" t="n">
        <v>2</v>
      </c>
      <c r="C6" s="1" t="n">
        <v>491.1</v>
      </c>
      <c r="D6" s="2">
        <f>HYPERLINK("https://torgi.gov.ru/new/public/lots/lot/22000022990000000003_1/(lotInfo:info)", "22000022990000000003_1")</f>
        <v/>
      </c>
      <c r="E6" t="inlineStr">
        <is>
          <t>- общая площадь: 491,1 кв.м.,- этажность: двухэтажное,- год постройки: 1917,- материал стен: кирпичные- наличие коммуникаций: отсутствуют.</t>
        </is>
      </c>
      <c r="F6" s="3" t="inlineStr">
        <is>
          <t>21.06.22 12:00</t>
        </is>
      </c>
      <c r="G6" t="inlineStr">
        <is>
          <t>Респ Башкортостан, г Благовещенск, ул Российская, уч 1</t>
        </is>
      </c>
      <c r="H6" s="4" t="n">
        <v>1563000</v>
      </c>
      <c r="I6" s="4" t="n">
        <v>3182.651191203421</v>
      </c>
      <c r="J6" t="inlineStr">
        <is>
          <t>жилое здание</t>
        </is>
      </c>
      <c r="K6" s="5" t="n">
        <v>9.470000000000001</v>
      </c>
      <c r="L6" s="4" t="n">
        <v>1060.67</v>
      </c>
      <c r="M6" t="n">
        <v>336</v>
      </c>
      <c r="N6" s="6" t="n">
        <v>265788</v>
      </c>
      <c r="O6" t="n">
        <v>3</v>
      </c>
      <c r="Q6" t="inlineStr">
        <is>
          <t>EA</t>
        </is>
      </c>
      <c r="R6" t="inlineStr">
        <is>
          <t>М</t>
        </is>
      </c>
      <c r="S6" s="2">
        <f>HYPERLINK("https://yandex.ru/maps/?&amp;text=55.052923, 55.993393", "55.052923, 55.993393")</f>
        <v/>
      </c>
      <c r="T6" s="2">
        <f>HYPERLINK("D:\venv_torgi\env\cache\objs_in_district/55.052923_55.993393.json", "55.052923_55.993393.json")</f>
        <v/>
      </c>
      <c r="U6" t="inlineStr">
        <is>
          <t>02:69:010101:134</t>
        </is>
      </c>
      <c r="V6" t="n">
        <v>0</v>
      </c>
      <c r="Y6" t="n">
        <v>0</v>
      </c>
      <c r="Z6" t="n">
        <v>1</v>
      </c>
      <c r="AA6" t="n">
        <v>0</v>
      </c>
      <c r="AB6" t="n">
        <v>0</v>
      </c>
    </row>
    <row r="7">
      <c r="A7" s="7" t="n">
        <v>5</v>
      </c>
      <c r="B7" t="n">
        <v>2</v>
      </c>
      <c r="C7" s="1" t="n">
        <v>78.2</v>
      </c>
      <c r="D7" s="2">
        <f>HYPERLINK("https://torgi.gov.ru/new/public/lots/lot/22000005200000000001_1/(lotInfo:info)", "22000005200000000001_1")</f>
        <v/>
      </c>
      <c r="E7" t="inlineStr">
        <is>
          <t>Нежилое помещение первого этажа пятиэтажного жилого здания, общей площадью 78,2 кв.м, расположенное по адресу: Республика Башкортостан, Белебеевский район, р.п. Приютово, ул. Магистральная, д.1 А, кадастровый номер 02:63:020403:772.</t>
        </is>
      </c>
      <c r="F7" s="3" t="inlineStr">
        <is>
          <t>09.02.22 15:30</t>
        </is>
      </c>
      <c r="G7" t="inlineStr">
        <is>
          <t>Респ Башкортостан, Белебеевский р-н, рп Приютово, ул Магистральная, д 1А</t>
        </is>
      </c>
      <c r="H7" s="4" t="n">
        <v>258000</v>
      </c>
      <c r="I7" s="4" t="n">
        <v>3299.23273657289</v>
      </c>
      <c r="J7" t="inlineStr">
        <is>
          <t>Нежилое помещение</t>
        </is>
      </c>
      <c r="K7" s="5" t="n">
        <v>3.49</v>
      </c>
      <c r="M7" t="n">
        <v>946</v>
      </c>
      <c r="N7" s="6" t="n">
        <v>19653</v>
      </c>
      <c r="Q7" t="inlineStr">
        <is>
          <t>EA</t>
        </is>
      </c>
      <c r="R7" t="inlineStr">
        <is>
          <t>М</t>
        </is>
      </c>
      <c r="S7" s="2">
        <f>HYPERLINK("https://yandex.ru/maps/?&amp;text=53.896729, 53.930286", "53.896729, 53.930286")</f>
        <v/>
      </c>
      <c r="U7" t="inlineStr">
        <is>
          <t>02:63:020403:772</t>
        </is>
      </c>
      <c r="V7" t="n">
        <v>1</v>
      </c>
      <c r="Y7" t="n">
        <v>0</v>
      </c>
      <c r="AA7" t="n">
        <v>0</v>
      </c>
      <c r="AB7" t="n">
        <v>0</v>
      </c>
    </row>
    <row r="8">
      <c r="A8" s="7" t="n">
        <v>6</v>
      </c>
      <c r="B8" t="n">
        <v>2</v>
      </c>
      <c r="C8" s="1" t="n">
        <v>1461.4</v>
      </c>
      <c r="D8" s="2">
        <f>HYPERLINK("https://torgi.gov.ru/new/public/lots/lot/21000022850000000076_9/(lotInfo:info)", "21000022850000000076_9")</f>
        <v/>
      </c>
      <c r="E8" t="inlineStr">
        <is>
          <t>Лот№9: Нежилое здание, площадью 1461,4 кв.м., кадастровый № 02:67:010302:247, нежилое здание, площадью 848,3 кв.м., кадастровый № 02:67:010302:246, нежилое помещение, площадью 641,8 кв.м., кадастровый № 02:67:010304:660, право аренды земельного участка, площадью 15518 кв.м., кадастровый номер 02:67:010302:25, адрес – Республика Башкортостан, р-н. Учалинский, г. Учалы, ул. Горнозаводская, д. 26, собственник (правообладатель) – ООО «Светлый Дом Плюс». Обременение: арест, залог, запрещ. регистрации. Начальная цена: 9597010,00 руб. Сумма задатка: 479850.50 руб. Шаг аукциона (1% от начальной цены) – 95970,10руб.</t>
        </is>
      </c>
      <c r="F8" s="3" t="inlineStr">
        <is>
          <t>07.08.22 20:59</t>
        </is>
      </c>
      <c r="G8" t="inlineStr">
        <is>
          <t>Респ Башкортостан, г Учалы, ул Горнозаводская, д 26</t>
        </is>
      </c>
      <c r="H8" s="4" t="n">
        <v>9692980.1</v>
      </c>
      <c r="I8" s="4" t="n">
        <v>6632.667373751196</v>
      </c>
      <c r="J8" t="inlineStr">
        <is>
          <t>жилое здание</t>
        </is>
      </c>
      <c r="K8" s="5" t="n">
        <v>3.8</v>
      </c>
      <c r="L8" s="4" t="n">
        <v>663.2</v>
      </c>
      <c r="M8" t="n">
        <v>1745</v>
      </c>
      <c r="N8" s="6" t="n">
        <v>35222</v>
      </c>
      <c r="O8" t="n">
        <v>10</v>
      </c>
      <c r="Q8" t="inlineStr">
        <is>
          <t>EA</t>
        </is>
      </c>
      <c r="R8" t="inlineStr">
        <is>
          <t>Д</t>
        </is>
      </c>
      <c r="S8" s="2">
        <f>HYPERLINK("https://yandex.ru/maps/?&amp;text=54.310998, 59.392411", "54.310998, 59.392411")</f>
        <v/>
      </c>
      <c r="T8" s="2">
        <f>HYPERLINK("D:\venv_torgi\env\cache\objs_in_district/54.310998_59.392411.json", "54.310998_59.392411.json")</f>
        <v/>
      </c>
      <c r="U8" t="inlineStr">
        <is>
          <t xml:space="preserve">02:67:010302:247, </t>
        </is>
      </c>
      <c r="V8" t="n">
        <v>0</v>
      </c>
      <c r="Y8" t="n">
        <v>0</v>
      </c>
      <c r="AA8" t="n">
        <v>0</v>
      </c>
      <c r="AB8" t="n">
        <v>1</v>
      </c>
    </row>
    <row r="9">
      <c r="A9" s="7" t="n">
        <v>7</v>
      </c>
      <c r="B9" t="n">
        <v>2</v>
      </c>
      <c r="C9" s="1" t="n">
        <v>185.6</v>
      </c>
      <c r="D9" s="2">
        <f>HYPERLINK("https://torgi.gov.ru/new/public/lots/lot/22000014830000000002_1/(lotInfo:info)", "22000014830000000002_1")</f>
        <v/>
      </c>
      <c r="E9" t="inlineStr">
        <is>
          <t>-нежилое помещение, площадью 38,8 кв.м. кадастровый №02:71:020117:106, расположенное: РБ, г. Давлеканово, ул. Карла Маркса, д.39,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помещение, площадью 185,6 кв.м. кадастровый №02:71:020117:86, расположенные: РБ, г. Давлеканово, ул. Карла Маркса, д.39,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участком, общей площадью 649 кв.м., кадастровый №02:71:020115:162, 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      </is>
      </c>
      <c r="F9" s="3" t="inlineStr">
        <is>
          <t>18.03.22 12:00</t>
        </is>
      </c>
      <c r="G9" t="inlineStr">
        <is>
          <t>Респ Башкортостан, г Давлеканово, ул Карла Маркса, уч 39А</t>
        </is>
      </c>
      <c r="H9" s="4" t="n">
        <v>1396500</v>
      </c>
      <c r="I9" s="4" t="n">
        <v>7524.245689655173</v>
      </c>
      <c r="J9" t="inlineStr">
        <is>
          <t>торговое – 54</t>
        </is>
      </c>
      <c r="K9" s="5" t="n">
        <v>8.890000000000001</v>
      </c>
      <c r="L9" s="4" t="n">
        <v>7524</v>
      </c>
      <c r="M9" t="n">
        <v>846</v>
      </c>
      <c r="N9" s="6" t="n">
        <v>23662</v>
      </c>
      <c r="O9" t="n">
        <v>1</v>
      </c>
      <c r="Q9" t="inlineStr">
        <is>
          <t>EA</t>
        </is>
      </c>
      <c r="R9" t="inlineStr">
        <is>
          <t>М</t>
        </is>
      </c>
      <c r="S9" s="2">
        <f>HYPERLINK("https://yandex.ru/maps/?&amp;text=54.221374, 55.036615", "54.221374, 55.036615")</f>
        <v/>
      </c>
      <c r="T9" s="2">
        <f>HYPERLINK("D:\venv_torgi\env\cache\objs_in_district/54.221374_55.036615.json", "54.221374_55.036615.json")</f>
        <v/>
      </c>
      <c r="U9" t="inlineStr">
        <is>
          <t xml:space="preserve">02:71:020117:106, </t>
        </is>
      </c>
      <c r="V9" t="n">
        <v>1</v>
      </c>
      <c r="Y9" t="n">
        <v>0</v>
      </c>
      <c r="AA9" t="n">
        <v>0</v>
      </c>
      <c r="AB9" t="n">
        <v>1</v>
      </c>
    </row>
    <row r="10">
      <c r="A10" s="7" t="n">
        <v>8</v>
      </c>
      <c r="B10" t="n">
        <v>2</v>
      </c>
      <c r="C10" s="1" t="n">
        <v>705</v>
      </c>
      <c r="D10" s="2">
        <f>HYPERLINK("https://torgi.gov.ru/new/public/lots/lot/21000015350000000006_1/(lotInfo:info)", "21000015350000000006_1")</f>
        <v/>
      </c>
      <c r="E10" t="inlineStr">
        <is>
          <t>- Нежилое здание (склад), - кадастровый номер: 02:47:000000:7304, площадью 50,2 кв.м.;- Нежилое здание (бильярдная) - кадастровый номер: 02:47:000000:2953, площадью 110,4 кв.м.;- Нежилое здание (домик №1) - кадастровый номер: 02:47:000000:2955, площадью 62,5 кв.м.;- Нежилое здание (домик №2) - кадастровый номер: 02:47:000000:2956, площадью 80,0 кв.м.;- Нежилое здание (домик №3) - кадастровый номер: 02:47:000000:3010, площадью 78,8 кв.м.;- Нежилое здание (домик №5) - кадастровый номер: 02:47:000000:2957, площадью 75,0 кв.м.;- Нежилое здание (домик №6) - кадастровый номер: 02:47:0000008165, площадью 85,0 кв.м.;- Нежилое здание (домик №7) - кадастровый номер: 02:47:000000:2959, площадью 85,0 кв.м.;- Нежилое здание (домик №9) - кадастровый номер: 02:47:000000:2960, площадью 78,1 кв.м.</t>
        </is>
      </c>
      <c r="F10" s="3" t="inlineStr">
        <is>
          <t>28.07.22 06:00</t>
        </is>
      </c>
      <c r="G10" t="inlineStr">
        <is>
          <t>Уфимский район, административные границы сельского поселения Ольховский сельсовет МР Уфимский район  РБ</t>
        </is>
      </c>
      <c r="H10" s="4" t="n">
        <v>6735876</v>
      </c>
      <c r="I10" s="4" t="n">
        <v>9554.434042553192</v>
      </c>
      <c r="J10" t="inlineStr">
        <is>
          <t>жилое здание</t>
        </is>
      </c>
      <c r="Q10" t="inlineStr">
        <is>
          <t>EA</t>
        </is>
      </c>
      <c r="R10" t="inlineStr">
        <is>
          <t>М</t>
        </is>
      </c>
      <c r="U10" t="inlineStr">
        <is>
          <t xml:space="preserve">02:47:000000:7304, </t>
        </is>
      </c>
      <c r="V10" t="n">
        <v>0</v>
      </c>
      <c r="Y10" t="n">
        <v>0</v>
      </c>
      <c r="AA10" t="n">
        <v>0</v>
      </c>
      <c r="AB10" t="n">
        <v>0</v>
      </c>
    </row>
    <row r="11">
      <c r="A11" s="7" t="n">
        <v>9</v>
      </c>
      <c r="B11" t="n">
        <v>2</v>
      </c>
      <c r="C11" s="1" t="n">
        <v>283.7</v>
      </c>
      <c r="D11" s="2">
        <f>HYPERLINK("https://torgi.gov.ru/new/public/lots/lot/21000022850000000050_26/(lotInfo:info)", "21000022850000000050_26")</f>
        <v/>
      </c>
      <c r="E11" t="inlineStr">
        <is>
          <t>Лот№26(повторно): Нежилое помещение, площадью 283,70 кв.м., Республика Башкортостан, г. Стерлитамак, ул. Николаева, д. 118, кадастровый №02:56:040204:642.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      </is>
      </c>
      <c r="F11" s="3" t="inlineStr">
        <is>
          <t>17.07.22 20:59</t>
        </is>
      </c>
      <c r="G11" t="inlineStr">
        <is>
          <t>Респ Башкортостан, г Стерлитамак, ул Николаева, д 118А</t>
        </is>
      </c>
      <c r="H11" s="4" t="n">
        <v>3356735</v>
      </c>
      <c r="I11" s="4" t="n">
        <v>11831.98801550934</v>
      </c>
      <c r="J11" t="inlineStr">
        <is>
          <t>Нежилое помещение</t>
        </is>
      </c>
      <c r="K11" s="5" t="n">
        <v>2.71</v>
      </c>
      <c r="L11" s="4" t="n">
        <v>985.92</v>
      </c>
      <c r="M11" t="n">
        <v>4359</v>
      </c>
      <c r="N11" s="6" t="n">
        <v>280233</v>
      </c>
      <c r="O11" t="n">
        <v>12</v>
      </c>
      <c r="Q11" t="inlineStr">
        <is>
          <t>EA</t>
        </is>
      </c>
      <c r="R11" t="inlineStr">
        <is>
          <t>Д</t>
        </is>
      </c>
      <c r="S11" s="2">
        <f>HYPERLINK("https://yandex.ru/maps/?&amp;text=53.645922, 55.932047", "53.645922, 55.932047")</f>
        <v/>
      </c>
      <c r="T11" s="2">
        <f>HYPERLINK("D:\venv_torgi\env\cache\objs_in_district/53.645922_55.932047.json", "53.645922_55.932047.json")</f>
        <v/>
      </c>
      <c r="U11" t="inlineStr">
        <is>
          <t>02:56:040204:642</t>
        </is>
      </c>
      <c r="V11" t="n">
        <v>0</v>
      </c>
      <c r="Y11" t="n">
        <v>0</v>
      </c>
      <c r="AA11" t="n">
        <v>0</v>
      </c>
      <c r="AB11" t="n">
        <v>0</v>
      </c>
    </row>
    <row r="12">
      <c r="A12" s="7" t="n">
        <v>10</v>
      </c>
      <c r="B12" t="n">
        <v>2</v>
      </c>
      <c r="C12" s="1" t="n">
        <v>574.2</v>
      </c>
      <c r="D12" s="2">
        <f>HYPERLINK("https://torgi.gov.ru/new/public/lots/lot/22000036990000000001_1/(lotInfo:info)", "22000036990000000001_1")</f>
        <v/>
      </c>
      <c r="E12" t="inlineStr">
        <is>
          <t>Нежилые помещения с кадастровым номером 02:57:010206:213, общей площадью 574,2 кв.м. на первом этаже четырехэтажного жилого здания, расположенных по адресу: Республика Башкортостан, г. Октябрьский, ул. Лермонтова, д. 6</t>
        </is>
      </c>
      <c r="F12" s="3" t="inlineStr">
        <is>
          <t>13.03.22 12:30</t>
        </is>
      </c>
      <c r="G12" t="inlineStr">
        <is>
          <t>Респ Башкортостан, г Октябрьский, ул Лермонтова, д 6</t>
        </is>
      </c>
      <c r="H12" s="4" t="n">
        <v>7712500</v>
      </c>
      <c r="I12" s="4" t="n">
        <v>13431.7311041449</v>
      </c>
      <c r="J12" t="inlineStr">
        <is>
          <t>Нежилое помещение</t>
        </is>
      </c>
      <c r="K12" s="5" t="n">
        <v>2.23</v>
      </c>
      <c r="L12" s="4" t="n">
        <v>305.25</v>
      </c>
      <c r="M12" t="n">
        <v>6012</v>
      </c>
      <c r="N12" s="6" t="n">
        <v>388758</v>
      </c>
      <c r="O12" t="n">
        <v>44</v>
      </c>
      <c r="Q12" t="inlineStr">
        <is>
          <t>PP</t>
        </is>
      </c>
      <c r="R12" t="inlineStr">
        <is>
          <t>М</t>
        </is>
      </c>
      <c r="S12" s="2">
        <f>HYPERLINK("https://yandex.ru/maps/?&amp;text=54.48299, 53.46805", "54.48299, 53.46805")</f>
        <v/>
      </c>
      <c r="T12" s="2">
        <f>HYPERLINK("D:\venv_torgi\env\cache\objs_in_district/54.48299_53.46805.json", "54.48299_53.46805.json")</f>
        <v/>
      </c>
      <c r="U12" t="inlineStr">
        <is>
          <t xml:space="preserve">02:57:010206:213, </t>
        </is>
      </c>
      <c r="V12" t="n">
        <v>1</v>
      </c>
      <c r="Y12" t="n">
        <v>0</v>
      </c>
      <c r="AA12" t="n">
        <v>0</v>
      </c>
      <c r="AB12" t="n">
        <v>0</v>
      </c>
    </row>
    <row r="13">
      <c r="A13" s="7" t="n">
        <v>11</v>
      </c>
      <c r="B13" t="n">
        <v>2</v>
      </c>
      <c r="C13" s="1" t="n">
        <v>347.1</v>
      </c>
      <c r="D13" s="2">
        <f>HYPERLINK("https://torgi.gov.ru/new/public/lots/lot/21000009380000000003_1/(lotInfo:info)", "21000009380000000003_1")</f>
        <v/>
      </c>
      <c r="E13" t="inlineStr">
        <is>
          <t>нежилые помещения с кадастровым номером 02:70:010901:954, площадью 347,1 кв.м., цокольный этаж № б/н</t>
        </is>
      </c>
      <c r="F13" s="3" t="inlineStr">
        <is>
          <t>30.05.22 15:00</t>
        </is>
      </c>
      <c r="G13" t="inlineStr">
        <is>
          <t>Респ Башкортостан, г Дюртюли, ул Первомайская, д 1</t>
        </is>
      </c>
      <c r="H13" s="4" t="n">
        <v>6500000</v>
      </c>
      <c r="I13" s="4" t="n">
        <v>18726.59176029962</v>
      </c>
      <c r="J13" t="inlineStr">
        <is>
          <t>Нежилое помещение</t>
        </is>
      </c>
      <c r="K13" s="5" t="n">
        <v>9.140000000000001</v>
      </c>
      <c r="L13" s="4" t="n">
        <v>814.17</v>
      </c>
      <c r="M13" t="n">
        <v>2049</v>
      </c>
      <c r="N13" s="6" t="n">
        <v>30969</v>
      </c>
      <c r="O13" t="n">
        <v>23</v>
      </c>
      <c r="Q13" t="inlineStr">
        <is>
          <t>EA</t>
        </is>
      </c>
      <c r="R13" t="inlineStr">
        <is>
          <t>М</t>
        </is>
      </c>
      <c r="S13" s="2">
        <f>HYPERLINK("https://yandex.ru/maps/?&amp;text=55.492474, 54.84453", "55.492474, 54.84453")</f>
        <v/>
      </c>
      <c r="T13" s="2">
        <f>HYPERLINK("D:\venv_torgi\env\cache\objs_in_district/55.492474_54.84453.json", "55.492474_54.84453.json")</f>
        <v/>
      </c>
      <c r="U13" t="inlineStr">
        <is>
          <t xml:space="preserve">02:70:010901:954, </t>
        </is>
      </c>
      <c r="V13" t="n">
        <v>0</v>
      </c>
      <c r="Y13" t="n">
        <v>0</v>
      </c>
      <c r="AA13" t="n">
        <v>0</v>
      </c>
      <c r="AB13" t="n">
        <v>0</v>
      </c>
    </row>
    <row r="14">
      <c r="A14" s="7" t="n">
        <v>12</v>
      </c>
      <c r="B14" t="n">
        <v>2</v>
      </c>
      <c r="C14" s="1" t="n">
        <v>13.4</v>
      </c>
      <c r="D14" s="2">
        <f>HYPERLINK("https://torgi.gov.ru/new/public/lots/lot/21000028230000000003_1/(lotInfo:info)", "21000028230000000003_1")</f>
        <v/>
      </c>
      <c r="E14" t="inlineStr">
        <is>
          <t>нежилое помещение на первом этаже в пятиэтажном жилом доме, общей площадью 13,4 кв.м, расположенное по адресу: Республика Башкортостан, Белебеевский район, г. Белебей, ул. им. В.И. Ленина, д.13, кадастровый номер 02:63:011510:1276.</t>
        </is>
      </c>
      <c r="F14" s="3" t="inlineStr">
        <is>
          <t>25.02.22 15:30</t>
        </is>
      </c>
      <c r="G14" t="inlineStr">
        <is>
          <t>Респ Башкортостан, г Белебей, ул им В.И.Ленина, д 13</t>
        </is>
      </c>
      <c r="H14" s="4" t="n">
        <v>377903.9</v>
      </c>
      <c r="I14" s="4" t="n">
        <v>28201.78358208955</v>
      </c>
      <c r="J14" t="inlineStr">
        <is>
          <t>Нежилое помещение</t>
        </is>
      </c>
      <c r="K14" s="5" t="n">
        <v>13.18</v>
      </c>
      <c r="M14" t="n">
        <v>2140</v>
      </c>
      <c r="N14" s="6" t="n">
        <v>59123</v>
      </c>
      <c r="Q14" t="inlineStr">
        <is>
          <t>EA</t>
        </is>
      </c>
      <c r="R14" t="inlineStr">
        <is>
          <t>М</t>
        </is>
      </c>
      <c r="S14" s="2">
        <f>HYPERLINK("https://yandex.ru/maps/?&amp;text=54.1082735, 54.0990149", "54.1082735, 54.0990149")</f>
        <v/>
      </c>
      <c r="U14" t="inlineStr">
        <is>
          <t>02:63:011510:1276</t>
        </is>
      </c>
      <c r="V14" t="n">
        <v>1</v>
      </c>
      <c r="Y14" t="n">
        <v>0</v>
      </c>
      <c r="AA14" t="n">
        <v>0</v>
      </c>
      <c r="AB14" t="n">
        <v>0</v>
      </c>
    </row>
    <row r="15">
      <c r="A15" s="7" t="n">
        <v>13</v>
      </c>
      <c r="B15" t="n">
        <v>2</v>
      </c>
      <c r="C15" s="1" t="n">
        <v>31.3</v>
      </c>
      <c r="D15" s="2">
        <f>HYPERLINK("https://torgi.gov.ru/new/public/lots/lot/21000028230000000001_1/(lotInfo:info)", "21000028230000000001_1")</f>
        <v/>
      </c>
      <c r="E15" t="inlineStr">
        <is>
          <t>Аукцион в электронной форме по продаже муниципального имущества: нежилое помещение, первого этажа пятиэтажного жилого дома, площадью 31,3 кв.м, расположенное по адресу: Республика Башкортостан, Белебеевский район, г. Белебей, ул. Красная, д.95, кадастровый номер 02:63:011514:1014.</t>
        </is>
      </c>
      <c r="F15" s="3" t="inlineStr">
        <is>
          <t>20.02.22 15:30</t>
        </is>
      </c>
      <c r="G15" t="inlineStr">
        <is>
          <t>Респ Башкортостан, г Белебей, ул Красная, д 95</t>
        </is>
      </c>
      <c r="H15" s="4" t="n">
        <v>948000</v>
      </c>
      <c r="I15" s="4" t="n">
        <v>30287.53993610224</v>
      </c>
      <c r="J15" t="inlineStr">
        <is>
          <t>Нежилое помещение</t>
        </is>
      </c>
      <c r="K15" s="5" t="n">
        <v>13.4</v>
      </c>
      <c r="L15" s="4" t="n">
        <v>1261.96</v>
      </c>
      <c r="M15" t="n">
        <v>2260</v>
      </c>
      <c r="N15" s="6" t="n">
        <v>59123</v>
      </c>
      <c r="O15" t="n">
        <v>24</v>
      </c>
      <c r="Q15" t="inlineStr">
        <is>
          <t>EA</t>
        </is>
      </c>
      <c r="R15" t="inlineStr">
        <is>
          <t>М</t>
        </is>
      </c>
      <c r="S15" s="2">
        <f>HYPERLINK("https://yandex.ru/maps/?&amp;text=54.101536, 54.10925", "54.101536, 54.10925")</f>
        <v/>
      </c>
      <c r="T15" s="2">
        <f>HYPERLINK("D:\venv_torgi\env\cache\objs_in_district/54.101536_54.10925.json", "54.101536_54.10925.json")</f>
        <v/>
      </c>
      <c r="U15" t="inlineStr">
        <is>
          <t>02:63:011514:1014</t>
        </is>
      </c>
      <c r="V15" t="n">
        <v>1</v>
      </c>
      <c r="Y15" t="n">
        <v>0</v>
      </c>
      <c r="AA15" t="n">
        <v>0</v>
      </c>
      <c r="AB15" t="n">
        <v>0</v>
      </c>
    </row>
    <row r="16">
      <c r="A16" s="7" t="n">
        <v>14</v>
      </c>
      <c r="B16" t="n">
        <v>2</v>
      </c>
      <c r="C16" s="1" t="n">
        <v>98.7</v>
      </c>
      <c r="D16" s="2">
        <f>HYPERLINK("https://torgi.gov.ru/new/public/lots/lot/21000022850000000030_11/(lotInfo:info)", "21000022850000000030_11")</f>
        <v/>
      </c>
      <c r="E16" t="inlineStr">
        <is>
          <t>(повторно): Нежилое помещение, площадью 98,7 кв.м., адрес - Республика Башкортостан, р-н. Янаульский, г. Янаул, ул. Ленина, д. 6, кадастровый №02:72:020119:440.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      </is>
      </c>
      <c r="F16" s="3" t="inlineStr">
        <is>
          <t>12.06.22 20:59</t>
        </is>
      </c>
      <c r="G16" t="inlineStr">
        <is>
          <t>Респ Башкортостан, г Янаул, ул Ленина, д 6</t>
        </is>
      </c>
      <c r="H16" s="4" t="n">
        <v>3369186.65</v>
      </c>
      <c r="I16" s="4" t="n">
        <v>34135.62968591692</v>
      </c>
      <c r="J16" t="inlineStr">
        <is>
          <t>Нежилое помещение</t>
        </is>
      </c>
      <c r="K16" s="5" t="n">
        <v>10.46</v>
      </c>
      <c r="L16" s="4" t="n">
        <v>922.5700000000001</v>
      </c>
      <c r="M16" t="n">
        <v>3264</v>
      </c>
      <c r="N16" s="6" t="n">
        <v>25747</v>
      </c>
      <c r="O16" t="n">
        <v>37</v>
      </c>
      <c r="Q16" t="inlineStr">
        <is>
          <t>EA</t>
        </is>
      </c>
      <c r="R16" t="inlineStr">
        <is>
          <t>Д</t>
        </is>
      </c>
      <c r="S16" s="2">
        <f>HYPERLINK("https://yandex.ru/maps/?&amp;text=56.267822, 54.9341", "56.267822, 54.9341")</f>
        <v/>
      </c>
      <c r="T16" s="2">
        <f>HYPERLINK("D:\venv_torgi\env\cache\objs_in_district/56.267822_54.9341.json", "56.267822_54.9341.json")</f>
        <v/>
      </c>
      <c r="U16" t="inlineStr">
        <is>
          <t>02:72:020119:440</t>
        </is>
      </c>
      <c r="V16" t="n">
        <v>0</v>
      </c>
      <c r="Y16" t="n">
        <v>0</v>
      </c>
      <c r="AA16" t="n">
        <v>0</v>
      </c>
      <c r="AB16" t="n">
        <v>0</v>
      </c>
    </row>
    <row r="17">
      <c r="A17" s="7" t="n">
        <v>15</v>
      </c>
      <c r="B17" t="n">
        <v>2</v>
      </c>
      <c r="C17" s="1" t="n">
        <v>20.8</v>
      </c>
      <c r="D17" s="2">
        <f>HYPERLINK("https://torgi.gov.ru/new/public/lots/lot/22000029100000000001_1/(lotInfo:info)", "22000029100000000001_1")</f>
        <v/>
      </c>
      <c r="E17" t="inlineStr">
        <is>
      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общей площадью 20,8 кв.м (кадастровый номер 02:65:011227:561) на I этаже 5-этажного жилого дома, расположенное по адресу: Республика Башкортостан, г.Туймазы, ул.Островского, д.51.</t>
        </is>
      </c>
      <c r="F17" s="3" t="inlineStr">
        <is>
          <t>26.05.22 15:00</t>
        </is>
      </c>
      <c r="G17" t="inlineStr">
        <is>
          <t>Респ Башкортостан, г Туймазы, ул Островского, д 51, офис 5</t>
        </is>
      </c>
      <c r="H17" s="4" t="n">
        <v>830000</v>
      </c>
      <c r="I17" s="4" t="n">
        <v>39903.84615384616</v>
      </c>
      <c r="J17" t="inlineStr">
        <is>
          <t>Нежилое помещение</t>
        </is>
      </c>
      <c r="K17" s="5" t="n">
        <v>10.1</v>
      </c>
      <c r="L17" s="4" t="n">
        <v>4433.67</v>
      </c>
      <c r="M17" t="n">
        <v>3951</v>
      </c>
      <c r="N17" s="6" t="n">
        <v>68410</v>
      </c>
      <c r="O17" t="n">
        <v>9</v>
      </c>
      <c r="Q17" t="inlineStr">
        <is>
          <t>EA</t>
        </is>
      </c>
      <c r="R17" t="inlineStr">
        <is>
          <t>М</t>
        </is>
      </c>
      <c r="S17" s="2">
        <f>HYPERLINK("https://yandex.ru/maps/?&amp;text=54.599618, 53.679773", "54.599618, 53.679773")</f>
        <v/>
      </c>
      <c r="T17" s="2">
        <f>HYPERLINK("D:\venv_torgi\env\cache\objs_in_district/54.599618_53.679773.json", "54.599618_53.679773.json")</f>
        <v/>
      </c>
      <c r="U17" t="inlineStr">
        <is>
          <t>02:65:011227:561</t>
        </is>
      </c>
      <c r="V17" t="n">
        <v>1</v>
      </c>
      <c r="Y17" t="n">
        <v>0</v>
      </c>
      <c r="AA17" t="n">
        <v>0</v>
      </c>
      <c r="AB17" t="n">
        <v>0</v>
      </c>
    </row>
    <row r="18">
      <c r="A18" s="7" t="n">
        <v>16</v>
      </c>
      <c r="B18" t="n">
        <v>2</v>
      </c>
      <c r="C18" s="1" t="n">
        <v>13.7</v>
      </c>
      <c r="D18" s="2">
        <f>HYPERLINK("https://torgi.gov.ru/new/public/lots/lot/21000028230000000013_1/(lotInfo:info)", "21000028230000000013_1")</f>
        <v/>
      </c>
      <c r="E18" t="inlineStr">
        <is>
          <t>часть встроенного нежилого помещения на первом этаже в пятиэтажном жилом доме, номер на поэтажном плане №31, общей площадью 13,7 кв.м, кадастровый номер 02:63:011516:490, расположенное по адресу: Республика Башкортостан, Белебеевский район, г. Белебей, ул. им. М.Г. Амирова, д.2.</t>
        </is>
      </c>
      <c r="F18" s="3" t="inlineStr">
        <is>
          <t>15.06.22 15:30</t>
        </is>
      </c>
      <c r="G18" t="inlineStr">
        <is>
          <t>Респ Башкортостан, г Белебей, ул им М.Г. Амирова, д 2</t>
        </is>
      </c>
      <c r="H18" s="4" t="n">
        <v>547050</v>
      </c>
      <c r="I18" s="4" t="n">
        <v>39930.65693430657</v>
      </c>
      <c r="J18" t="inlineStr">
        <is>
          <t>Нежилое помещение</t>
        </is>
      </c>
      <c r="K18" s="5" t="n">
        <v>20.37</v>
      </c>
      <c r="L18" s="4" t="n">
        <v>1535.77</v>
      </c>
      <c r="M18" t="n">
        <v>1960</v>
      </c>
      <c r="N18" s="6" t="n">
        <v>59123</v>
      </c>
      <c r="O18" t="n">
        <v>26</v>
      </c>
      <c r="Q18" t="inlineStr">
        <is>
          <t>EA</t>
        </is>
      </c>
      <c r="R18" t="inlineStr">
        <is>
          <t>М</t>
        </is>
      </c>
      <c r="S18" s="2">
        <f>HYPERLINK("https://yandex.ru/maps/?&amp;text=54.099747, 54.104973", "54.099747, 54.104973")</f>
        <v/>
      </c>
      <c r="T18" s="2">
        <f>HYPERLINK("D:\venv_torgi\env\cache\objs_in_district/54.099747_54.104973.json", "54.099747_54.104973.json")</f>
        <v/>
      </c>
      <c r="U18" t="inlineStr">
        <is>
          <t xml:space="preserve">02:63:011516:490, </t>
        </is>
      </c>
      <c r="V18" t="n">
        <v>1</v>
      </c>
      <c r="Y18" t="n">
        <v>0</v>
      </c>
      <c r="AA18" t="n">
        <v>0</v>
      </c>
      <c r="AB18" t="n">
        <v>0</v>
      </c>
    </row>
    <row r="19">
      <c r="A19" s="7" t="n">
        <v>17</v>
      </c>
      <c r="B19" t="n">
        <v>2</v>
      </c>
      <c r="C19" s="1" t="n">
        <v>15.7</v>
      </c>
      <c r="D19" s="2">
        <f>HYPERLINK("https://torgi.gov.ru/new/public/lots/lot/22000014830000000004_1/(lotInfo:info)", "22000014830000000004_1")</f>
        <v/>
      </c>
      <c r="E19" t="inlineStr">
        <is>
      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      </is>
      </c>
      <c r="F19" s="3" t="inlineStr">
        <is>
          <t>11.05.22 12:00</t>
        </is>
      </c>
      <c r="G19" t="inlineStr">
        <is>
          <t>Респ Башкортостан, г Давлеканово, ул Молодежная, д 8 к 2</t>
        </is>
      </c>
      <c r="H19" s="4" t="n">
        <v>700000</v>
      </c>
      <c r="I19" s="4" t="n">
        <v>44585.9872611465</v>
      </c>
      <c r="J19" t="inlineStr">
        <is>
          <t>торгово-офисное</t>
        </is>
      </c>
      <c r="K19" s="5" t="n">
        <v>110.91</v>
      </c>
      <c r="L19" s="4" t="inlineStr"/>
      <c r="M19" t="n">
        <v>402</v>
      </c>
      <c r="N19" s="6" t="n">
        <v>23662</v>
      </c>
      <c r="O19" t="inlineStr"/>
      <c r="Q19" t="inlineStr">
        <is>
          <t>EA</t>
        </is>
      </c>
      <c r="R19" t="inlineStr">
        <is>
          <t>М</t>
        </is>
      </c>
      <c r="S19" s="2">
        <f>HYPERLINK("https://yandex.ru/maps/?&amp;text=54.217415, 55.049246", "54.217415, 55.049246")</f>
        <v/>
      </c>
      <c r="T19" s="8">
        <f>HYPERLINK("D:\venv_torgi\env\cache\objs_in_district/54.217415_55.049246.json", "54.217415_55.049246.json")</f>
        <v/>
      </c>
      <c r="U19" t="inlineStr">
        <is>
          <t xml:space="preserve">02:71:040209:502, </t>
        </is>
      </c>
      <c r="V19" t="n">
        <v>1</v>
      </c>
      <c r="Y19" t="n">
        <v>1</v>
      </c>
      <c r="AA19" t="n">
        <v>0</v>
      </c>
      <c r="AB19" t="n">
        <v>0</v>
      </c>
    </row>
    <row r="20">
      <c r="A20" s="7" t="n">
        <v>18</v>
      </c>
      <c r="B20" t="n">
        <v>2</v>
      </c>
      <c r="C20" s="1" t="n">
        <v>114</v>
      </c>
      <c r="D20" s="2">
        <f>HYPERLINK("https://torgi.gov.ru/new/public/lots/lot/22000053850000000001_1/(lotInfo:info)", "22000053850000000001_1")</f>
        <v/>
      </c>
      <c r="E20" t="inlineStr">
        <is>
          <t>Нежилое помещение, общей площадью 114 кв.м, с кадастровым номером 02:65:011206:451, расположенного по адресу: Республика Башкортостан, Туймазинский район, г.Туймазы, ул.Гагарина, д.39, номер на этаже 4</t>
        </is>
      </c>
      <c r="F20" s="3" t="inlineStr">
        <is>
          <t>22.03.22 07:00</t>
        </is>
      </c>
      <c r="G20" t="inlineStr">
        <is>
          <t>Респ Башкортостан, г Туймазы, ул Гагарина, зд 39</t>
        </is>
      </c>
      <c r="H20" s="4" t="n">
        <v>5579000</v>
      </c>
      <c r="I20" s="4" t="n">
        <v>48938.59649122807</v>
      </c>
      <c r="J20" t="inlineStr">
        <is>
          <t>Нежилое помещение</t>
        </is>
      </c>
      <c r="K20" s="5" t="n">
        <v>9.300000000000001</v>
      </c>
      <c r="L20" s="4" t="n">
        <v>3495.57</v>
      </c>
      <c r="M20" t="n">
        <v>5262</v>
      </c>
      <c r="N20" s="6" t="n">
        <v>68410</v>
      </c>
      <c r="O20" t="n">
        <v>14</v>
      </c>
      <c r="Q20" t="inlineStr">
        <is>
          <t>EA</t>
        </is>
      </c>
      <c r="R20" t="inlineStr">
        <is>
          <t>М</t>
        </is>
      </c>
      <c r="S20" s="2">
        <f>HYPERLINK("https://yandex.ru/maps/?&amp;text=54.60266, 53.694893", "54.60266, 53.694893")</f>
        <v/>
      </c>
      <c r="T20" s="2">
        <f>HYPERLINK("D:\venv_torgi\env\cache\objs_in_district/54.60266_53.694893.json", "54.60266_53.694893.json")</f>
        <v/>
      </c>
      <c r="U20" t="inlineStr">
        <is>
          <t xml:space="preserve">02:65:011206:451, </t>
        </is>
      </c>
      <c r="V20" t="n">
        <v>4</v>
      </c>
      <c r="Y20" t="n">
        <v>0</v>
      </c>
      <c r="AA20" t="n">
        <v>0</v>
      </c>
      <c r="AB20" t="n">
        <v>0</v>
      </c>
    </row>
    <row r="21">
      <c r="A21" s="7" t="n">
        <v>19</v>
      </c>
      <c r="B21" t="n">
        <v>2</v>
      </c>
      <c r="C21" s="1" t="n">
        <v>29.1</v>
      </c>
      <c r="D21" s="2">
        <f>HYPERLINK("https://torgi.gov.ru/new/public/lots/lot/21000002210000000564_3/(lotInfo:info)", "21000002210000000564_3")</f>
        <v/>
      </c>
      <c r="E21" t="inlineStr">
        <is>
      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 Республика Башкортостан, г. Уфа, Ленинский район, ул. Ленина, д. 9/11Кадастровый номер: 02:55:010205:423. Площадь: 29,1 кв. м.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      </is>
      </c>
      <c r="F21" s="3" t="inlineStr">
        <is>
          <t>29.06.22 19:00</t>
        </is>
      </c>
      <c r="G21" t="inlineStr">
        <is>
          <t>г Уфа, ул Ленина, д 9/11</t>
        </is>
      </c>
      <c r="H21" s="4" t="n">
        <v>4633650.18</v>
      </c>
      <c r="I21" s="4" t="n">
        <v>159231.9649484536</v>
      </c>
      <c r="J21" t="inlineStr">
        <is>
          <t>жилое здание</t>
        </is>
      </c>
      <c r="K21" s="5" t="n">
        <v>22.98</v>
      </c>
      <c r="L21" s="4" t="n">
        <v>1488.14</v>
      </c>
      <c r="M21" t="n">
        <v>6930</v>
      </c>
      <c r="N21" s="6" t="n">
        <v>1106086</v>
      </c>
      <c r="O21" t="n">
        <v>107</v>
      </c>
      <c r="Q21" t="inlineStr">
        <is>
          <t>EA</t>
        </is>
      </c>
      <c r="R21" t="inlineStr">
        <is>
          <t>М</t>
        </is>
      </c>
      <c r="S21" s="2">
        <f>HYPERLINK("https://yandex.ru/maps/?&amp;text=54.727588, 55.947723", "54.727588, 55.947723")</f>
        <v/>
      </c>
      <c r="T21" s="2">
        <f>HYPERLINK("D:\venv_torgi\env\cache\objs_in_district/54.727588_55.947723.json", "54.727588_55.947723.json")</f>
        <v/>
      </c>
      <c r="U21" t="inlineStr">
        <is>
          <t>02:55:010205:423</t>
        </is>
      </c>
      <c r="V21" t="n">
        <v>0</v>
      </c>
      <c r="Y21" t="n">
        <v>0</v>
      </c>
      <c r="Z21" t="n">
        <v>1</v>
      </c>
      <c r="AA21" t="n">
        <v>0</v>
      </c>
      <c r="AB21" t="n">
        <v>0</v>
      </c>
    </row>
    <row r="22">
      <c r="A22" s="7" t="n">
        <v>20</v>
      </c>
      <c r="B22" t="n">
        <v>3</v>
      </c>
      <c r="C22" s="1" t="n">
        <v>667</v>
      </c>
      <c r="D22" s="2">
        <f>HYPERLINK("https://torgi.gov.ru/new/public/lots/lot/21000003120000000003_1/(lotInfo:info)", "21000003120000000003_1")</f>
        <v/>
      </c>
      <c r="E22" t="inlineStr">
        <is>
          <t>Здание, назначение: нежилое здание, наименование: овощехранилище, количество этажей - 1, в том числе подземных этажей - 1, площадь 667 кв. м, кадастровый номер 03:24:034301:497 и земельный участок с кадастровым номером 03:24:034301:689 площадью 6359 кв. м. (местоположение: Республика Бурятия, г. Улан-Удэ, ст. Медведчиково, д. 17а).</t>
        </is>
      </c>
      <c r="F22" s="3" t="inlineStr">
        <is>
          <t>24.02.22 02:00</t>
        </is>
      </c>
      <c r="G22" t="inlineStr">
        <is>
          <t>г Улан-Удэ, мкр Медведчиково</t>
        </is>
      </c>
      <c r="H22" s="4" t="n">
        <v>1314000</v>
      </c>
      <c r="I22" s="4" t="n">
        <v>1970.014992503748</v>
      </c>
      <c r="J22" t="inlineStr">
        <is>
          <t>овощехранилище</t>
        </is>
      </c>
      <c r="K22" s="5" t="n">
        <v>1.11</v>
      </c>
      <c r="L22" s="4" t="inlineStr"/>
      <c r="M22" t="n">
        <v>1782</v>
      </c>
      <c r="N22" s="6" t="n">
        <v>430186</v>
      </c>
      <c r="O22" t="inlineStr"/>
      <c r="Q22" t="inlineStr">
        <is>
          <t>PP</t>
        </is>
      </c>
      <c r="R22" t="inlineStr">
        <is>
          <t>М</t>
        </is>
      </c>
      <c r="S22" s="2">
        <f>HYPERLINK("https://yandex.ru/maps/?&amp;text=51.77594, 107.552926", "51.77594, 107.552926")</f>
        <v/>
      </c>
      <c r="T22" s="8">
        <f>HYPERLINK("D:\venv_torgi\env\cache\objs_in_district/51.77594_107.552926.json", "51.77594_107.552926.json")</f>
        <v/>
      </c>
      <c r="U22" t="inlineStr">
        <is>
          <t xml:space="preserve">03:24:034301:497 </t>
        </is>
      </c>
      <c r="V22" t="n">
        <v>1</v>
      </c>
      <c r="Y22" t="n">
        <v>0</v>
      </c>
      <c r="AA22" t="n">
        <v>0</v>
      </c>
      <c r="AB22" t="n">
        <v>1</v>
      </c>
    </row>
    <row r="23">
      <c r="A23" s="7" t="n">
        <v>21</v>
      </c>
      <c r="B23" t="n">
        <v>3</v>
      </c>
      <c r="C23" s="1" t="n">
        <v>108.7</v>
      </c>
      <c r="D23" s="2">
        <f>HYPERLINK("https://torgi.gov.ru/new/public/lots/lot/22000053060000000004_1/(lotInfo:info)", "22000053060000000004_1")</f>
        <v/>
      </c>
      <c r="E23" t="inlineStr">
        <is>
          <t>Лот № 1: Нежилое помещение, находящееся в собственности муниципального образования «Муйский район» - Нежилое помещение овощехранилища, 1990 года постройки, площадью 108,7 кв. м, расположенное по адресу: Республика Бурятия, Муйский район, п. Таксимо, ул. Латвийская, дом 20 помещение 1. Кадастровый номер 03:13:000000:887.</t>
        </is>
      </c>
      <c r="F23" s="3" t="inlineStr">
        <is>
          <t>09.06.22 23:00</t>
        </is>
      </c>
      <c r="G23" t="inlineStr">
        <is>
          <t>Респ Бурятия, пгт Таксимо, ул Латвийская, зд 20/1</t>
        </is>
      </c>
      <c r="H23" s="4" t="n">
        <v>216000</v>
      </c>
      <c r="I23" s="4" t="n">
        <v>1987.120515179393</v>
      </c>
      <c r="J23" t="inlineStr">
        <is>
          <t>овощехранилища</t>
        </is>
      </c>
      <c r="K23" s="5" t="n">
        <v>23.1</v>
      </c>
      <c r="M23" t="n">
        <v>86</v>
      </c>
      <c r="N23" s="6" t="n">
        <v>8249</v>
      </c>
      <c r="Q23" t="inlineStr">
        <is>
          <t>EA</t>
        </is>
      </c>
      <c r="R23" t="inlineStr">
        <is>
          <t>М</t>
        </is>
      </c>
      <c r="S23" s="2">
        <f>HYPERLINK("https://yandex.ru/maps/?&amp;text=56.363135, 114.831454", "56.363135, 114.831454")</f>
        <v/>
      </c>
      <c r="U23" t="inlineStr">
        <is>
          <t>03:13:000000:887</t>
        </is>
      </c>
      <c r="V23" t="n">
        <v>0</v>
      </c>
      <c r="Y23" t="n">
        <v>0</v>
      </c>
      <c r="AA23" t="n">
        <v>0</v>
      </c>
      <c r="AB23" t="n">
        <v>0</v>
      </c>
    </row>
    <row r="24">
      <c r="A24" s="7" t="n">
        <v>22</v>
      </c>
      <c r="B24" t="n">
        <v>3</v>
      </c>
      <c r="C24" s="1" t="n">
        <v>97.59999999999999</v>
      </c>
      <c r="D24" s="2">
        <f>HYPERLINK("https://torgi.gov.ru/new/public/lots/lot/22000053060000000004_3/(lotInfo:info)", "22000053060000000004_3")</f>
        <v/>
      </c>
      <c r="E24" t="inlineStr">
        <is>
          <t>Лот № 3: Нежилое помещение, находящееся в собственности муниципального образования «Муйский район» - Нежилое помещение овощехранилища, 1990 года постройки, площадью 97,6 кв. м, расположенное по адресу: Республика Бурятия, Муйский район, п. Таксимо, ул. Латвийская, дом 20 помещение 4. Кадастровый номер 03:13:000000:890.</t>
        </is>
      </c>
      <c r="F24" s="3" t="inlineStr">
        <is>
          <t>09.06.22 23:00</t>
        </is>
      </c>
      <c r="G24" t="inlineStr">
        <is>
          <t>Респ Бурятия, пгт Таксимо, ул Латвийская, зд 20/1</t>
        </is>
      </c>
      <c r="H24" s="4" t="n">
        <v>194000</v>
      </c>
      <c r="I24" s="4" t="n">
        <v>1987.704918032787</v>
      </c>
      <c r="J24" t="inlineStr">
        <is>
          <t>овощехранилища</t>
        </is>
      </c>
      <c r="K24" s="5" t="n">
        <v>23.1</v>
      </c>
      <c r="M24" t="n">
        <v>86</v>
      </c>
      <c r="N24" s="6" t="n">
        <v>8249</v>
      </c>
      <c r="Q24" t="inlineStr">
        <is>
          <t>EA</t>
        </is>
      </c>
      <c r="R24" t="inlineStr">
        <is>
          <t>М</t>
        </is>
      </c>
      <c r="S24" s="2">
        <f>HYPERLINK("https://yandex.ru/maps/?&amp;text=56.363135, 114.831454", "56.363135, 114.831454")</f>
        <v/>
      </c>
      <c r="U24" t="inlineStr">
        <is>
          <t>03:13:000000:890</t>
        </is>
      </c>
      <c r="V24" t="n">
        <v>0</v>
      </c>
      <c r="Y24" t="n">
        <v>0</v>
      </c>
      <c r="AA24" t="n">
        <v>0</v>
      </c>
      <c r="AB24" t="n">
        <v>0</v>
      </c>
    </row>
    <row r="25">
      <c r="A25" s="7" t="n">
        <v>23</v>
      </c>
      <c r="B25" t="n">
        <v>3</v>
      </c>
      <c r="C25" s="1" t="n">
        <v>108</v>
      </c>
      <c r="D25" s="2">
        <f>HYPERLINK("https://torgi.gov.ru/new/public/lots/lot/22000053060000000004_2/(lotInfo:info)", "22000053060000000004_2")</f>
        <v/>
      </c>
      <c r="E25" t="inlineStr">
        <is>
          <t>Лот № 2: Нежилое помещение, находящееся в собственности муниципального образования «Муйский район» - Нежилое помещение овощехранилища, 1990 года постройки, площадью 108,0 кв. м, расположенное по адресу: Республика Бурятия, Муйский район, п. Таксимо, ул. Латвийская, дом 20 помещение 2. Кадастровый номер 03:13:000000:888.</t>
        </is>
      </c>
      <c r="F25" s="3" t="inlineStr">
        <is>
          <t>09.06.22 23:00</t>
        </is>
      </c>
      <c r="G25" t="inlineStr">
        <is>
          <t>Респ Бурятия, пгт Таксимо, ул Латвийская, зд 20/1</t>
        </is>
      </c>
      <c r="H25" s="4" t="n">
        <v>215000</v>
      </c>
      <c r="I25" s="4" t="n">
        <v>1990.740740740741</v>
      </c>
      <c r="J25" t="inlineStr">
        <is>
          <t>овощехранилища</t>
        </is>
      </c>
      <c r="K25" s="5" t="n">
        <v>23.14</v>
      </c>
      <c r="M25" t="n">
        <v>86</v>
      </c>
      <c r="N25" s="6" t="n">
        <v>8249</v>
      </c>
      <c r="Q25" t="inlineStr">
        <is>
          <t>EA</t>
        </is>
      </c>
      <c r="R25" t="inlineStr">
        <is>
          <t>М</t>
        </is>
      </c>
      <c r="S25" s="2">
        <f>HYPERLINK("https://yandex.ru/maps/?&amp;text=56.363135, 114.831454", "56.363135, 114.831454")</f>
        <v/>
      </c>
      <c r="U25" t="inlineStr">
        <is>
          <t>03:13:000000:888</t>
        </is>
      </c>
      <c r="V25" t="n">
        <v>0</v>
      </c>
      <c r="Y25" t="n">
        <v>0</v>
      </c>
      <c r="AA25" t="n">
        <v>0</v>
      </c>
      <c r="AB25" t="n">
        <v>0</v>
      </c>
    </row>
    <row r="26">
      <c r="A26" s="7" t="n">
        <v>24</v>
      </c>
      <c r="B26" t="n">
        <v>3</v>
      </c>
      <c r="C26" s="1" t="n">
        <v>30.6</v>
      </c>
      <c r="D26" s="2">
        <f>HYPERLINK("https://torgi.gov.ru/new/public/lots/lot/22000079850000000001_1/(lotInfo:info)", "22000079850000000001_1")</f>
        <v/>
      </c>
      <c r="E26" t="inlineStr">
        <is>
          <t>Нежилое помещение, назначение - нежилое, общей площадью 30,6 кв.м., кадастровый номер 03:22:000000:5924, расположенное по адресу: г. Гусиноозерск, ул. Пушкина, д.1 помещение 3</t>
        </is>
      </c>
      <c r="F26" s="3" t="inlineStr">
        <is>
          <t>13.05.22 09:00</t>
        </is>
      </c>
      <c r="G26" t="inlineStr">
        <is>
          <t>Респ Бурятия, г Гусиноозерск, ул Пушкина, д 1, помещ 3</t>
        </is>
      </c>
      <c r="H26" s="4" t="n">
        <v>400000</v>
      </c>
      <c r="I26" s="4" t="n">
        <v>13071.8954248366</v>
      </c>
      <c r="J26" t="inlineStr">
        <is>
          <t>Нежилое помещение</t>
        </is>
      </c>
      <c r="K26" s="5" t="n">
        <v>7.61</v>
      </c>
      <c r="M26" t="n">
        <v>1717</v>
      </c>
      <c r="N26" s="6" t="n">
        <v>14992</v>
      </c>
      <c r="Q26" t="inlineStr">
        <is>
          <t>EA</t>
        </is>
      </c>
      <c r="R26" t="inlineStr">
        <is>
          <t>М</t>
        </is>
      </c>
      <c r="S26" s="2">
        <f>HYPERLINK("https://yandex.ru/maps/?&amp;text=51.283882, 106.5326", "51.283882, 106.5326")</f>
        <v/>
      </c>
      <c r="U26" t="inlineStr">
        <is>
          <t xml:space="preserve">03:22:000000:5924, </t>
        </is>
      </c>
      <c r="V26" t="n">
        <v>0</v>
      </c>
      <c r="Y26" t="n">
        <v>0</v>
      </c>
      <c r="AA26" t="n">
        <v>0</v>
      </c>
      <c r="AB26" t="n">
        <v>0</v>
      </c>
    </row>
    <row r="27">
      <c r="A27" s="7" t="n">
        <v>25</v>
      </c>
      <c r="B27" t="n">
        <v>3</v>
      </c>
      <c r="C27" s="1" t="n">
        <v>20.6</v>
      </c>
      <c r="D27" s="2">
        <f>HYPERLINK("https://torgi.gov.ru/new/public/lots/lot/22000016660000000004_5/(lotInfo:info)", "22000016660000000004_5")</f>
        <v/>
      </c>
      <c r="E27" t="inlineStr">
        <is>
          <t>Нежилое помещение № 34, общей площадью 20,6 кв.м, расположенное на 3 этаже многоквартирного дома, по адресу: Республика Бурятия, г. Северобайкальск, ул. Ленинградская д.12.кадастровый номер 03:23:010560:294.</t>
        </is>
      </c>
      <c r="F27" s="3" t="inlineStr">
        <is>
          <t>12.04.22 06:00</t>
        </is>
      </c>
      <c r="G27" t="inlineStr">
        <is>
          <t>Респ Бурятия, г Северобайкальск, ул Ленинградская, д 12</t>
        </is>
      </c>
      <c r="H27" s="4" t="n">
        <v>1246600</v>
      </c>
      <c r="I27" s="4" t="n">
        <v>60514.56310679611</v>
      </c>
      <c r="J27" t="inlineStr">
        <is>
          <t>Нежилое помещение</t>
        </is>
      </c>
      <c r="K27" s="5" t="n">
        <v>30.7</v>
      </c>
      <c r="L27" s="4" t="n">
        <v>5042.83</v>
      </c>
      <c r="M27" t="n">
        <v>1971</v>
      </c>
      <c r="N27" s="6" t="n">
        <v>23365</v>
      </c>
      <c r="O27" t="n">
        <v>12</v>
      </c>
      <c r="Q27" t="inlineStr">
        <is>
          <t>EA</t>
        </is>
      </c>
      <c r="R27" t="inlineStr">
        <is>
          <t>М</t>
        </is>
      </c>
      <c r="S27" s="2">
        <f>HYPERLINK("https://yandex.ru/maps/?&amp;text=55.634132, 109.31769", "55.634132, 109.31769")</f>
        <v/>
      </c>
      <c r="T27" s="2">
        <f>HYPERLINK("D:\venv_torgi\env\cache\objs_in_district/55.634132_109.31769.json", "55.634132_109.31769.json")</f>
        <v/>
      </c>
      <c r="U27" t="inlineStr">
        <is>
          <t>03:23:010560:294</t>
        </is>
      </c>
      <c r="V27" t="n">
        <v>3</v>
      </c>
      <c r="Y27" t="n">
        <v>0</v>
      </c>
      <c r="AA27" t="n">
        <v>0</v>
      </c>
      <c r="AB27" t="n">
        <v>0</v>
      </c>
    </row>
    <row r="28">
      <c r="A28" s="7" t="n">
        <v>26</v>
      </c>
      <c r="B28" t="n">
        <v>5</v>
      </c>
      <c r="C28" s="1" t="n">
        <v>104.2</v>
      </c>
      <c r="D28" s="2">
        <f>HYPERLINK("https://torgi.gov.ru/new/public/lots/lot/21000013200000000031_1/(lotInfo:info)", "21000013200000000031_1")</f>
        <v/>
      </c>
      <c r="E28" t="inlineStr">
        <is>
          <t>Нежилое помещение, площадь 104,2 кв. м., этаж 2-й, кадастровый номер: 05:40:000047:1440, местоположение: Республика Дагестан, г. Махачкала, ул. Дзержинского, д. 6, помещение 20, стоимость 3 145 680 руб., задаток 157 284 руб.;</t>
        </is>
      </c>
      <c r="F28" s="3" t="inlineStr">
        <is>
          <t>16.06.22 15:00</t>
        </is>
      </c>
      <c r="G28" t="inlineStr">
        <is>
          <t>г Махачкала, ул Дзержинского, д 6</t>
        </is>
      </c>
      <c r="H28" s="4" t="n">
        <v>5284742.4</v>
      </c>
      <c r="I28" s="4" t="n">
        <v>50717.29750479847</v>
      </c>
      <c r="J28" t="inlineStr">
        <is>
          <t>Нежилое помещение</t>
        </is>
      </c>
      <c r="K28" s="5" t="n">
        <v>7.46</v>
      </c>
      <c r="L28" s="4" t="n">
        <v>437.22</v>
      </c>
      <c r="M28" t="n">
        <v>6795</v>
      </c>
      <c r="N28" s="6" t="n">
        <v>726654</v>
      </c>
      <c r="O28" t="n">
        <v>116</v>
      </c>
      <c r="Q28" t="inlineStr">
        <is>
          <t>EA</t>
        </is>
      </c>
      <c r="R28" t="inlineStr">
        <is>
          <t>Д</t>
        </is>
      </c>
      <c r="S28" s="2">
        <f>HYPERLINK("https://yandex.ru/maps/?&amp;text=42.982006, 47.500378", "42.982006, 47.500378")</f>
        <v/>
      </c>
      <c r="T28" s="2">
        <f>HYPERLINK("D:\venv_torgi\env\cache\objs_in_district/42.982006_47.500378.json", "42.982006_47.500378.json")</f>
        <v/>
      </c>
      <c r="U28" t="inlineStr">
        <is>
          <t xml:space="preserve">05:40:000047:1440, </t>
        </is>
      </c>
      <c r="V28" t="n">
        <v>2</v>
      </c>
      <c r="Y28" t="n">
        <v>0</v>
      </c>
      <c r="AA28" t="n">
        <v>0</v>
      </c>
      <c r="AB28" t="n">
        <v>0</v>
      </c>
    </row>
    <row r="29">
      <c r="A29" s="7" t="n">
        <v>27</v>
      </c>
      <c r="B29" t="n">
        <v>7</v>
      </c>
      <c r="C29" s="1" t="n">
        <v>66.8</v>
      </c>
      <c r="D29" s="2">
        <f>HYPERLINK("https://torgi.gov.ru/new/public/lots/lot/22000038800000000001_1/(lotInfo:info)", "22000038800000000001_1")</f>
        <v/>
      </c>
      <c r="E29" t="inlineStr">
        <is>
          <t>Нежилое помещение, находящееся в муниципальной собственности городского поселения Майский общей площадью 66,8 кв.м, с кадастровым номером 07:03:0700000:2491, расположенное по адресу: КБР, Майский р-н, г. Майский, ул. Советская, д. 45.Фундамент: ленточно – бетонный; стены и их наружная отделка: шлакоблочные; перекрытия чердачные: железобетонные; полы: деревянные, линолеум; проемы: основные-двойные створные, дверные-металлические; внутренняя отделка: штукатурка, побелка. Отопление центральное, проводка скрытая, вентиляция естественная.</t>
        </is>
      </c>
      <c r="F29" s="3" t="inlineStr">
        <is>
          <t>11.05.22 13:00</t>
        </is>
      </c>
      <c r="G29" t="inlineStr">
        <is>
          <t>Кабардино-Балкарская Респ, г Майский, ул Советская, д 45</t>
        </is>
      </c>
      <c r="H29" s="4" t="n">
        <v>710120</v>
      </c>
      <c r="I29" s="4" t="n">
        <v>10630.53892215569</v>
      </c>
      <c r="J29" t="inlineStr">
        <is>
          <t>Нежилое помещение</t>
        </is>
      </c>
      <c r="K29" s="5" t="n">
        <v>7.28</v>
      </c>
      <c r="M29" t="n">
        <v>1460</v>
      </c>
      <c r="N29" s="6" t="n">
        <v>47753</v>
      </c>
      <c r="Q29" t="inlineStr">
        <is>
          <t>EA</t>
        </is>
      </c>
      <c r="R29" t="inlineStr">
        <is>
          <t>М</t>
        </is>
      </c>
      <c r="S29" s="2">
        <f>HYPERLINK("https://yandex.ru/maps/?&amp;text=43.623486, 44.065052", "43.623486, 44.065052")</f>
        <v/>
      </c>
      <c r="U29" t="inlineStr">
        <is>
          <t xml:space="preserve">07:03:0700000:2491, </t>
        </is>
      </c>
      <c r="V29" t="n">
        <v>1</v>
      </c>
      <c r="Y29" t="n">
        <v>0</v>
      </c>
      <c r="AA29" t="n">
        <v>0</v>
      </c>
      <c r="AB29" t="n">
        <v>0</v>
      </c>
    </row>
    <row r="30">
      <c r="A30" s="7" t="n">
        <v>28</v>
      </c>
      <c r="B30" t="n">
        <v>10</v>
      </c>
      <c r="C30" s="1" t="n">
        <v>89.90000000000001</v>
      </c>
      <c r="D30" s="2">
        <f>HYPERLINK("https://torgi.gov.ru/new/public/lots/lot/22000007320000000001_1/(lotInfo:info)", "22000007320000000001_1")</f>
        <v/>
      </c>
      <c r="E30" t="inlineStr">
        <is>
          <t>встроенные нежилые помещения (кадастровый номер 10:12:0050110:212), общей площадью 89,9 кв.м, расположенные по адресу: Республика Карелия, Лахденпохский район, п. Куркиеки, ул. Ленина, д.14</t>
        </is>
      </c>
      <c r="F30" s="3" t="inlineStr">
        <is>
          <t>03.03.22 07:00</t>
        </is>
      </c>
      <c r="G30" t="inlineStr">
        <is>
          <t>Респ Карелия, Лахденпохский р-н, поселок Куркиеки, ул Ленина, д 14</t>
        </is>
      </c>
      <c r="H30" s="4" t="n">
        <v>201600</v>
      </c>
      <c r="I30" s="4" t="n">
        <v>2242.491657397108</v>
      </c>
      <c r="J30" t="inlineStr">
        <is>
          <t>Нежилое помещение</t>
        </is>
      </c>
      <c r="K30" s="5" t="n">
        <v>19.33</v>
      </c>
      <c r="M30" t="n">
        <v>116</v>
      </c>
      <c r="N30" s="6" t="n">
        <v>855</v>
      </c>
      <c r="Q30" t="inlineStr">
        <is>
          <t>EA</t>
        </is>
      </c>
      <c r="R30" t="inlineStr">
        <is>
          <t>М</t>
        </is>
      </c>
      <c r="S30" s="2">
        <f>HYPERLINK("https://yandex.ru/maps/?&amp;text=61.29824, 29.89463", "61.29824, 29.89463")</f>
        <v/>
      </c>
      <c r="U30" t="inlineStr">
        <is>
          <t>10:12:0050110:212</t>
        </is>
      </c>
      <c r="V30" t="n">
        <v>0</v>
      </c>
      <c r="Y30" t="n">
        <v>0</v>
      </c>
      <c r="AA30" t="n">
        <v>0</v>
      </c>
      <c r="AB30" t="n">
        <v>0</v>
      </c>
    </row>
    <row r="31">
      <c r="A31" s="7" t="n">
        <v>29</v>
      </c>
      <c r="B31" t="n">
        <v>10</v>
      </c>
      <c r="C31" s="1" t="n">
        <v>13.3</v>
      </c>
      <c r="D31" s="2">
        <f>HYPERLINK("https://torgi.gov.ru/new/public/lots/lot/21000033840000000017_1/(lotInfo:info)", "21000033840000000017_1")</f>
        <v/>
      </c>
      <c r="E31" t="inlineStr">
        <is>
          <t>Нежилое помещение с кадастровым номером 10:01:0120109:3839, общей площа-дью 13,3 кв. м, расположенное на 2 (втором) этаже нежилого здания по адресу: Республи-ка Карелия, г. Петрозаводск, ш.Лососинское, д. 7, пом. 20.Описание приватизируемого объекта составлено на основании технического пас-порта здания от 15.11.2010 (инвентарный номер 4522)Год постройки – 1933.Число этажей – 2;Конструктивные элементы:Фундамент – бутовый ленточный;Стены и их отделка – каркасно-засыпные;Перекрытия чердачное - деревянное отепленное;Крыша –железо;Полы – дощатые, линолеум;Отопление – от ТЭЦ;Электроснаб. – проводка открытая</t>
        </is>
      </c>
      <c r="F31" s="3" t="inlineStr">
        <is>
          <t>07.07.22 20:30</t>
        </is>
      </c>
      <c r="G31" t="inlineStr">
        <is>
          <t>г Петрозаводск, р-н Древлянка, Лососинское шоссе, д 7</t>
        </is>
      </c>
      <c r="H31" s="4" t="n">
        <v>111111</v>
      </c>
      <c r="I31" s="4" t="n">
        <v>8354.210526315788</v>
      </c>
      <c r="J31" t="inlineStr">
        <is>
          <t>Нежилое помещение</t>
        </is>
      </c>
      <c r="K31" s="5" t="n">
        <v>3.25</v>
      </c>
      <c r="M31" t="n">
        <v>2567</v>
      </c>
      <c r="N31" s="6" t="n">
        <v>277111</v>
      </c>
      <c r="Q31" t="inlineStr">
        <is>
          <t>BOC</t>
        </is>
      </c>
      <c r="R31" t="inlineStr">
        <is>
          <t>М</t>
        </is>
      </c>
      <c r="S31" s="2">
        <f>HYPERLINK("https://yandex.ru/maps/?&amp;text=61.775543, 34.339368", "61.775543, 34.339368")</f>
        <v/>
      </c>
      <c r="U31" t="inlineStr">
        <is>
          <t xml:space="preserve">10:01:0120109:3839, </t>
        </is>
      </c>
      <c r="V31" t="n">
        <v>2</v>
      </c>
      <c r="Y31" t="n">
        <v>0</v>
      </c>
      <c r="AA31" t="n">
        <v>0</v>
      </c>
      <c r="AB31" t="n">
        <v>0</v>
      </c>
    </row>
    <row r="32">
      <c r="A32" s="7" t="n">
        <v>30</v>
      </c>
      <c r="B32" t="n">
        <v>10</v>
      </c>
      <c r="C32" s="1" t="n">
        <v>12.9</v>
      </c>
      <c r="D32" s="2">
        <f>HYPERLINK("https://torgi.gov.ru/new/public/lots/lot/22000020710000000007_2/(lotInfo:info)", "22000020710000000007_2")</f>
        <v/>
      </c>
      <c r="E32" t="inlineStr">
        <is>
          <t>Нежилое помещение № 1, 2, 3 с кадастровым номером 10:01:0030123:1213, общей площадью 12,9 кв.м, расположенное на первом этаже многоквартирного дома</t>
        </is>
      </c>
      <c r="F32" s="3" t="inlineStr">
        <is>
          <t>05.08.22 12:00</t>
        </is>
      </c>
      <c r="G32" t="inlineStr">
        <is>
          <t>г Петрозаводск, р-н Октябрьский, ул Инженерная, д 23</t>
        </is>
      </c>
      <c r="H32" s="4" t="n">
        <v>115001</v>
      </c>
      <c r="I32" s="4" t="n">
        <v>8914.806201550387</v>
      </c>
      <c r="J32" t="inlineStr">
        <is>
          <t>Нежилое помещение</t>
        </is>
      </c>
      <c r="K32" s="5" t="n">
        <v>2.28</v>
      </c>
      <c r="M32" t="n">
        <v>3902</v>
      </c>
      <c r="N32" s="6" t="n">
        <v>277111</v>
      </c>
      <c r="Q32" t="inlineStr">
        <is>
          <t>BOC</t>
        </is>
      </c>
      <c r="R32" t="inlineStr">
        <is>
          <t>М</t>
        </is>
      </c>
      <c r="S32" s="2">
        <f>HYPERLINK("https://yandex.ru/maps/?&amp;text=61.806137, 34.315581", "61.806137, 34.315581")</f>
        <v/>
      </c>
      <c r="U32" t="inlineStr">
        <is>
          <t xml:space="preserve">10:01:0030123:1213, </t>
        </is>
      </c>
      <c r="V32" t="n">
        <v>1</v>
      </c>
      <c r="Y32" t="n">
        <v>0</v>
      </c>
      <c r="AA32" t="n">
        <v>0</v>
      </c>
      <c r="AB32" t="n">
        <v>0</v>
      </c>
    </row>
    <row r="33">
      <c r="A33" s="7" t="n">
        <v>31</v>
      </c>
      <c r="B33" t="n">
        <v>10</v>
      </c>
      <c r="C33" s="1" t="n">
        <v>14.4</v>
      </c>
      <c r="D33" s="2">
        <f>HYPERLINK("https://torgi.gov.ru/new/public/lots/lot/21000033840000000018_1/(lotInfo:info)", "21000033840000000018_1")</f>
        <v/>
      </c>
      <c r="E33" t="inlineStr">
        <is>
          <t>Нежилое помещение с кадастровым номером 10:01:0120109:3838, общей площа-дью 14,4 кв. м, расположенное на 2 (втором) этаже нежилого здания по адресу: Республи-ка Карелия, г. Петрозаводск, ш.Лососинское, д. 7, пом. 21Описание приватизируемого объекта составлено на основании технического пас-порта здания от 15.11.2010 (инвентарный номер 4522)Год постройки – 1933.Число этажей – 2;Конструктивные элементы:Фундамент – бутовый ленточный;Стены и их отделка – каркасно-засыпные;Перекрытия чердачное - деревянное отепленное;Крыша –железо;Полы – дощатые, линолеум;Отопление – от ТЭЦ;Электроснаб. – проводка открытая</t>
        </is>
      </c>
      <c r="F33" s="3" t="inlineStr">
        <is>
          <t>10.07.22 20:30</t>
        </is>
      </c>
      <c r="G33" t="inlineStr">
        <is>
          <t>г Петрозаводск, р-н Древлянка, Лососинское шоссе, д 7</t>
        </is>
      </c>
      <c r="H33" s="4" t="n">
        <v>132777.77</v>
      </c>
      <c r="I33" s="4" t="n">
        <v>9220.678472222222</v>
      </c>
      <c r="J33" t="inlineStr">
        <is>
          <t>Нежилое помещение</t>
        </is>
      </c>
      <c r="K33" s="5" t="n">
        <v>3.59</v>
      </c>
      <c r="M33" t="n">
        <v>2567</v>
      </c>
      <c r="N33" s="6" t="n">
        <v>277111</v>
      </c>
      <c r="Q33" t="inlineStr">
        <is>
          <t>BOC</t>
        </is>
      </c>
      <c r="R33" t="inlineStr">
        <is>
          <t>М</t>
        </is>
      </c>
      <c r="S33" s="2">
        <f>HYPERLINK("https://yandex.ru/maps/?&amp;text=61.775543, 34.339368", "61.775543, 34.339368")</f>
        <v/>
      </c>
      <c r="U33" t="inlineStr">
        <is>
          <t xml:space="preserve">10:01:0120109:3838, </t>
        </is>
      </c>
      <c r="V33" t="n">
        <v>2</v>
      </c>
      <c r="Y33" t="n">
        <v>0</v>
      </c>
      <c r="AA33" t="n">
        <v>0</v>
      </c>
      <c r="AB33" t="n">
        <v>0</v>
      </c>
    </row>
    <row r="34">
      <c r="A34" s="7" t="n">
        <v>32</v>
      </c>
      <c r="B34" t="n">
        <v>10</v>
      </c>
      <c r="C34" s="1" t="n">
        <v>14.4</v>
      </c>
      <c r="D34" s="2">
        <f>HYPERLINK("https://torgi.gov.ru/new/public/lots/lot/21000033840000000020_1/(lotInfo:info)", "21000033840000000020_1")</f>
        <v/>
      </c>
      <c r="E34" t="inlineStr">
        <is>
          <t>Нежилое помещение, с кадастровым номером 10:01:0120109:3836, общей площа-дью 14,4 кв. м, расположенное на 2 (втором) этаже нежилого здания по адресу: Республи-ка Карелия, г. Петрозаводск, ш.Лососинское, д. 7, пом. 23Описание приватизируемого объекта составлено на основании технического пас-порта здания от 15.11.2010 (инвентарный номер 4522)Год постройки – 1933.Число этажей – 2;Конструктивные элементы:Фундамент – бутовый ленточный;Стены и их отделка – каркасно-засыпные;Перекрытия чердачное - деревянное отепленное;Крыша –железо;Полы – дощатые, линолеум;Отопление – от ТЭЦ;Электроснаб. – проводка открытая</t>
        </is>
      </c>
      <c r="F34" s="3" t="inlineStr">
        <is>
          <t>14.07.22 20:30</t>
        </is>
      </c>
      <c r="G34" t="inlineStr">
        <is>
          <t>г Петрозаводск, р-н Древлянка, Лососинское шоссе, д 7</t>
        </is>
      </c>
      <c r="H34" s="4" t="n">
        <v>154000</v>
      </c>
      <c r="I34" s="4" t="n">
        <v>10694.44444444444</v>
      </c>
      <c r="J34" t="inlineStr">
        <is>
          <t>Нежилое помещение</t>
        </is>
      </c>
      <c r="K34" s="5" t="n">
        <v>4.17</v>
      </c>
      <c r="M34" t="n">
        <v>2567</v>
      </c>
      <c r="N34" s="6" t="n">
        <v>277111</v>
      </c>
      <c r="Q34" t="inlineStr">
        <is>
          <t>BOC</t>
        </is>
      </c>
      <c r="R34" t="inlineStr">
        <is>
          <t>М</t>
        </is>
      </c>
      <c r="S34" s="2">
        <f>HYPERLINK("https://yandex.ru/maps/?&amp;text=61.775543, 34.339368", "61.775543, 34.339368")</f>
        <v/>
      </c>
      <c r="U34" t="inlineStr">
        <is>
          <t xml:space="preserve">10:01:0120109:3836, </t>
        </is>
      </c>
      <c r="V34" t="n">
        <v>2</v>
      </c>
      <c r="Y34" t="n">
        <v>0</v>
      </c>
      <c r="AA34" t="n">
        <v>0</v>
      </c>
      <c r="AB34" t="n">
        <v>0</v>
      </c>
    </row>
    <row r="35">
      <c r="A35" s="7" t="n">
        <v>33</v>
      </c>
      <c r="B35" t="n">
        <v>10</v>
      </c>
      <c r="C35" s="1" t="n">
        <v>14.1</v>
      </c>
      <c r="D35" s="2">
        <f>HYPERLINK("https://torgi.gov.ru/new/public/lots/lot/21000033840000000019_1/(lotInfo:info)", "21000033840000000019_1")</f>
        <v/>
      </c>
      <c r="E35" t="inlineStr">
        <is>
          <t>Нежилое помещение, с кадастровым номером 10:01:0120109:3837, общей площадью 14,1 кв. м, расположенное на 2 (втором) этаже нежилого здания по адресу: Республика Карелия, г. Петрозаводск, ш.Лососинское, д. 7, пом. 22Описание приватизируемого объекта составлено на основании технического паспорта здания от 15.11.2010 (инвентарный номер 4522)Год постройки – 1933.Число этажей – 2;Конструктивные элементы:Фундамент – бутовый ленточный;Стены и их отделка – каркасно-засыпные;Перекрытия чердачное - деревянное отепленное;Крыша –железо;Полы – дощатые, линолеум;Отопление – от ТЭЦ;Электроснаб. – проводка открытая</t>
        </is>
      </c>
      <c r="F35" s="3" t="inlineStr">
        <is>
          <t>12.07.22 20:30</t>
        </is>
      </c>
      <c r="G35" t="inlineStr">
        <is>
          <t>г Петрозаводск, р-н Древлянка, Лососинское шоссе, д 7</t>
        </is>
      </c>
      <c r="H35" s="4" t="n">
        <v>152777.77</v>
      </c>
      <c r="I35" s="4" t="n">
        <v>10835.30283687943</v>
      </c>
      <c r="J35" t="inlineStr">
        <is>
          <t>Нежилое помещение</t>
        </is>
      </c>
      <c r="K35" s="5" t="n">
        <v>4.22</v>
      </c>
      <c r="M35" t="n">
        <v>2567</v>
      </c>
      <c r="N35" s="6" t="n">
        <v>277111</v>
      </c>
      <c r="Q35" t="inlineStr">
        <is>
          <t>BOC</t>
        </is>
      </c>
      <c r="R35" t="inlineStr">
        <is>
          <t>М</t>
        </is>
      </c>
      <c r="S35" s="2">
        <f>HYPERLINK("https://yandex.ru/maps/?&amp;text=61.775543, 34.339368", "61.775543, 34.339368")</f>
        <v/>
      </c>
      <c r="U35" t="inlineStr">
        <is>
          <t xml:space="preserve">10:01:0120109:3837, </t>
        </is>
      </c>
      <c r="V35" t="n">
        <v>2</v>
      </c>
      <c r="Y35" t="n">
        <v>0</v>
      </c>
      <c r="AA35" t="n">
        <v>0</v>
      </c>
      <c r="AB35" t="n">
        <v>0</v>
      </c>
    </row>
    <row r="36">
      <c r="A36" s="7" t="n">
        <v>34</v>
      </c>
      <c r="B36" t="n">
        <v>10</v>
      </c>
      <c r="C36" s="1" t="n">
        <v>13.9</v>
      </c>
      <c r="D36" s="2">
        <f>HYPERLINK("https://torgi.gov.ru/new/public/lots/lot/21000033840000000021_1/(lotInfo:info)", "21000033840000000021_1")</f>
        <v/>
      </c>
      <c r="E36" t="inlineStr">
        <is>
          <t>Нежилое помещение, с кадастровым номером 10:01:0120109:3829, общей площа-дью 13,9 кв. м, расположенное на 2 (втором) этаже нежилого здания по адресу: Республи-ка Карелия, г. Петрозаводск, ш.Лососинское, д. 7, пом. 28Описание приватизируемого объекта составлено на основании технического пас-порта здания от 15.11.2010 (инвентарный номер 4522)Год постройки – 1933.Число этажей – 2;Конструктивные элементы:Фундамент – бутовый ленточный;Стены и их отделка – каркасно-засыпные;Перекрытия чердачное - деревянное отепленное;Крыша –железо;Полы – дощатые, линолеум;Отопление – от ТЭЦ;Электроснаб. – проводка открытая</t>
        </is>
      </c>
      <c r="F36" s="3" t="inlineStr">
        <is>
          <t>17.07.22 20:00</t>
        </is>
      </c>
      <c r="G36" t="inlineStr">
        <is>
          <t>г Петрозаводск, р-н Древлянка, Лососинское шоссе, д 7</t>
        </is>
      </c>
      <c r="H36" s="4" t="n">
        <v>177777.77</v>
      </c>
      <c r="I36" s="4" t="n">
        <v>12789.76762589928</v>
      </c>
      <c r="J36" t="inlineStr">
        <is>
          <t>Нежилое помещение</t>
        </is>
      </c>
      <c r="K36" s="5" t="n">
        <v>4.98</v>
      </c>
      <c r="M36" t="n">
        <v>2567</v>
      </c>
      <c r="N36" s="6" t="n">
        <v>277111</v>
      </c>
      <c r="Q36" t="inlineStr">
        <is>
          <t>BOC</t>
        </is>
      </c>
      <c r="R36" t="inlineStr">
        <is>
          <t>М</t>
        </is>
      </c>
      <c r="S36" s="2">
        <f>HYPERLINK("https://yandex.ru/maps/?&amp;text=61.775543, 34.339368", "61.775543, 34.339368")</f>
        <v/>
      </c>
      <c r="U36" t="inlineStr">
        <is>
          <t xml:space="preserve">10:01:0120109:3829, </t>
        </is>
      </c>
      <c r="V36" t="n">
        <v>2</v>
      </c>
      <c r="Y36" t="n">
        <v>0</v>
      </c>
      <c r="AA36" t="n">
        <v>0</v>
      </c>
      <c r="AB36" t="n">
        <v>0</v>
      </c>
    </row>
    <row r="37">
      <c r="A37" s="7" t="n">
        <v>35</v>
      </c>
      <c r="B37" t="n">
        <v>10</v>
      </c>
      <c r="C37" s="1" t="n">
        <v>30.6</v>
      </c>
      <c r="D37" s="2">
        <f>HYPERLINK("https://torgi.gov.ru/new/public/lots/lot/22000083510000000001_2/(lotInfo:info)", "22000083510000000001_2")</f>
        <v/>
      </c>
      <c r="E37" t="inlineStr">
        <is>
          <t>встроенное нежилое помещение (кадастровый номер 10:20:0000000:9132), общей площадью 30,6 кв.м., расположенное на первом этаже здания по адресу: Республика Карелия, Прионежский район, д. Педасельга, д. 1</t>
        </is>
      </c>
      <c r="F37" s="3" t="inlineStr">
        <is>
          <t>11.05.22 07:00</t>
        </is>
      </c>
      <c r="G37" t="inlineStr">
        <is>
          <t>Респ Карелия, Прионежский р-н, деревня Педасельга, д 1</t>
        </is>
      </c>
      <c r="H37" s="4" t="n">
        <v>500000</v>
      </c>
      <c r="I37" s="4" t="n">
        <v>16339.86928104575</v>
      </c>
      <c r="J37" t="inlineStr">
        <is>
          <t>Нежилое помещение</t>
        </is>
      </c>
      <c r="K37" s="5" t="n">
        <v>151.29</v>
      </c>
      <c r="L37" s="4" t="n">
        <v>5446.33</v>
      </c>
      <c r="M37" t="n">
        <v>108</v>
      </c>
      <c r="N37" s="6" t="n">
        <v>143</v>
      </c>
      <c r="O37" t="n">
        <v>3</v>
      </c>
      <c r="Q37" t="inlineStr">
        <is>
          <t>EA</t>
        </is>
      </c>
      <c r="R37" t="inlineStr">
        <is>
          <t>М</t>
        </is>
      </c>
      <c r="S37" s="2">
        <f>HYPERLINK("https://yandex.ru/maps/?&amp;text=61.542702, 34.685094", "61.542702, 34.685094")</f>
        <v/>
      </c>
      <c r="T37" s="2">
        <f>HYPERLINK("D:\venv_torgi\env\cache\objs_in_district/61.542702_34.685094.json", "61.542702_34.685094.json")</f>
        <v/>
      </c>
      <c r="U37" t="inlineStr">
        <is>
          <t>10:20:0000000:9132</t>
        </is>
      </c>
      <c r="V37" t="n">
        <v>1</v>
      </c>
      <c r="Y37" t="n">
        <v>0</v>
      </c>
      <c r="AA37" t="n">
        <v>0</v>
      </c>
      <c r="AB37" t="n">
        <v>0</v>
      </c>
    </row>
    <row r="38">
      <c r="A38" s="7" t="n">
        <v>36</v>
      </c>
      <c r="B38" t="n">
        <v>10</v>
      </c>
      <c r="C38" s="1" t="n">
        <v>228.9</v>
      </c>
      <c r="D38" s="2">
        <f>HYPERLINK("https://torgi.gov.ru/new/public/lots/lot/22000078070000000003_1/(lotInfo:info)", "22000078070000000003_1")</f>
        <v/>
      </c>
      <c r="E38" t="inlineStr">
        <is>
          <t>нежилое помещение (кадастровый номер 10:12:0051002:158), общей площадью 228,9 кв.м., расположенное на первом этаже здания по адресу: Республика Карелия, р-н Лахденпохский, п Ласанен, ул Ленинградская, д 2</t>
        </is>
      </c>
      <c r="F38" s="3" t="inlineStr">
        <is>
          <t>01.08.22 07:00</t>
        </is>
      </c>
      <c r="G38" t="inlineStr">
        <is>
          <t>Респ Карелия, Лахденпохский р-н, поселок Ласанен, ул Ленинградская, д 2</t>
        </is>
      </c>
      <c r="H38" s="4" t="n">
        <v>3864000</v>
      </c>
      <c r="I38" s="4" t="n">
        <v>16880.73394495413</v>
      </c>
      <c r="J38" t="inlineStr">
        <is>
          <t>Нежилое помещение</t>
        </is>
      </c>
      <c r="K38" s="5" t="n">
        <v>272.26</v>
      </c>
      <c r="L38" s="4" t="inlineStr"/>
      <c r="M38" t="n">
        <v>62</v>
      </c>
      <c r="N38" s="6" t="n">
        <v>244</v>
      </c>
      <c r="O38" t="inlineStr"/>
      <c r="Q38" t="inlineStr">
        <is>
          <t>EA</t>
        </is>
      </c>
      <c r="R38" t="inlineStr">
        <is>
          <t>М</t>
        </is>
      </c>
      <c r="S38" s="2">
        <f>HYPERLINK("https://yandex.ru/maps/?&amp;text=61.269279, 29.857736", "61.269279, 29.857736")</f>
        <v/>
      </c>
      <c r="T38" s="8">
        <f>HYPERLINK("D:\venv_torgi\env\cache\objs_in_district/61.269279_29.857736.json", "61.269279_29.857736.json")</f>
        <v/>
      </c>
      <c r="U38" t="inlineStr">
        <is>
          <t>10:12:0051002:158</t>
        </is>
      </c>
      <c r="V38" t="n">
        <v>1</v>
      </c>
      <c r="Y38" t="n">
        <v>0</v>
      </c>
      <c r="AA38" t="n">
        <v>0</v>
      </c>
      <c r="AB38" t="n">
        <v>0</v>
      </c>
    </row>
    <row r="39">
      <c r="A39" s="7" t="n">
        <v>37</v>
      </c>
      <c r="B39" t="n">
        <v>10</v>
      </c>
      <c r="C39" s="1" t="n">
        <v>17</v>
      </c>
      <c r="D39" s="2">
        <f>HYPERLINK("https://torgi.gov.ru/new/public/lots/lot/22000020710000000001_3/(lotInfo:info)", "22000020710000000001_3")</f>
        <v/>
      </c>
      <c r="E39" t="inlineStr">
        <is>
          <t>Нежилое помещение с кадастровым номером 10:01:0120109:2933, общей площадью 17,0 кв.м, расположенное на первом этаже многоквартирного дома</t>
        </is>
      </c>
      <c r="F39" s="3" t="inlineStr">
        <is>
          <t>15.03.22 12:00</t>
        </is>
      </c>
      <c r="G39" t="inlineStr">
        <is>
          <t>г Петрозаводск, р-н Древлянка, ул Хейкконена, д 12</t>
        </is>
      </c>
      <c r="H39" s="4" t="n">
        <v>867000</v>
      </c>
      <c r="I39" s="4" t="n">
        <v>51000</v>
      </c>
      <c r="J39" t="inlineStr">
        <is>
          <t>Нежилое помещение</t>
        </is>
      </c>
      <c r="K39" s="5" t="n">
        <v>11.99</v>
      </c>
      <c r="L39" s="4" t="n">
        <v>6375</v>
      </c>
      <c r="M39" t="n">
        <v>4254</v>
      </c>
      <c r="N39" s="6" t="n">
        <v>277111</v>
      </c>
      <c r="O39" t="n">
        <v>8</v>
      </c>
      <c r="Q39" t="inlineStr">
        <is>
          <t>EA</t>
        </is>
      </c>
      <c r="R39" t="inlineStr">
        <is>
          <t>М</t>
        </is>
      </c>
      <c r="S39" s="2">
        <f>HYPERLINK("https://yandex.ru/maps/?&amp;text=61.758864, 34.311808", "61.758864, 34.311808")</f>
        <v/>
      </c>
      <c r="T39" s="2">
        <f>HYPERLINK("D:\venv_torgi\env\cache\objs_in_district/61.758864_34.311808.json", "61.758864_34.311808.json")</f>
        <v/>
      </c>
      <c r="U39" t="inlineStr">
        <is>
          <t xml:space="preserve">10:01:0120109:2933, </t>
        </is>
      </c>
      <c r="V39" t="n">
        <v>1</v>
      </c>
      <c r="Y39" t="n">
        <v>0</v>
      </c>
      <c r="AA39" t="n">
        <v>0</v>
      </c>
      <c r="AB39" t="n">
        <v>0</v>
      </c>
    </row>
    <row r="40">
      <c r="A40" s="7" t="n">
        <v>38</v>
      </c>
      <c r="B40" t="n">
        <v>10</v>
      </c>
      <c r="C40" s="1" t="n">
        <v>94.09999999999999</v>
      </c>
      <c r="D40" s="2">
        <f>HYPERLINK("https://torgi.gov.ru/new/public/lots/lot/22000007320000000008_1/(lotInfo:info)", "22000007320000000008_1")</f>
        <v/>
      </c>
      <c r="E40" t="inlineStr">
        <is>
          <t>нежилые помещения (кадастровый номер 10:07:0010121:139, № 1, 2, 16, 18, 19, 20, 21, 25 на поэтажном плане), общей площадью 94,1 кв.м., расположенные на втором этаже здания по адресу: Республика Карелия, г. Сортавала, ул. Вяйнемяйнена, д. 6, пом.1,2,3,16-21,24</t>
        </is>
      </c>
      <c r="F40" s="3" t="inlineStr">
        <is>
          <t>11.04.22 07:00</t>
        </is>
      </c>
      <c r="G40" t="inlineStr">
        <is>
          <t>Респ Карелия, г Сортавала, ул Вяйнемяйнена, д 6, помещ 1</t>
        </is>
      </c>
      <c r="H40" s="4" t="n">
        <v>5710800</v>
      </c>
      <c r="I40" s="4" t="n">
        <v>60688.62911795962</v>
      </c>
      <c r="J40" t="inlineStr">
        <is>
          <t>Нежилое помещение</t>
        </is>
      </c>
      <c r="K40" s="5" t="n">
        <v>16.04</v>
      </c>
      <c r="L40" s="4" t="n">
        <v>652.5599999999999</v>
      </c>
      <c r="M40" t="n">
        <v>3784</v>
      </c>
      <c r="N40" s="6" t="n">
        <v>18762</v>
      </c>
      <c r="O40" t="n">
        <v>93</v>
      </c>
      <c r="Q40" t="inlineStr">
        <is>
          <t>EA</t>
        </is>
      </c>
      <c r="R40" t="inlineStr">
        <is>
          <t>М</t>
        </is>
      </c>
      <c r="S40" s="2">
        <f>HYPERLINK("https://yandex.ru/maps/?&amp;text=61.701971, 30.690618", "61.701971, 30.690618")</f>
        <v/>
      </c>
      <c r="T40" s="2">
        <f>HYPERLINK("D:\venv_torgi\env\cache\objs_in_district/61.701971_30.690618.json", "61.701971_30.690618.json")</f>
        <v/>
      </c>
      <c r="U40" t="inlineStr">
        <is>
          <t xml:space="preserve">10:07:0010121:139, </t>
        </is>
      </c>
      <c r="V40" t="n">
        <v>2</v>
      </c>
      <c r="Y40" t="n">
        <v>0</v>
      </c>
      <c r="AA40" t="n">
        <v>0</v>
      </c>
      <c r="AB40" t="n">
        <v>0</v>
      </c>
    </row>
    <row r="41">
      <c r="A41" s="7" t="n">
        <v>39</v>
      </c>
      <c r="B41" t="n">
        <v>10</v>
      </c>
      <c r="C41" s="1" t="n">
        <v>32.1</v>
      </c>
      <c r="D41" s="2">
        <f>HYPERLINK("https://torgi.gov.ru/new/public/lots/lot/22000014990000000001_2/(lotInfo:info)", "22000014990000000001_2")</f>
        <v/>
      </c>
      <c r="E41" t="inlineStr">
        <is>
          <t>нежилое помещение (кадастровый номер 10:07:0010121:158, №9 на поэтажном плане), общей площадью 15,6 кв.м, расположенное по адресу: Республика Карелия, г. Сортавала, ул. Вяйнемяйнена, д. 6, пом. 9, и нежилое помещение (кадастровый номер 10:07:0010121:159, №10 на поэтажном плане), общей площадью 16,5 кв.м, расположенное по адресу: Республика Карелия, г. Сортавала, ул. Вяйнемяйнена, д. 6, пом. 10</t>
        </is>
      </c>
      <c r="F41" s="3" t="inlineStr">
        <is>
          <t>18.07.22 07:00</t>
        </is>
      </c>
      <c r="G41" t="inlineStr">
        <is>
          <t>Респ Карелия, г Сортавала, ул Вяйнемяйнена, д 6</t>
        </is>
      </c>
      <c r="H41" s="4" t="n">
        <v>2025840</v>
      </c>
      <c r="I41" s="4" t="n">
        <v>63110.28037383177</v>
      </c>
      <c r="J41" t="inlineStr">
        <is>
          <t>Нежилое помещение</t>
        </is>
      </c>
      <c r="K41" s="5" t="n">
        <v>16.68</v>
      </c>
      <c r="L41" s="4" t="n">
        <v>678.6</v>
      </c>
      <c r="M41" t="n">
        <v>3784</v>
      </c>
      <c r="N41" s="6" t="n">
        <v>18762</v>
      </c>
      <c r="O41" t="n">
        <v>93</v>
      </c>
      <c r="Q41" t="inlineStr">
        <is>
          <t>EA</t>
        </is>
      </c>
      <c r="R41" t="inlineStr">
        <is>
          <t>М</t>
        </is>
      </c>
      <c r="S41" s="2">
        <f>HYPERLINK("https://yandex.ru/maps/?&amp;text=61.701971, 30.690618", "61.701971, 30.690618")</f>
        <v/>
      </c>
      <c r="T41" s="2">
        <f>HYPERLINK("D:\venv_torgi\env\cache\objs_in_district/61.701971_30.690618.json", "61.701971_30.690618.json")</f>
        <v/>
      </c>
      <c r="U41" t="inlineStr">
        <is>
          <t xml:space="preserve">10:07:0010121:158, </t>
        </is>
      </c>
      <c r="V41" t="n">
        <v>2</v>
      </c>
      <c r="Y41" t="n">
        <v>0</v>
      </c>
      <c r="AA41" t="n">
        <v>0</v>
      </c>
      <c r="AB41" t="n">
        <v>0</v>
      </c>
    </row>
    <row r="42">
      <c r="A42" s="7" t="n">
        <v>40</v>
      </c>
      <c r="B42" t="n">
        <v>11</v>
      </c>
      <c r="C42" s="1" t="n">
        <v>34.7</v>
      </c>
      <c r="D42" s="2">
        <f>HYPERLINK("https://torgi.gov.ru/new/public/lots/lot/21000016640000000006_7/(lotInfo:info)", "21000016640000000006_7")</f>
        <v/>
      </c>
      <c r="E42" t="inlineStr">
        <is>
          <t>Нежилое помещение, площадью 34,7 кв. м., с кадастровым номером 11:20:0602009:3738</t>
        </is>
      </c>
      <c r="F42" s="3" t="inlineStr">
        <is>
          <t>26.05.22 07:00</t>
        </is>
      </c>
      <c r="G42" t="inlineStr">
        <is>
          <t>Респ Коми, г Ухта, проезд Строителей, д 13, кв 17</t>
        </is>
      </c>
      <c r="H42" s="4" t="n">
        <v>1034948.4</v>
      </c>
      <c r="I42" s="4" t="n">
        <v>29825.6023054755</v>
      </c>
      <c r="J42" t="inlineStr">
        <is>
          <t>Нежилое помещение</t>
        </is>
      </c>
      <c r="K42" s="5" t="n">
        <v>9.710000000000001</v>
      </c>
      <c r="L42" s="4" t="n">
        <v>852.14</v>
      </c>
      <c r="M42" t="n">
        <v>3072</v>
      </c>
      <c r="N42" s="6" t="n">
        <v>116904</v>
      </c>
      <c r="O42" t="n">
        <v>35</v>
      </c>
      <c r="Q42" t="inlineStr">
        <is>
          <t>PP</t>
        </is>
      </c>
      <c r="R42" t="inlineStr">
        <is>
          <t>М</t>
        </is>
      </c>
      <c r="S42" s="2">
        <f>HYPERLINK("https://yandex.ru/maps/?&amp;text=63.563084, 53.660748", "63.563084, 53.660748")</f>
        <v/>
      </c>
      <c r="T42" s="2">
        <f>HYPERLINK("D:\venv_torgi\env\cache\objs_in_district/63.563084_53.660748.json", "63.563084_53.660748.json")</f>
        <v/>
      </c>
      <c r="U42" t="inlineStr">
        <is>
          <t>11:20:0602009:3738</t>
        </is>
      </c>
      <c r="V42" t="n">
        <v>1</v>
      </c>
      <c r="Y42" t="n">
        <v>0</v>
      </c>
      <c r="AA42" t="n">
        <v>0</v>
      </c>
      <c r="AB42" t="n">
        <v>0</v>
      </c>
    </row>
    <row r="43">
      <c r="A43" s="7" t="n">
        <v>41</v>
      </c>
      <c r="B43" t="n">
        <v>12</v>
      </c>
      <c r="C43" s="1" t="n">
        <v>166.7</v>
      </c>
      <c r="D43" s="2">
        <f>HYPERLINK("https://torgi.gov.ru/new/public/lots/lot/22000043340000000002_1/(lotInfo:info)", "22000043340000000002_1")</f>
        <v/>
      </c>
      <c r="E43" t="inlineStr">
        <is>
          <t>Нежилое помещение, назначение - нежилое, 1-этажный, площадь –166,7кв. м, кадастровый номер 12:05:3501001:1537, местоположение: Республика Марий Эл, Медведевский район, Кундышское сельское поселение, п. Силикатный, ул. Комсомольская, д.5, пом. 1-12.</t>
        </is>
      </c>
      <c r="F43" s="3" t="inlineStr">
        <is>
          <t>27.06.22 14:00</t>
        </is>
      </c>
      <c r="G43" t="inlineStr">
        <is>
          <t>Респ Марий Эл, Медведевский р-н, поселок Силикатный, ул Комсомольская, д 5</t>
        </is>
      </c>
      <c r="H43" s="4" t="n">
        <v>528000</v>
      </c>
      <c r="I43" s="4" t="n">
        <v>3167.366526694661</v>
      </c>
      <c r="J43" t="inlineStr">
        <is>
          <t>Нежилое помещение</t>
        </is>
      </c>
      <c r="K43" s="5" t="n">
        <v>1.58</v>
      </c>
      <c r="L43" s="4" t="n">
        <v>351.89</v>
      </c>
      <c r="M43" t="n">
        <v>2010</v>
      </c>
      <c r="N43" s="6" t="n">
        <v>1741</v>
      </c>
      <c r="O43" t="n">
        <v>9</v>
      </c>
      <c r="Q43" t="inlineStr">
        <is>
          <t>EA</t>
        </is>
      </c>
      <c r="R43" t="inlineStr">
        <is>
          <t>М</t>
        </is>
      </c>
      <c r="S43" s="2">
        <f>HYPERLINK("https://yandex.ru/maps/?&amp;text=56.378365, 48.200499", "56.378365, 48.200499")</f>
        <v/>
      </c>
      <c r="T43" s="2">
        <f>HYPERLINK("D:\venv_torgi\env\cache\objs_in_district/56.378365_48.200499.json", "56.378365_48.200499.json")</f>
        <v/>
      </c>
      <c r="U43" t="inlineStr">
        <is>
          <t xml:space="preserve">12:05:3501001:1537, </t>
        </is>
      </c>
      <c r="V43" t="n">
        <v>1</v>
      </c>
      <c r="Y43" t="n">
        <v>0</v>
      </c>
      <c r="AA43" t="n">
        <v>0</v>
      </c>
      <c r="AB43" t="n">
        <v>0</v>
      </c>
    </row>
    <row r="44">
      <c r="A44" s="7" t="n">
        <v>42</v>
      </c>
      <c r="B44" t="n">
        <v>12</v>
      </c>
      <c r="C44" s="1" t="n">
        <v>676.4</v>
      </c>
      <c r="D44" s="2">
        <f>HYPERLINK("https://torgi.gov.ru/new/public/lots/lot/21000004300000000002_1/(lotInfo:info)", "21000004300000000002_1")</f>
        <v/>
      </c>
      <c r="E44" t="inlineStr">
        <is>
          <t>Помещение, назначение: нежилое, общая площадь - 676,4 кв. м, этаж 1, номера на поэтажном плане поз. 1 - 13, 15 - 22, кадастровый номер: 12:05:0000000:12935, местоположение: Республика Марий Эл, г. Йошкар-Ола, ул. Красноармейская, д. 103а</t>
        </is>
      </c>
      <c r="F44" s="3" t="inlineStr">
        <is>
          <t>11.07.22 14:30</t>
        </is>
      </c>
      <c r="G44" t="inlineStr">
        <is>
          <t>г Йошкар-Ола, ул Красноармейская, д 103А</t>
        </is>
      </c>
      <c r="H44" s="4" t="n">
        <v>5421350</v>
      </c>
      <c r="I44" s="4" t="n">
        <v>8015.005913660556</v>
      </c>
      <c r="J44" t="inlineStr">
        <is>
          <t>Нежилое помещение</t>
        </is>
      </c>
      <c r="K44" s="5" t="n">
        <v>0.87</v>
      </c>
      <c r="L44" s="4" t="n">
        <v>174.24</v>
      </c>
      <c r="M44" t="n">
        <v>9255</v>
      </c>
      <c r="N44" s="6" t="n">
        <v>279199</v>
      </c>
      <c r="O44" t="n">
        <v>46</v>
      </c>
      <c r="Q44" t="inlineStr">
        <is>
          <t>PP</t>
        </is>
      </c>
      <c r="R44" t="inlineStr">
        <is>
          <t>М</t>
        </is>
      </c>
      <c r="S44" s="2">
        <f>HYPERLINK("https://yandex.ru/maps/?&amp;text=56.645054, 47.863422", "56.645054, 47.863422")</f>
        <v/>
      </c>
      <c r="T44" s="2">
        <f>HYPERLINK("D:\venv_torgi\env\cache\objs_in_district/56.645054_47.863422.json", "56.645054_47.863422.json")</f>
        <v/>
      </c>
      <c r="U44" t="inlineStr">
        <is>
          <t xml:space="preserve">12:05:0000000:12935, </t>
        </is>
      </c>
      <c r="V44" t="n">
        <v>1</v>
      </c>
      <c r="Y44" t="n">
        <v>0</v>
      </c>
      <c r="AA44" t="n">
        <v>0</v>
      </c>
      <c r="AB44" t="n">
        <v>0</v>
      </c>
    </row>
    <row r="45">
      <c r="A45" s="7" t="n">
        <v>43</v>
      </c>
      <c r="B45" t="n">
        <v>12</v>
      </c>
      <c r="C45" s="1" t="n">
        <v>211.66</v>
      </c>
      <c r="D45" s="2">
        <f>HYPERLINK("https://torgi.gov.ru/new/public/lots/lot/22000065910000000001_1/(lotInfo:info)", "22000065910000000001_1")</f>
        <v/>
      </c>
      <c r="E45" t="inlineStr">
        <is>
          <t>Помещение №2 нежилого здания, кадастровый номер помещения 12:04:0000000:8964, назначение помещения- нежилое, площадь – 211,66 кв. м, местоположение: Республика Марий Эл, Медведевский район, Пекшиксолинское сельское поселение, п. Новый, ул. Сельская, д.1</t>
        </is>
      </c>
      <c r="F45" s="3" t="inlineStr">
        <is>
          <t>15.04.22 14:00</t>
        </is>
      </c>
      <c r="G45" t="inlineStr">
        <is>
          <t>Респ Марий Эл, Медведевский р-н, поселок Новый, ул Сельская, д 1</t>
        </is>
      </c>
      <c r="H45" s="4" t="n">
        <v>1875000</v>
      </c>
      <c r="I45" s="4" t="n">
        <v>8858.54672588113</v>
      </c>
      <c r="J45" t="inlineStr">
        <is>
          <t>Нежилое помещение</t>
        </is>
      </c>
      <c r="K45" s="5" t="n">
        <v>31.19</v>
      </c>
      <c r="L45" s="4" t="inlineStr"/>
      <c r="M45" t="n">
        <v>284</v>
      </c>
      <c r="N45" s="6" t="n">
        <v>1867</v>
      </c>
      <c r="O45" t="inlineStr"/>
      <c r="Q45" t="inlineStr">
        <is>
          <t>EA</t>
        </is>
      </c>
      <c r="R45" t="inlineStr">
        <is>
          <t>М</t>
        </is>
      </c>
      <c r="S45" s="2">
        <f>HYPERLINK("https://yandex.ru/maps/?&amp;text=56.671281, 47.824294", "56.671281, 47.824294")</f>
        <v/>
      </c>
      <c r="T45" s="8">
        <f>HYPERLINK("D:\venv_torgi\env\cache\objs_in_district/56.671281_47.824294.json", "56.671281_47.824294.json")</f>
        <v/>
      </c>
      <c r="U45" t="inlineStr">
        <is>
          <t xml:space="preserve">12:04:0000000:8964, </t>
        </is>
      </c>
      <c r="V45" t="n">
        <v>0</v>
      </c>
      <c r="Y45" t="n">
        <v>0</v>
      </c>
      <c r="AA45" t="n">
        <v>0</v>
      </c>
      <c r="AB45" t="n">
        <v>0</v>
      </c>
    </row>
    <row r="46">
      <c r="A46" s="7" t="n">
        <v>44</v>
      </c>
      <c r="B46" t="n">
        <v>12</v>
      </c>
      <c r="C46" s="1" t="n">
        <v>141</v>
      </c>
      <c r="D46" s="2">
        <f>HYPERLINK("https://torgi.gov.ru/new/public/lots/lot/21000025550000000003_1/(lotInfo:info)", "21000025550000000003_1")</f>
        <v/>
      </c>
      <c r="E46" t="inlineStr">
        <is>
          <t>Нежилое помещение площадью 141 кв.м., кад. № 12:05:0702001:718, расположено по адресу: РМЭ, г. Йошкар-Ола, ул. Мира д.70, принадлежащее Гаврилову М.В.</t>
        </is>
      </c>
      <c r="F46" s="3" t="inlineStr">
        <is>
          <t>24.05.22 14:00</t>
        </is>
      </c>
      <c r="G46" t="inlineStr">
        <is>
          <t>г Йошкар-Ола, ул Мира, д 70</t>
        </is>
      </c>
      <c r="H46" s="4" t="n">
        <v>3013000</v>
      </c>
      <c r="I46" s="4" t="n">
        <v>21368.79432624114</v>
      </c>
      <c r="J46" t="inlineStr">
        <is>
          <t>Нежилое помещение</t>
        </is>
      </c>
      <c r="K46" s="5" t="n">
        <v>5.46</v>
      </c>
      <c r="L46" s="4" t="n">
        <v>647.52</v>
      </c>
      <c r="M46" t="n">
        <v>3917</v>
      </c>
      <c r="N46" s="6" t="n">
        <v>279199</v>
      </c>
      <c r="O46" t="n">
        <v>33</v>
      </c>
      <c r="Q46" t="inlineStr">
        <is>
          <t>EA</t>
        </is>
      </c>
      <c r="R46" t="inlineStr">
        <is>
          <t>Д</t>
        </is>
      </c>
      <c r="S46" s="2">
        <f>HYPERLINK("https://yandex.ru/maps/?&amp;text=56.637802, 47.935234", "56.637802, 47.935234")</f>
        <v/>
      </c>
      <c r="T46" s="2">
        <f>HYPERLINK("D:\venv_torgi\env\cache\objs_in_district/56.637802_47.935234.json", "56.637802_47.935234.json")</f>
        <v/>
      </c>
      <c r="U46" t="inlineStr">
        <is>
          <t xml:space="preserve">12:05:0702001:718, </t>
        </is>
      </c>
      <c r="V46" t="n">
        <v>0</v>
      </c>
      <c r="Y46" t="n">
        <v>0</v>
      </c>
      <c r="AA46" t="n">
        <v>0</v>
      </c>
      <c r="AB46" t="n">
        <v>0</v>
      </c>
    </row>
    <row r="47">
      <c r="A47" s="7" t="n">
        <v>45</v>
      </c>
      <c r="B47" t="n">
        <v>13</v>
      </c>
      <c r="C47" s="1" t="n">
        <v>138.3</v>
      </c>
      <c r="D47" s="2">
        <f>HYPERLINK("https://torgi.gov.ru/new/public/lots/lot/22000034210000000002_1/(lotInfo:info)", "22000034210000000002_1")</f>
        <v/>
      </c>
      <c r="E47" t="inlineStr">
        <is>
          <t>Краткая характеристика объекта: назначение: нежилое, этаж 1, год постройки – 1975, общая площадь – 138,3 кв.м. Фундамент – кирпичный ленточный, материал наружных стен – кирпичные, перекрытия – деревянное отепленное, кровля – профлист по деревянной обрешетке, полы – бетонные.</t>
        </is>
      </c>
      <c r="F47" s="3" t="inlineStr">
        <is>
          <t>29.03.22 11:00</t>
        </is>
      </c>
      <c r="G47" t="inlineStr">
        <is>
          <t>РМ, Рузаевский р-н, с. Архангельское Голицыно, Советская, 40б.</t>
        </is>
      </c>
      <c r="H47" s="4" t="n">
        <v>249000</v>
      </c>
      <c r="I47" s="4" t="n">
        <v>1800.433839479392</v>
      </c>
      <c r="J47" t="inlineStr">
        <is>
          <t>Нежилое помещение</t>
        </is>
      </c>
      <c r="Q47" t="inlineStr">
        <is>
          <t>PP</t>
        </is>
      </c>
      <c r="R47" t="inlineStr">
        <is>
          <t>М</t>
        </is>
      </c>
      <c r="U47" t="inlineStr">
        <is>
          <t>13:17:0103001:1332</t>
        </is>
      </c>
      <c r="V47" t="n">
        <v>1</v>
      </c>
      <c r="Y47" t="n">
        <v>0</v>
      </c>
      <c r="AA47" t="n">
        <v>0</v>
      </c>
      <c r="AB47" t="n">
        <v>1</v>
      </c>
    </row>
    <row r="48">
      <c r="A48" s="7" t="n">
        <v>46</v>
      </c>
      <c r="B48" t="n">
        <v>13</v>
      </c>
      <c r="C48" s="1" t="n">
        <v>82.8</v>
      </c>
      <c r="D48" s="2">
        <f>HYPERLINK("https://torgi.gov.ru/new/public/lots/lot/22000059440000000022_10/(lotInfo:info)", "22000059440000000022_10")</f>
        <v/>
      </c>
      <c r="E48" t="inlineStr">
        <is>
          <t>Краткая характеристика помещения: год постройки – 1972. Площадь – 82,8 кв.м,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      </is>
      </c>
      <c r="F48" s="3" t="inlineStr">
        <is>
          <t>20.06.22 12:00</t>
        </is>
      </c>
      <c r="G48" t="inlineStr">
        <is>
          <t>г Саранск, ул М.Расковой, д 31</t>
        </is>
      </c>
      <c r="H48" s="4" t="n">
        <v>1966000</v>
      </c>
      <c r="I48" s="4" t="n">
        <v>23743.96135265701</v>
      </c>
      <c r="J48" t="inlineStr">
        <is>
          <t>Нежилое помещение</t>
        </is>
      </c>
      <c r="K48" s="5" t="n">
        <v>6.55</v>
      </c>
      <c r="L48" s="4" t="n">
        <v>1396.65</v>
      </c>
      <c r="M48" t="n">
        <v>3626</v>
      </c>
      <c r="N48" s="6" t="n">
        <v>347657</v>
      </c>
      <c r="O48" t="n">
        <v>17</v>
      </c>
      <c r="Q48" t="inlineStr">
        <is>
          <t>EA</t>
        </is>
      </c>
      <c r="R48" t="inlineStr">
        <is>
          <t>М</t>
        </is>
      </c>
      <c r="S48" s="2">
        <f>HYPERLINK("https://yandex.ru/maps/?&amp;text=54.1707765, 45.139448", "54.1707765, 45.139448")</f>
        <v/>
      </c>
      <c r="T48" s="2">
        <f>HYPERLINK("D:\venv_torgi\env\cache\objs_in_district/54.1707765_45.139448.json", "54.1707765_45.139448.json")</f>
        <v/>
      </c>
      <c r="V48" t="n">
        <v>1</v>
      </c>
      <c r="Y48" t="n">
        <v>0</v>
      </c>
      <c r="AA48" t="n">
        <v>0</v>
      </c>
      <c r="AB48" t="n">
        <v>0</v>
      </c>
    </row>
    <row r="49">
      <c r="A49" s="7" t="n">
        <v>47</v>
      </c>
      <c r="B49" t="n">
        <v>14</v>
      </c>
      <c r="C49" s="1" t="n">
        <v>110.1</v>
      </c>
      <c r="D49" s="2">
        <f>HYPERLINK("https://torgi.gov.ru/new/public/lots/lot/21000015300000000006_1/(lotInfo:info)", "21000015300000000006_1")</f>
        <v/>
      </c>
      <c r="E49" t="inlineStr">
        <is>
          <t>Помещение, нежилое, 1-этажное, площадь – 110,1 кв.м., кадастровый номер 14:13:100005:1014, инвентарный номер 98 224 551/КБ2/000615/А, условный номер 14-14-11/008/2010-497, кадастровая стоимость 2 765 790,76 рублей, расположен по адресу: Республика Саха (Якутия), Кобяйский улус, пгт. Сангар, ул. П.П. Кочнева, д. 8А; земельный участок, кадастровый номер 14:13:100005:308, категория земель: земли населенных пунктов, вид разрешенного использования: магазин, площадь 172 кв.м., кадастровая стоимость 328 176,00 рублей, местоположение: Республика Саха (Якутия), Кобяйский улус, пгт. Сангар, ул. П.П. Кочнева, д. 8А. Требуется ремонт.</t>
        </is>
      </c>
      <c r="F49" s="3" t="inlineStr">
        <is>
          <t>17.08.22 06:00</t>
        </is>
      </c>
      <c r="G49" t="inlineStr">
        <is>
          <t>Респ Саха /Якутия/, пгт Сангар, ул П.П.Кочнева, д 8а</t>
        </is>
      </c>
      <c r="H49" s="4" t="n">
        <v>305000</v>
      </c>
      <c r="I49" s="4" t="n">
        <v>2770.208900999092</v>
      </c>
      <c r="J49" t="inlineStr">
        <is>
          <t>магазин</t>
        </is>
      </c>
      <c r="K49" s="5" t="n">
        <v>8.85</v>
      </c>
      <c r="M49" t="n">
        <v>313</v>
      </c>
      <c r="N49" s="6" t="n">
        <v>3690</v>
      </c>
      <c r="Q49" t="inlineStr">
        <is>
          <t>BOC</t>
        </is>
      </c>
      <c r="R49" t="inlineStr">
        <is>
          <t>М</t>
        </is>
      </c>
      <c r="S49" s="2">
        <f>HYPERLINK("https://yandex.ru/maps/?&amp;text=63.923462, 127.46642", "63.923462, 127.46642")</f>
        <v/>
      </c>
      <c r="U49" t="inlineStr">
        <is>
          <t xml:space="preserve">14:13:100005:1014, </t>
        </is>
      </c>
      <c r="V49" t="n">
        <v>1</v>
      </c>
      <c r="Y49" t="n">
        <v>0</v>
      </c>
      <c r="AA49" t="n">
        <v>-1</v>
      </c>
      <c r="AB49" t="n">
        <v>1</v>
      </c>
    </row>
    <row r="50">
      <c r="A50" s="7" t="n">
        <v>48</v>
      </c>
      <c r="B50" t="n">
        <v>14</v>
      </c>
      <c r="C50" s="1" t="n">
        <v>116.9</v>
      </c>
      <c r="D50" s="2">
        <f>HYPERLINK("https://torgi.gov.ru/new/public/lots/lot/21000014540000000031_4/(lotInfo:info)", "21000014540000000031_4")</f>
        <v/>
      </c>
      <c r="E50" t="inlineStr">
        <is>
          <t>Нежилое помещение, общая площадь 116,9 кв.м., кад.№14:36:104003:5003, адрес: г.Якутск, ул.Жорницкого, д.7/10А. Собственник Егорова М.А.</t>
        </is>
      </c>
      <c r="F50" s="3" t="inlineStr">
        <is>
          <t>21.06.22 09:00</t>
        </is>
      </c>
      <c r="G50" t="inlineStr">
        <is>
          <t>г Якутск, ул Жорницкого, д 7/10А</t>
        </is>
      </c>
      <c r="H50" s="4" t="n">
        <v>3819900</v>
      </c>
      <c r="I50" s="4" t="n">
        <v>32676.64670658682</v>
      </c>
      <c r="J50" t="inlineStr">
        <is>
          <t>Нежилое помещение</t>
        </is>
      </c>
      <c r="K50" s="5" t="n">
        <v>10.89</v>
      </c>
      <c r="L50" s="4" t="n">
        <v>1420.7</v>
      </c>
      <c r="M50" t="n">
        <v>3000</v>
      </c>
      <c r="N50" s="6" t="n">
        <v>345660</v>
      </c>
      <c r="O50" t="n">
        <v>23</v>
      </c>
      <c r="Q50" t="inlineStr">
        <is>
          <t>EA</t>
        </is>
      </c>
      <c r="R50" t="inlineStr">
        <is>
          <t>Д</t>
        </is>
      </c>
      <c r="S50" s="2">
        <f>HYPERLINK("https://yandex.ru/maps/?&amp;text=62.05524, 129.721371", "62.05524, 129.721371")</f>
        <v/>
      </c>
      <c r="T50" s="2">
        <f>HYPERLINK("D:\venv_torgi\env\cache\objs_in_district/62.05524_129.721371.json", "62.05524_129.721371.json")</f>
        <v/>
      </c>
      <c r="U50" t="inlineStr">
        <is>
          <t xml:space="preserve">14:36:104003:5003, </t>
        </is>
      </c>
      <c r="V50" t="n">
        <v>0</v>
      </c>
      <c r="Y50" t="n">
        <v>0</v>
      </c>
      <c r="AA50" t="n">
        <v>0</v>
      </c>
      <c r="AB50" t="n">
        <v>0</v>
      </c>
    </row>
    <row r="51">
      <c r="A51" s="7" t="n">
        <v>49</v>
      </c>
      <c r="B51" t="n">
        <v>16</v>
      </c>
      <c r="C51" s="1" t="n">
        <v>1838.6</v>
      </c>
      <c r="D51" s="2">
        <f>HYPERLINK("https://torgi.gov.ru/new/public/lots/lot/21000012500000000001_2/(lotInfo:info)", "21000012500000000001_2")</f>
        <v/>
      </c>
      <c r="E51" t="inlineStr">
        <is>
          <t>Нежилое помещение, расположенное по адресу: Республика Татарстан, Заинский муниципальный район, г. Заинск, ул. Автозаводская, д.5/3, помещение 1003Кадастровый номер помещения 16:48:050211:7733Площадь помещения – 1838,6 кв.м.</t>
        </is>
      </c>
      <c r="F51" s="3" t="inlineStr">
        <is>
          <t>21.03.22 14:00</t>
        </is>
      </c>
      <c r="G51" t="inlineStr">
        <is>
          <t>Респ Татарстан, г Заинск, ул Автозаводская, д 5/3</t>
        </is>
      </c>
      <c r="H51" s="4" t="n">
        <v>1850000</v>
      </c>
      <c r="I51" s="4" t="n">
        <v>1006.200369846622</v>
      </c>
      <c r="J51" t="inlineStr">
        <is>
          <t>Нежилое помещение</t>
        </is>
      </c>
      <c r="K51" s="5" t="n">
        <v>1.02</v>
      </c>
      <c r="L51" s="4" t="n">
        <v>251.5</v>
      </c>
      <c r="M51" t="n">
        <v>982</v>
      </c>
      <c r="N51" s="6" t="n">
        <v>42241</v>
      </c>
      <c r="O51" t="n">
        <v>4</v>
      </c>
      <c r="Q51" t="inlineStr">
        <is>
          <t>PP</t>
        </is>
      </c>
      <c r="R51" t="inlineStr">
        <is>
          <t>М</t>
        </is>
      </c>
      <c r="S51" s="2">
        <f>HYPERLINK("https://yandex.ru/maps/?&amp;text=55.30343, 51.9898", "55.30343, 51.9898")</f>
        <v/>
      </c>
      <c r="T51" s="2">
        <f>HYPERLINK("D:\venv_torgi\env\cache\objs_in_district/55.30343_51.9898.json", "55.30343_51.9898.json")</f>
        <v/>
      </c>
      <c r="U51" t="inlineStr">
        <is>
          <t>16:48:050211:7733</t>
        </is>
      </c>
      <c r="V51" t="n">
        <v>0</v>
      </c>
      <c r="Y51" t="n">
        <v>0</v>
      </c>
      <c r="AA51" t="n">
        <v>0</v>
      </c>
      <c r="AB51" t="n">
        <v>0</v>
      </c>
    </row>
    <row r="52">
      <c r="A52" s="7" t="n">
        <v>50</v>
      </c>
      <c r="B52" t="n">
        <v>16</v>
      </c>
      <c r="C52" s="1" t="n">
        <v>30.4</v>
      </c>
      <c r="D52" s="2">
        <f>HYPERLINK("https://torgi.gov.ru/new/public/lots/lot/22000059670000000002_1/(lotInfo:info)", "22000059670000000002_1")</f>
        <v/>
      </c>
      <c r="E52" t="inlineStr">
        <is>
          <t>нежилое помещение с кадастровым №16:39:070501:1194, площадью 30,4 кв.м., расположенное по адресу: Республика Татарстан, Тукаевский муниципальный район, Нижнесуыксинское сельское поселение, с. Нижний Суык-Су, ул. Школьная, д. 3А расположенное в нежилом здании.</t>
        </is>
      </c>
      <c r="F52" s="3" t="inlineStr">
        <is>
          <t>11.06.22 14:00</t>
        </is>
      </c>
      <c r="G52" t="inlineStr">
        <is>
          <t>Респ Татарстан, Тукаевский р-н, село Нижний Суык-Су, ул Школьная</t>
        </is>
      </c>
      <c r="H52" s="4" t="n">
        <v>252782.44</v>
      </c>
      <c r="I52" s="4" t="n">
        <v>8315.211842105264</v>
      </c>
      <c r="J52" t="inlineStr">
        <is>
          <t>Школьная</t>
        </is>
      </c>
      <c r="K52" s="5" t="n">
        <v>43.08</v>
      </c>
      <c r="M52" t="n">
        <v>193</v>
      </c>
      <c r="N52" s="6" t="n">
        <v>1090</v>
      </c>
      <c r="Q52" t="inlineStr">
        <is>
          <t>EA</t>
        </is>
      </c>
      <c r="R52" t="inlineStr">
        <is>
          <t>М</t>
        </is>
      </c>
      <c r="S52" s="2">
        <f>HYPERLINK("https://yandex.ru/maps/?&amp;text=55.611521, 52.284761", "55.611521, 52.284761")</f>
        <v/>
      </c>
      <c r="U52" t="inlineStr">
        <is>
          <t xml:space="preserve">16:39:070501:1194, </t>
        </is>
      </c>
      <c r="V52" t="n">
        <v>1</v>
      </c>
      <c r="Y52" t="n">
        <v>0</v>
      </c>
      <c r="AA52" t="n">
        <v>0</v>
      </c>
      <c r="AB52" t="n">
        <v>0</v>
      </c>
    </row>
    <row r="53">
      <c r="A53" s="7" t="n">
        <v>51</v>
      </c>
      <c r="B53" t="n">
        <v>16</v>
      </c>
      <c r="C53" s="1" t="n">
        <v>124.9</v>
      </c>
      <c r="D53" s="2">
        <f>HYPERLINK("https://torgi.gov.ru/new/public/lots/lot/21000026240000000015_4/(lotInfo:info)", "21000026240000000015_4")</f>
        <v/>
      </c>
      <c r="E53" t="inlineStr">
        <is>
          <t>помещения 1 этажа по ул.Маяковского, д.8, пом.1000, Площадь – 124,9кв.м, кадастровый номер 16:50:011104:379</t>
        </is>
      </c>
      <c r="F53" s="3" t="inlineStr">
        <is>
          <t>21.06.22 09:00</t>
        </is>
      </c>
      <c r="G53" t="inlineStr">
        <is>
          <t>г Казань, ул Маяковского, зд 9/8, помещ 1000</t>
        </is>
      </c>
      <c r="H53" s="4" t="n">
        <v>2384556</v>
      </c>
      <c r="I53" s="4" t="n">
        <v>19091.72137710168</v>
      </c>
      <c r="J53" t="inlineStr">
        <is>
          <t>Нежилое помещение</t>
        </is>
      </c>
      <c r="K53" s="5" t="n">
        <v>2.46</v>
      </c>
      <c r="L53" s="4" t="n">
        <v>454.55</v>
      </c>
      <c r="M53" t="n">
        <v>7762</v>
      </c>
      <c r="N53" s="6" t="n">
        <v>1284908</v>
      </c>
      <c r="O53" t="n">
        <v>42</v>
      </c>
      <c r="Q53" t="inlineStr">
        <is>
          <t>EA</t>
        </is>
      </c>
      <c r="R53" t="inlineStr">
        <is>
          <t>М</t>
        </is>
      </c>
      <c r="S53" s="2">
        <f>HYPERLINK("https://yandex.ru/maps/?&amp;text=55.787346, 49.134891", "55.787346, 49.134891")</f>
        <v/>
      </c>
      <c r="T53" s="2">
        <f>HYPERLINK("D:\venv_torgi\env\cache\objs_in_district/55.787346_49.134891.json", "55.787346_49.134891.json")</f>
        <v/>
      </c>
      <c r="U53" t="inlineStr">
        <is>
          <t>16:50:011104:379</t>
        </is>
      </c>
      <c r="V53" t="n">
        <v>1</v>
      </c>
      <c r="Y53" t="n">
        <v>0</v>
      </c>
      <c r="AA53" t="n">
        <v>0</v>
      </c>
      <c r="AB53" t="n">
        <v>0</v>
      </c>
    </row>
    <row r="54">
      <c r="A54" s="7" t="n">
        <v>52</v>
      </c>
      <c r="B54" t="n">
        <v>16</v>
      </c>
      <c r="C54" s="1" t="n">
        <v>104.9</v>
      </c>
      <c r="D54" s="2">
        <f>HYPERLINK("https://torgi.gov.ru/new/public/lots/lot/21000006210000000010_4/(lotInfo:info)", "21000006210000000010_4")</f>
        <v/>
      </c>
      <c r="E54" t="inlineStr">
        <is>
          <t>Нежилое помещение (ЖЭУ 10) с кадастровым номером 16:45:010116:3796, расположенное на 1 этаже. Балансодержатель (продавец): Муниципальное унитарное предприятие «Управление ресурсами»</t>
        </is>
      </c>
      <c r="F54" s="3" t="inlineStr">
        <is>
          <t>25.05.22 06:00</t>
        </is>
      </c>
      <c r="G54" t="inlineStr">
        <is>
          <t>Респ Татарстан, г Альметьевск, ул Гафиатуллина, д 49, помещ 100001</t>
        </is>
      </c>
      <c r="H54" s="4" t="n">
        <v>3478000</v>
      </c>
      <c r="I54" s="4" t="n">
        <v>33155.38608198284</v>
      </c>
      <c r="J54" t="inlineStr">
        <is>
          <t>Нежилое помещение</t>
        </is>
      </c>
      <c r="K54" s="5" t="n">
        <v>14.85</v>
      </c>
      <c r="L54" s="4" t="n">
        <v>808.66</v>
      </c>
      <c r="M54" t="n">
        <v>2233</v>
      </c>
      <c r="N54" s="6" t="n">
        <v>151157</v>
      </c>
      <c r="O54" t="n">
        <v>41</v>
      </c>
      <c r="Q54" t="inlineStr">
        <is>
          <t>EA</t>
        </is>
      </c>
      <c r="R54" t="inlineStr">
        <is>
          <t>М</t>
        </is>
      </c>
      <c r="S54" s="2">
        <f>HYPERLINK("https://yandex.ru/maps/?&amp;text=54.904877, 52.263435", "54.904877, 52.263435")</f>
        <v/>
      </c>
      <c r="T54" s="2">
        <f>HYPERLINK("D:\venv_torgi\env\cache\objs_in_district/54.904877_52.263435.json", "54.904877_52.263435.json")</f>
        <v/>
      </c>
      <c r="U54" t="inlineStr">
        <is>
          <t xml:space="preserve">16:45:010116:3796, </t>
        </is>
      </c>
      <c r="V54" t="n">
        <v>1</v>
      </c>
      <c r="Y54" t="n">
        <v>0</v>
      </c>
      <c r="AA54" t="n">
        <v>0</v>
      </c>
      <c r="AB54" t="n">
        <v>0</v>
      </c>
    </row>
    <row r="55">
      <c r="A55" s="7" t="n">
        <v>53</v>
      </c>
      <c r="B55" t="n">
        <v>16</v>
      </c>
      <c r="C55" s="1" t="n">
        <v>114.2</v>
      </c>
      <c r="D55" s="2">
        <f>HYPERLINK("https://torgi.gov.ru/new/public/lots/lot/21000026240000000015_5/(lotInfo:info)", "21000026240000000015_5")</f>
        <v/>
      </c>
      <c r="E55" t="inlineStr">
        <is>
          <t>помещения 1 этажа по ул.Профсоюзная, д.12, пом.1017, Площадь – 114,2 кв.м, кадастровый номер 16:50:010209:109</t>
        </is>
      </c>
      <c r="F55" s="3" t="inlineStr">
        <is>
          <t>21.06.22 09:00</t>
        </is>
      </c>
      <c r="G55" t="inlineStr">
        <is>
          <t>г Казань, ул Профсоюзная, д 12, помещ 1017</t>
        </is>
      </c>
      <c r="H55" s="4" t="n">
        <v>8295360</v>
      </c>
      <c r="I55" s="4" t="n">
        <v>72638.87915936952</v>
      </c>
      <c r="J55" t="inlineStr">
        <is>
          <t>Нежилое помещение</t>
        </is>
      </c>
      <c r="K55" s="5" t="n">
        <v>9.65</v>
      </c>
      <c r="L55" s="4" t="n">
        <v>412.72</v>
      </c>
      <c r="M55" t="n">
        <v>7530</v>
      </c>
      <c r="N55" s="6" t="n">
        <v>1284908</v>
      </c>
      <c r="O55" t="n">
        <v>176</v>
      </c>
      <c r="Q55" t="inlineStr">
        <is>
          <t>EA</t>
        </is>
      </c>
      <c r="R55" t="inlineStr">
        <is>
          <t>М</t>
        </is>
      </c>
      <c r="S55" s="2">
        <f>HYPERLINK("https://yandex.ru/maps/?&amp;text=55.79229, 49.11352", "55.79229, 49.11352")</f>
        <v/>
      </c>
      <c r="T55" s="2">
        <f>HYPERLINK("D:\venv_torgi\env\cache\objs_in_district/55.79229_49.11352.json", "55.79229_49.11352.json")</f>
        <v/>
      </c>
      <c r="U55" t="inlineStr">
        <is>
          <t>16:50:010209:109</t>
        </is>
      </c>
      <c r="V55" t="n">
        <v>1</v>
      </c>
      <c r="Y55" t="n">
        <v>0</v>
      </c>
      <c r="AA55" t="n">
        <v>0</v>
      </c>
      <c r="AB55" t="n">
        <v>0</v>
      </c>
    </row>
    <row r="56">
      <c r="A56" s="7" t="n">
        <v>54</v>
      </c>
      <c r="B56" t="n">
        <v>16</v>
      </c>
      <c r="C56" s="1" t="n">
        <v>22.4</v>
      </c>
      <c r="D56" s="2">
        <f>HYPERLINK("https://torgi.gov.ru/new/public/lots/lot/21000026240000000015_8/(lotInfo:info)", "21000026240000000015_8")</f>
        <v/>
      </c>
      <c r="E56" t="inlineStr">
        <is>
          <t>помещения 1 этажа по ул.Энергетиков, д.3, пом.1101, Площадь – 22,4 кв.м, кадастровый номер 16:50:100419:1277</t>
        </is>
      </c>
      <c r="F56" s="3" t="inlineStr">
        <is>
          <t>21.06.22 09:00</t>
        </is>
      </c>
      <c r="G56" t="inlineStr">
        <is>
          <t>г Казань, ул Энергетиков, д 3, помещ 1101</t>
        </is>
      </c>
      <c r="H56" s="4" t="n">
        <v>2760744</v>
      </c>
      <c r="I56" s="4" t="n">
        <v>123247.5</v>
      </c>
      <c r="J56" t="inlineStr">
        <is>
          <t>Нежилое помещение</t>
        </is>
      </c>
      <c r="K56" s="5" t="n">
        <v>17.27</v>
      </c>
      <c r="L56" s="4" t="n">
        <v>1354.36</v>
      </c>
      <c r="M56" t="n">
        <v>7137</v>
      </c>
      <c r="N56" s="6" t="n">
        <v>1284908</v>
      </c>
      <c r="O56" t="n">
        <v>91</v>
      </c>
      <c r="Q56" t="inlineStr">
        <is>
          <t>EA</t>
        </is>
      </c>
      <c r="R56" t="inlineStr">
        <is>
          <t>М</t>
        </is>
      </c>
      <c r="S56" s="2">
        <f>HYPERLINK("https://yandex.ru/maps/?&amp;text=55.826557, 49.07924", "55.826557, 49.07924")</f>
        <v/>
      </c>
      <c r="T56" s="2">
        <f>HYPERLINK("D:\venv_torgi\env\cache\objs_in_district/55.826557_49.07924.json", "55.826557_49.07924.json")</f>
        <v/>
      </c>
      <c r="U56" t="inlineStr">
        <is>
          <t>16:50:100419:1277</t>
        </is>
      </c>
      <c r="V56" t="n">
        <v>1</v>
      </c>
      <c r="Y56" t="n">
        <v>0</v>
      </c>
      <c r="AA56" t="n">
        <v>0</v>
      </c>
      <c r="AB56" t="n">
        <v>0</v>
      </c>
    </row>
    <row r="57">
      <c r="A57" s="7" t="n">
        <v>55</v>
      </c>
      <c r="B57" t="n">
        <v>16</v>
      </c>
      <c r="C57" s="1" t="n">
        <v>58.8</v>
      </c>
      <c r="D57" s="2">
        <f>HYPERLINK("https://torgi.gov.ru/new/public/lots/lot/21000026240000000005_1/(lotInfo:info)", "21000026240000000005_1")</f>
        <v/>
      </c>
      <c r="E57" t="inlineStr">
        <is>
          <t>помещения 1 этажа по ул.Волгоградская, д.1, пом.1141, Площадь - 58,8 кв.м, кадастровый номер 16:50:100425:3406</t>
        </is>
      </c>
      <c r="F57" s="3" t="inlineStr">
        <is>
          <t>07.03.22 09:00</t>
        </is>
      </c>
      <c r="G57" t="inlineStr">
        <is>
          <t>г Казань, ул Волгоградская, д 1, помещ 1141</t>
        </is>
      </c>
      <c r="H57" s="4" t="n">
        <v>8095632</v>
      </c>
      <c r="I57" s="4" t="n">
        <v>137680.8163265306</v>
      </c>
      <c r="J57" t="inlineStr">
        <is>
          <t>Нежилое помещение</t>
        </is>
      </c>
      <c r="K57" s="5" t="n">
        <v>17.48</v>
      </c>
      <c r="L57" s="4" t="n">
        <v>936.6</v>
      </c>
      <c r="M57" t="n">
        <v>7875</v>
      </c>
      <c r="N57" s="6" t="n">
        <v>1284908</v>
      </c>
      <c r="O57" t="n">
        <v>147</v>
      </c>
      <c r="Q57" t="inlineStr">
        <is>
          <t>EA</t>
        </is>
      </c>
      <c r="R57" t="inlineStr">
        <is>
          <t>М</t>
        </is>
      </c>
      <c r="S57" s="2">
        <f>HYPERLINK("https://yandex.ru/maps/?&amp;text=55.829219, 49.083282", "55.829219, 49.083282")</f>
        <v/>
      </c>
      <c r="T57" s="2">
        <f>HYPERLINK("D:\venv_torgi\env\cache\objs_in_district/55.829219_49.083282.json", "55.829219_49.083282.json")</f>
        <v/>
      </c>
      <c r="U57" t="inlineStr">
        <is>
          <t>16:50:100425:3406</t>
        </is>
      </c>
      <c r="V57" t="n">
        <v>1</v>
      </c>
      <c r="Y57" t="n">
        <v>0</v>
      </c>
      <c r="AA57" t="n">
        <v>0</v>
      </c>
      <c r="AB57" t="n">
        <v>0</v>
      </c>
    </row>
    <row r="58">
      <c r="A58" s="7" t="n">
        <v>56</v>
      </c>
      <c r="B58" t="n">
        <v>18</v>
      </c>
      <c r="C58" s="1" t="n">
        <v>75.90000000000001</v>
      </c>
      <c r="D58" s="2">
        <f>HYPERLINK("https://torgi.gov.ru/new/public/lots/lot/21000015480000000019_1/(lotInfo:info)", "21000015480000000019_1")</f>
        <v/>
      </c>
      <c r="E58" t="inlineStr">
        <is>
          <t>нежилое помещение, назначение: нежилое, общая площадь 75,9 кв.м., этаж № цокольный, адрес (местонахождение) объекта: Удмуртская Республика, г. Сарапул, ул. Чапаева, д. 3, помещение 1, кадастровый номер 18:30:000427:1123</t>
        </is>
      </c>
      <c r="F58" s="3" t="inlineStr">
        <is>
          <t>18.07.22 12:30</t>
        </is>
      </c>
      <c r="G58" t="inlineStr">
        <is>
          <t>Удмуртская Респ, г Сарапул, ул Чапаева, д 3</t>
        </is>
      </c>
      <c r="H58" s="4" t="n">
        <v>171500</v>
      </c>
      <c r="I58" s="4" t="n">
        <v>2259.552042160738</v>
      </c>
      <c r="J58" t="inlineStr">
        <is>
          <t>Нежилое помещение</t>
        </is>
      </c>
      <c r="K58" s="5" t="n">
        <v>2.28</v>
      </c>
      <c r="M58" t="n">
        <v>992</v>
      </c>
      <c r="N58" s="6" t="n">
        <v>96361</v>
      </c>
      <c r="Q58" t="inlineStr">
        <is>
          <t>BOC</t>
        </is>
      </c>
      <c r="R58" t="inlineStr">
        <is>
          <t>М</t>
        </is>
      </c>
      <c r="S58" s="2">
        <f>HYPERLINK("https://yandex.ru/maps/?&amp;text=56.441926, 53.766667", "56.441926, 53.766667")</f>
        <v/>
      </c>
      <c r="U58" t="inlineStr">
        <is>
          <t>18:30:000427:1123</t>
        </is>
      </c>
      <c r="V58" t="n">
        <v>0</v>
      </c>
      <c r="Y58" t="n">
        <v>0</v>
      </c>
      <c r="AA58" t="n">
        <v>0</v>
      </c>
      <c r="AB58" t="n">
        <v>0</v>
      </c>
    </row>
    <row r="59">
      <c r="A59" s="7" t="n">
        <v>57</v>
      </c>
      <c r="B59" t="n">
        <v>18</v>
      </c>
      <c r="C59" s="1" t="n">
        <v>100.7</v>
      </c>
      <c r="D59" s="2">
        <f>HYPERLINK("https://torgi.gov.ru/new/public/lots/lot/21000015480000000020_1/(lotInfo:info)", "21000015480000000020_1")</f>
        <v/>
      </c>
      <c r="E59" t="inlineStr">
        <is>
          <t>нежилое помещение, назначение: нежилое помещение, общая площадь 100,7 кв.м., этаж № цокольный, адрес (местонахождение) объекта: Удмуртская Республика, г. Сарапул, ул. Советская, д. 124, кадастровый номер 18:30:000327:675</t>
        </is>
      </c>
      <c r="F59" s="3" t="inlineStr">
        <is>
          <t>25.07.22 12:30</t>
        </is>
      </c>
      <c r="G59" t="inlineStr">
        <is>
          <t>Удмуртская Респ, г Сарапул, ул Советская, д 124</t>
        </is>
      </c>
      <c r="H59" s="4" t="n">
        <v>411999.99</v>
      </c>
      <c r="I59" s="4" t="n">
        <v>4091.36037735849</v>
      </c>
      <c r="J59" t="inlineStr">
        <is>
          <t>Нежилое помещение</t>
        </is>
      </c>
      <c r="K59" s="5" t="n">
        <v>1.28</v>
      </c>
      <c r="M59" t="n">
        <v>3208</v>
      </c>
      <c r="N59" s="6" t="n">
        <v>96361</v>
      </c>
      <c r="Q59" t="inlineStr">
        <is>
          <t>BOC</t>
        </is>
      </c>
      <c r="R59" t="inlineStr">
        <is>
          <t>М</t>
        </is>
      </c>
      <c r="S59" s="2">
        <f>HYPERLINK("https://yandex.ru/maps/?&amp;text=56.47883, 53.7867", "56.47883, 53.7867")</f>
        <v/>
      </c>
      <c r="U59" t="inlineStr">
        <is>
          <t>18:30:000327:675</t>
        </is>
      </c>
      <c r="V59" t="n">
        <v>0</v>
      </c>
      <c r="Y59" t="n">
        <v>0</v>
      </c>
      <c r="AA59" t="n">
        <v>0</v>
      </c>
      <c r="AB59" t="n">
        <v>0</v>
      </c>
    </row>
    <row r="60">
      <c r="A60" s="7" t="n">
        <v>58</v>
      </c>
      <c r="B60" t="n">
        <v>18</v>
      </c>
      <c r="C60" s="1" t="n">
        <v>75.90000000000001</v>
      </c>
      <c r="D60" s="2">
        <f>HYPERLINK("https://torgi.gov.ru/new/public/lots/lot/21000015480000000009_1/(lotInfo:info)", "21000015480000000009_1")</f>
        <v/>
      </c>
      <c r="E60" t="inlineStr">
        <is>
          <t>нежилое помещение, назначение: нежилое, общая площадь 75,9 кв.м., этаж № цокольный, адрес (местонахождение) объекта: Удмуртская Республика, г. Сарапул, ул. Чапаева, д. 3, помещение 1, кадастровый номер 18:30:000427:1123</t>
        </is>
      </c>
      <c r="F60" s="3" t="inlineStr">
        <is>
          <t>16.05.22 11:30</t>
        </is>
      </c>
      <c r="G60" t="inlineStr">
        <is>
          <t>Удмуртская Респ, г Сарапул, ул Чапаева, д 3</t>
        </is>
      </c>
      <c r="H60" s="4" t="n">
        <v>455000</v>
      </c>
      <c r="I60" s="4" t="n">
        <v>5994.729907773386</v>
      </c>
      <c r="J60" t="inlineStr">
        <is>
          <t>Нежилое помещение</t>
        </is>
      </c>
      <c r="K60" s="5" t="n">
        <v>6.04</v>
      </c>
      <c r="M60" t="n">
        <v>992</v>
      </c>
      <c r="N60" s="6" t="n">
        <v>96361</v>
      </c>
      <c r="Q60" t="inlineStr">
        <is>
          <t>BOC</t>
        </is>
      </c>
      <c r="R60" t="inlineStr">
        <is>
          <t>М</t>
        </is>
      </c>
      <c r="S60" s="2">
        <f>HYPERLINK("https://yandex.ru/maps/?&amp;text=56.441926, 53.766667", "56.441926, 53.766667")</f>
        <v/>
      </c>
      <c r="U60" t="inlineStr">
        <is>
          <t>18:30:000427:1123</t>
        </is>
      </c>
      <c r="V60" t="n">
        <v>0</v>
      </c>
      <c r="Y60" t="n">
        <v>0</v>
      </c>
      <c r="AA60" t="n">
        <v>0</v>
      </c>
      <c r="AB60" t="n">
        <v>0</v>
      </c>
    </row>
    <row r="61">
      <c r="A61" s="7" t="n">
        <v>59</v>
      </c>
      <c r="B61" t="n">
        <v>18</v>
      </c>
      <c r="C61" s="1" t="n">
        <v>372.1</v>
      </c>
      <c r="D61" s="2">
        <f>HYPERLINK("https://torgi.gov.ru/new/public/lots/lot/22000013180000000007_1/(lotInfo:info)", "22000013180000000007_1")</f>
        <v/>
      </c>
      <c r="E61" t="inlineStr">
        <is>
          <t>нежилое помещение,  общей площадью 372,1 кв.м. (Литера: А, а;  этаж: цокольный, этаж № 1,  номера на поэтажном плане: цокольный этаж литера А: 1-8, литера а: 1,2;  1 этаж литера А: 9-32, согласно техническому паспорту  помещения   от 11.09.2014 г.),  расположенное по адресу: Удмуртская Республика, г. Ижевск, ул. Четырнадцатая, д. 60а, кадастровый номер 18:26:040586:212.</t>
        </is>
      </c>
      <c r="F61" s="3" t="inlineStr">
        <is>
          <t>23.08.22 12:30</t>
        </is>
      </c>
      <c r="G61" t="inlineStr">
        <is>
          <t>г. Ижевск, ул. Четырнадцатая, д. 60а</t>
        </is>
      </c>
      <c r="H61" s="4" t="n">
        <v>3131891.28</v>
      </c>
      <c r="I61" s="4" t="n">
        <v>8416.799999999999</v>
      </c>
      <c r="J61" t="inlineStr">
        <is>
          <t>Нежилое помещение</t>
        </is>
      </c>
      <c r="K61" s="5" t="n">
        <v>1.7</v>
      </c>
      <c r="L61" s="4" t="n">
        <v>647.38</v>
      </c>
      <c r="M61" t="n">
        <v>4937</v>
      </c>
      <c r="N61" s="6" t="n">
        <v>648944</v>
      </c>
      <c r="O61" t="n">
        <v>13</v>
      </c>
      <c r="Q61" t="inlineStr">
        <is>
          <t>EA</t>
        </is>
      </c>
      <c r="R61" t="inlineStr">
        <is>
          <t>М</t>
        </is>
      </c>
      <c r="S61" s="2">
        <f>HYPERLINK("https://yandex.ru/maps/?&amp;text=56.833033, 53.156433", "56.833033, 53.156433")</f>
        <v/>
      </c>
      <c r="T61" s="2">
        <f>HYPERLINK("D:\venv_torgi\env\cache\objs_in_district/56.833033_53.156433.json", "56.833033_53.156433.json")</f>
        <v/>
      </c>
      <c r="U61" t="inlineStr">
        <is>
          <t>18:26:040586:212</t>
        </is>
      </c>
      <c r="V61" t="n">
        <v>0</v>
      </c>
      <c r="Y61" t="n">
        <v>0</v>
      </c>
      <c r="AA61" t="n">
        <v>0</v>
      </c>
      <c r="AB61" t="n">
        <v>0</v>
      </c>
    </row>
    <row r="62">
      <c r="A62" s="7" t="n">
        <v>60</v>
      </c>
      <c r="B62" t="n">
        <v>18</v>
      </c>
      <c r="C62" s="1" t="n">
        <v>46.3</v>
      </c>
      <c r="D62" s="2">
        <f>HYPERLINK("https://torgi.gov.ru/new/public/lots/lot/21000015480000000017_1/(lotInfo:info)", "21000015480000000017_1")</f>
        <v/>
      </c>
      <c r="E62" t="inlineStr">
        <is>
          <t>нежилое помещение, общей площадью 46,3 кв.м., этаж № цокольный, расположенное по адресу: Удмуртская Республика, г. Сарапул, ул. Азина, д. 62, кадастровый номер 18:30:000010:276</t>
        </is>
      </c>
      <c r="F62" s="3" t="inlineStr">
        <is>
          <t>01.07.22 12:30</t>
        </is>
      </c>
      <c r="G62" t="inlineStr">
        <is>
          <t>Удмуртская Респ, г Сарапул, ул Азина, д 62</t>
        </is>
      </c>
      <c r="H62" s="4" t="n">
        <v>956400</v>
      </c>
      <c r="I62" s="4" t="n">
        <v>20656.58747300216</v>
      </c>
      <c r="J62" t="inlineStr">
        <is>
          <t>Нежилое помещение</t>
        </is>
      </c>
      <c r="K62" s="5" t="n">
        <v>4.93</v>
      </c>
      <c r="L62" s="4" t="n">
        <v>344.27</v>
      </c>
      <c r="M62" t="n">
        <v>4186</v>
      </c>
      <c r="N62" s="6" t="n">
        <v>96361</v>
      </c>
      <c r="O62" t="n">
        <v>60</v>
      </c>
      <c r="Q62" t="inlineStr">
        <is>
          <t>PP</t>
        </is>
      </c>
      <c r="R62" t="inlineStr">
        <is>
          <t>М</t>
        </is>
      </c>
      <c r="S62" s="2">
        <f>HYPERLINK("https://yandex.ru/maps/?&amp;text=56.470835, 53.80348", "56.470835, 53.80348")</f>
        <v/>
      </c>
      <c r="T62" s="2">
        <f>HYPERLINK("D:\venv_torgi\env\cache\objs_in_district/56.470835_53.80348.json", "56.470835_53.80348.json")</f>
        <v/>
      </c>
      <c r="U62" t="inlineStr">
        <is>
          <t>18:30:000010:276</t>
        </is>
      </c>
      <c r="V62" t="n">
        <v>0</v>
      </c>
      <c r="Y62" t="n">
        <v>0</v>
      </c>
      <c r="AA62" t="n">
        <v>0</v>
      </c>
      <c r="AB62" t="n">
        <v>0</v>
      </c>
    </row>
    <row r="63">
      <c r="A63" s="7" t="n">
        <v>61</v>
      </c>
      <c r="B63" t="n">
        <v>18</v>
      </c>
      <c r="C63" s="1" t="n">
        <v>51.4</v>
      </c>
      <c r="D63" s="2">
        <f>HYPERLINK("https://torgi.gov.ru/new/public/lots/lot/21000005540000000005_1/(lotInfo:info)", "21000005540000000005_1")</f>
        <v/>
      </c>
      <c r="E63" t="inlineStr">
        <is>
          <t>Нежилое помещение (назначение: нежилое помещение, площадь 51,4 кв.м, этаж 2)</t>
        </is>
      </c>
      <c r="F63" s="3" t="inlineStr">
        <is>
          <t>14.06.22 13:00</t>
        </is>
      </c>
      <c r="G63" t="inlineStr">
        <is>
          <t>Удмуртская Респ, г Воткинск, ул Ленина, д 18</t>
        </is>
      </c>
      <c r="H63" s="4" t="n">
        <v>1790800</v>
      </c>
      <c r="I63" s="4" t="n">
        <v>34840.46692607004</v>
      </c>
      <c r="J63" t="inlineStr">
        <is>
          <t>Нежилое помещение</t>
        </is>
      </c>
      <c r="K63" s="5" t="n">
        <v>9.82</v>
      </c>
      <c r="L63" s="4" t="n">
        <v>1088.75</v>
      </c>
      <c r="M63" t="n">
        <v>3548</v>
      </c>
      <c r="N63" s="6" t="n">
        <v>97345</v>
      </c>
      <c r="O63" t="n">
        <v>32</v>
      </c>
      <c r="Q63" t="inlineStr">
        <is>
          <t>EA</t>
        </is>
      </c>
      <c r="R63" t="inlineStr">
        <is>
          <t>М</t>
        </is>
      </c>
      <c r="S63" s="2">
        <f>HYPERLINK("https://yandex.ru/maps/?&amp;text=57.053043, 53.99023", "57.053043, 53.99023")</f>
        <v/>
      </c>
      <c r="T63" s="2">
        <f>HYPERLINK("D:\venv_torgi\env\cache\objs_in_district/57.053043_53.99023.json", "57.053043_53.99023.json")</f>
        <v/>
      </c>
      <c r="U63" t="inlineStr">
        <is>
          <t>18:27:030609:194</t>
        </is>
      </c>
      <c r="V63" t="n">
        <v>2</v>
      </c>
      <c r="Y63" t="n">
        <v>0</v>
      </c>
      <c r="AA63" t="n">
        <v>0</v>
      </c>
      <c r="AB63" t="n">
        <v>0</v>
      </c>
    </row>
    <row r="64">
      <c r="A64" s="7" t="n">
        <v>62</v>
      </c>
      <c r="B64" t="n">
        <v>19</v>
      </c>
      <c r="C64" s="1" t="n">
        <v>29.1</v>
      </c>
      <c r="D64" s="2">
        <f>HYPERLINK("https://torgi.gov.ru/new/public/lots/lot/21000009460000000001_1/(lotInfo:info)", "21000009460000000001_1")</f>
        <v/>
      </c>
      <c r="E64" t="inlineStr">
        <is>
          <t>общая площадь 29,1 кв.м., кадастровый номеро 19:09:010103:969</t>
        </is>
      </c>
      <c r="F64" s="3" t="inlineStr">
        <is>
          <t>12.07.22 10:00</t>
        </is>
      </c>
      <c r="G64" t="inlineStr">
        <is>
          <t>Респ Хакасия, г Абаза, ул Кулакова, д 3, помещ 101н</t>
        </is>
      </c>
      <c r="H64" s="4" t="n">
        <v>620000</v>
      </c>
      <c r="I64" s="4" t="n">
        <v>21305.84192439862</v>
      </c>
      <c r="J64" t="inlineStr">
        <is>
          <t>Нежилое помещение</t>
        </is>
      </c>
      <c r="K64" s="5" t="n">
        <v>3.19</v>
      </c>
      <c r="L64" s="4" t="n">
        <v>234.12</v>
      </c>
      <c r="M64" t="n">
        <v>6676</v>
      </c>
      <c r="N64" s="6" t="n">
        <v>15210</v>
      </c>
      <c r="O64" t="n">
        <v>91</v>
      </c>
      <c r="Q64" t="inlineStr">
        <is>
          <t>EA</t>
        </is>
      </c>
      <c r="R64" t="inlineStr">
        <is>
          <t>М</t>
        </is>
      </c>
      <c r="S64" s="2">
        <f>HYPERLINK("https://yandex.ru/maps/?&amp;text=52.649969, 90.085159", "52.649969, 90.085159")</f>
        <v/>
      </c>
      <c r="T64" s="2">
        <f>HYPERLINK("D:\venv_torgi\env\cache\objs_in_district/52.649969_90.085159.json", "52.649969_90.085159.json")</f>
        <v/>
      </c>
      <c r="U64" t="inlineStr">
        <is>
          <t>19:09:010103:969</t>
        </is>
      </c>
      <c r="V64" t="n">
        <v>1</v>
      </c>
      <c r="Y64" t="n">
        <v>0</v>
      </c>
      <c r="AA64" t="n">
        <v>0</v>
      </c>
      <c r="AB64" t="n">
        <v>0</v>
      </c>
    </row>
    <row r="65">
      <c r="A65" s="7" t="n">
        <v>63</v>
      </c>
      <c r="B65" t="n">
        <v>20</v>
      </c>
      <c r="C65" s="1" t="n">
        <v>271</v>
      </c>
      <c r="D65" s="2">
        <f>HYPERLINK("https://torgi.gov.ru/new/public/lots/lot/22000037220000000034_1/(lotInfo:info)", "22000037220000000034_1")</f>
        <v/>
      </c>
      <c r="E65" t="inlineStr">
        <is>
          <t>продажа имущества, находящегося в собственности Чеченской Республики</t>
        </is>
      </c>
      <c r="F65" s="3" t="inlineStr">
        <is>
          <t>05.05.22 15:00</t>
        </is>
      </c>
      <c r="G65" t="inlineStr">
        <is>
          <t>Чеченская Республика, городской территориальный округ Аргун, с. Чечен-Аул, ул. Шерипова, дом № 60</t>
        </is>
      </c>
      <c r="H65" s="4" t="n">
        <v>524742.75</v>
      </c>
      <c r="I65" s="4" t="n">
        <v>1936.320110701107</v>
      </c>
      <c r="J65" t="inlineStr">
        <is>
          <t>Нежилое помещение</t>
        </is>
      </c>
      <c r="K65" s="5" t="n">
        <v>0.75</v>
      </c>
      <c r="L65" s="4" t="inlineStr"/>
      <c r="M65" t="n">
        <v>2574</v>
      </c>
      <c r="O65" t="inlineStr"/>
      <c r="Q65" t="inlineStr">
        <is>
          <t>EA</t>
        </is>
      </c>
      <c r="R65" t="inlineStr">
        <is>
          <t>М</t>
        </is>
      </c>
      <c r="S65" s="2">
        <f>HYPERLINK("https://yandex.ru/maps/?&amp;text=43.196626, 45.779665", "43.196626, 45.779665")</f>
        <v/>
      </c>
      <c r="T65" s="8">
        <f>HYPERLINK("D:\venv_torgi\env\cache\objs_in_district/43.196626_45.779665.json", "43.196626_45.779665.json")</f>
        <v/>
      </c>
      <c r="U65" t="inlineStr">
        <is>
          <t xml:space="preserve">20:03:0000000:857 </t>
        </is>
      </c>
      <c r="V65" t="n">
        <v>0</v>
      </c>
      <c r="Y65" t="n">
        <v>0</v>
      </c>
      <c r="AA65" t="n">
        <v>0</v>
      </c>
      <c r="AB65" t="n">
        <v>0</v>
      </c>
    </row>
    <row r="66">
      <c r="A66" s="7" t="n">
        <v>64</v>
      </c>
      <c r="B66" t="n">
        <v>20</v>
      </c>
      <c r="C66" s="1" t="n">
        <v>428.8</v>
      </c>
      <c r="D66" s="2">
        <f>HYPERLINK("https://torgi.gov.ru/new/public/lots/lot/22000037220000000031_1/(lotInfo:info)", "22000037220000000031_1")</f>
        <v/>
      </c>
      <c r="E66" t="inlineStr">
        <is>
          <t>продажа имущества, находящегося в собственности Чеченской Республики</t>
        </is>
      </c>
      <c r="F66" s="3" t="inlineStr">
        <is>
          <t>05.05.22 15:00</t>
        </is>
      </c>
      <c r="G66" t="inlineStr">
        <is>
          <t>Чеченская Республика, г. Грозный, Ахматовский (Ленинский) район, ул. Моздокская, дом № 34</t>
        </is>
      </c>
      <c r="H66" s="4" t="n">
        <v>4200000</v>
      </c>
      <c r="I66" s="4" t="n">
        <v>9794.776119402984</v>
      </c>
      <c r="J66" t="inlineStr">
        <is>
          <t>Нежилое помещение</t>
        </is>
      </c>
      <c r="K66" s="5" t="n">
        <v>6.08</v>
      </c>
      <c r="L66" s="4" t="n">
        <v>1958.8</v>
      </c>
      <c r="M66" t="n">
        <v>1612</v>
      </c>
      <c r="N66" s="6" t="n">
        <v>301253</v>
      </c>
      <c r="O66" t="n">
        <v>5</v>
      </c>
      <c r="Q66" t="inlineStr">
        <is>
          <t>EA</t>
        </is>
      </c>
      <c r="R66" t="inlineStr">
        <is>
          <t>М</t>
        </is>
      </c>
      <c r="S66" s="2">
        <f>HYPERLINK("https://yandex.ru/maps/?&amp;text=43.33623, 45.67644", "43.33623, 45.67644")</f>
        <v/>
      </c>
      <c r="T66" s="2">
        <f>HYPERLINK("D:\venv_torgi\env\cache\objs_in_district/43.33623_45.67644.json", "43.33623_45.67644.json")</f>
        <v/>
      </c>
      <c r="U66" t="inlineStr">
        <is>
          <t xml:space="preserve">20:17:0219008:120, </t>
        </is>
      </c>
      <c r="V66" t="n">
        <v>0</v>
      </c>
      <c r="Y66" t="n">
        <v>0</v>
      </c>
      <c r="AA66" t="n">
        <v>0</v>
      </c>
      <c r="AB66" t="n">
        <v>0</v>
      </c>
    </row>
    <row r="67">
      <c r="A67" s="7" t="n">
        <v>65</v>
      </c>
      <c r="B67" t="n">
        <v>21</v>
      </c>
      <c r="C67" s="1" t="n">
        <v>401.1</v>
      </c>
      <c r="D67" s="2">
        <f>HYPERLINK("https://torgi.gov.ru/new/public/lots/lot/22000030000000000021_1/(lotInfo:info)", "22000030000000000021_1")</f>
        <v/>
      </c>
      <c r="E67" t="inlineStr">
        <is>
          <t>Муниципальное имущество Яльчикского района, расположенное по адресу: Чувашская Республика-Чувашия, Яльчикский р-н, с.Яльчики, ул. Советская, д.19, пом. 1 и являющееся казной Яльчикского района:помещение  общей площадью 401,1 кв.м. кадастровым номером 21:25:180308:517, запись о регистрации права собственности № 21:25:180308:517-21/042/2021-1 от  23.12.2021.</t>
        </is>
      </c>
      <c r="F67" s="3" t="inlineStr">
        <is>
          <t>05.07.22 20:30</t>
        </is>
      </c>
      <c r="G67" t="inlineStr">
        <is>
          <t>Чувашская республика - Чувашия, село Яльчики, ул Советская, влд 19</t>
        </is>
      </c>
      <c r="H67" s="4" t="n">
        <v>596235</v>
      </c>
      <c r="I67" s="4" t="n">
        <v>1486.499626028422</v>
      </c>
      <c r="J67" t="inlineStr">
        <is>
          <t>Нежилое помещение</t>
        </is>
      </c>
      <c r="K67" s="5" t="n">
        <v>3.62</v>
      </c>
      <c r="L67" s="4" t="n">
        <v>743</v>
      </c>
      <c r="M67" t="n">
        <v>411</v>
      </c>
      <c r="N67" s="6" t="n">
        <v>2342</v>
      </c>
      <c r="O67" t="n">
        <v>2</v>
      </c>
      <c r="Q67" t="inlineStr">
        <is>
          <t>PP</t>
        </is>
      </c>
      <c r="R67" t="inlineStr">
        <is>
          <t>М</t>
        </is>
      </c>
      <c r="S67" s="2">
        <f>HYPERLINK("https://yandex.ru/maps/?&amp;text=55.161923, 48.002807", "55.161923, 48.002807")</f>
        <v/>
      </c>
      <c r="T67" s="2">
        <f>HYPERLINK("D:\venv_torgi\env\cache\objs_in_district/55.161923_48.002807.json", "55.161923_48.002807.json")</f>
        <v/>
      </c>
      <c r="U67" t="inlineStr">
        <is>
          <t xml:space="preserve">21:25:180308:517, </t>
        </is>
      </c>
      <c r="V67" t="n">
        <v>1</v>
      </c>
      <c r="Y67" t="n">
        <v>0</v>
      </c>
      <c r="AA67" t="n">
        <v>0</v>
      </c>
      <c r="AB67" t="n">
        <v>0</v>
      </c>
    </row>
    <row r="68">
      <c r="A68" s="7" t="n">
        <v>66</v>
      </c>
      <c r="B68" t="n">
        <v>21</v>
      </c>
      <c r="C68" s="1" t="n">
        <v>20.1</v>
      </c>
      <c r="D68" s="2">
        <f>HYPERLINK("https://torgi.gov.ru/new/public/lots/lot/21000025550000000031_1/(lotInfo:info)", "21000025550000000031_1")</f>
        <v/>
      </c>
      <c r="E68" t="inlineStr">
        <is>
          <t>нежилое помещение, площадью 20,10 кв. м, расположенное по адресу: Чувашская Республика, г. Новочебоксарск, ул. Строителей, владение 33А, многоэтажная автостоянка  с сервисным обслуживанием, гаражный бокс №71, кадастровый номер 21:02:010510:2846</t>
        </is>
      </c>
      <c r="F68" s="3" t="inlineStr">
        <is>
          <t>13.07.22 14:00</t>
        </is>
      </c>
      <c r="G68" t="inlineStr">
        <is>
          <t>Чувашская республика - Чувашия, г Новочебоксарск, ул Строителей</t>
        </is>
      </c>
      <c r="H68" s="4" t="n">
        <v>302736.95</v>
      </c>
      <c r="I68" s="4" t="n">
        <v>15061.53980099502</v>
      </c>
      <c r="J68" t="inlineStr">
        <is>
          <t>многоэтажная автостоянка</t>
        </is>
      </c>
      <c r="K68" s="5" t="n">
        <v>4.29</v>
      </c>
      <c r="M68" t="n">
        <v>3514</v>
      </c>
      <c r="N68" s="6" t="n">
        <v>126931</v>
      </c>
      <c r="Q68" t="inlineStr">
        <is>
          <t>EA</t>
        </is>
      </c>
      <c r="R68" t="inlineStr">
        <is>
          <t>Д</t>
        </is>
      </c>
      <c r="S68" s="2">
        <f>HYPERLINK("https://yandex.ru/maps/?&amp;text=56.11318, 47.455373", "56.11318, 47.455373")</f>
        <v/>
      </c>
      <c r="U68" t="inlineStr">
        <is>
          <t>21:02:010510:2846</t>
        </is>
      </c>
      <c r="V68" t="n">
        <v>0</v>
      </c>
      <c r="Y68" t="n">
        <v>0</v>
      </c>
      <c r="AA68" t="n">
        <v>0</v>
      </c>
      <c r="AB68" t="n">
        <v>0</v>
      </c>
    </row>
    <row r="69">
      <c r="A69" s="7" t="n">
        <v>67</v>
      </c>
      <c r="B69" t="n">
        <v>21</v>
      </c>
      <c r="C69" s="1" t="n">
        <v>146.3</v>
      </c>
      <c r="D69" s="2">
        <f>HYPERLINK("https://torgi.gov.ru/new/public/lots/lot/21000010370000000036_1/(lotInfo:info)", "21000010370000000036_1")</f>
        <v/>
      </c>
      <c r="E69" t="inlineStr">
        <is>
          <t>Земельный участок, местонахождение установлено относительно ориентира, расположенного в границах участка. Почтовый адрес ориентира: Чувашская Республика-Чувашия, г. Чебоксары, ул. Хузангая, дом 22в, общей площадью 171 кв. м с кадастровым номером 21:01:020906:166, с расположенным на нем следующим объектом недвижимого имущества: нежилое помещение с кадастровым номером 21:01:020906:7931, общей площадью 146,3 кв. м, находящееся по адресу: Чувашская Республика, г. Чебоксары, ул. Хузангая, дом 22в.</t>
        </is>
      </c>
      <c r="F69" s="3" t="inlineStr">
        <is>
          <t>27.06.22 13:00</t>
        </is>
      </c>
      <c r="G69" t="inlineStr">
        <is>
          <t>г Чебоксары, ул Хузангая, д 22</t>
        </is>
      </c>
      <c r="H69" s="4" t="n">
        <v>2219700</v>
      </c>
      <c r="I69" s="4" t="n">
        <v>15172.24880382775</v>
      </c>
      <c r="J69" t="inlineStr">
        <is>
          <t>Нежилое помещение</t>
        </is>
      </c>
      <c r="K69" s="5" t="n">
        <v>2.57</v>
      </c>
      <c r="L69" s="4" t="n">
        <v>758.6</v>
      </c>
      <c r="M69" t="n">
        <v>5895</v>
      </c>
      <c r="N69" s="6" t="n">
        <v>502882</v>
      </c>
      <c r="O69" t="n">
        <v>20</v>
      </c>
      <c r="Q69" t="inlineStr">
        <is>
          <t>PP</t>
        </is>
      </c>
      <c r="R69" t="inlineStr">
        <is>
          <t>М</t>
        </is>
      </c>
      <c r="S69" s="2">
        <f>HYPERLINK("https://yandex.ru/maps/?&amp;text=56.091205, 47.276016", "56.091205, 47.276016")</f>
        <v/>
      </c>
      <c r="T69" s="2">
        <f>HYPERLINK("D:\venv_torgi\env\cache\objs_in_district/56.091205_47.276016.json", "56.091205_47.276016.json")</f>
        <v/>
      </c>
      <c r="U69" t="inlineStr">
        <is>
          <t xml:space="preserve">21:01:020906:166, </t>
        </is>
      </c>
      <c r="V69" t="n">
        <v>1</v>
      </c>
      <c r="Y69" t="n">
        <v>0</v>
      </c>
      <c r="AA69" t="n">
        <v>0</v>
      </c>
      <c r="AB69" t="n">
        <v>1</v>
      </c>
    </row>
    <row r="70">
      <c r="A70" s="7" t="n">
        <v>68</v>
      </c>
      <c r="B70" t="n">
        <v>21</v>
      </c>
      <c r="C70" s="1" t="n">
        <v>44.3</v>
      </c>
      <c r="D70" s="2">
        <f>HYPERLINK("https://torgi.gov.ru/new/public/lots/lot/22000053090000000003_2/(lotInfo:info)", "22000053090000000003_2")</f>
        <v/>
      </c>
      <c r="E70" t="inlineStr">
        <is>
          <t>Муниципальное имущество города Канаш Чувашской Республики - нежилое здание, площадью 44,3 кв.м., расположенное по адресу: Чувашская Республика, город Канаш, ул. Железнодорожная, д. 34, с кадастровым номером 21:04:030201:103.</t>
        </is>
      </c>
      <c r="F70" s="3" t="inlineStr">
        <is>
          <t>27.05.22 14:00</t>
        </is>
      </c>
      <c r="G70" t="inlineStr">
        <is>
          <t>Чувашская республика - Чувашия, г Канаш, ул Железнодорожная, д 34</t>
        </is>
      </c>
      <c r="H70" s="4" t="n">
        <v>697532</v>
      </c>
      <c r="I70" s="4" t="n">
        <v>15745.64334085779</v>
      </c>
      <c r="J70" t="inlineStr">
        <is>
          <t>жилое здание</t>
        </is>
      </c>
      <c r="K70" s="5" t="n">
        <v>7.19</v>
      </c>
      <c r="L70" s="4" t="n">
        <v>3936.25</v>
      </c>
      <c r="M70" t="n">
        <v>2190</v>
      </c>
      <c r="N70" s="6" t="n">
        <v>45482</v>
      </c>
      <c r="O70" t="n">
        <v>4</v>
      </c>
      <c r="Q70" t="inlineStr">
        <is>
          <t>EA</t>
        </is>
      </c>
      <c r="R70" t="inlineStr">
        <is>
          <t>М</t>
        </is>
      </c>
      <c r="S70" s="2">
        <f>HYPERLINK("https://yandex.ru/maps/?&amp;text=55.51748, 47.495303", "55.51748, 47.495303")</f>
        <v/>
      </c>
      <c r="T70" s="2">
        <f>HYPERLINK("D:\venv_torgi\env\cache\objs_in_district/55.51748_47.495303.json", "55.51748_47.495303.json")</f>
        <v/>
      </c>
      <c r="U70" t="inlineStr">
        <is>
          <t>21:04:030201:103</t>
        </is>
      </c>
      <c r="V70" t="n">
        <v>0</v>
      </c>
      <c r="Y70" t="n">
        <v>0</v>
      </c>
      <c r="AA70" t="n">
        <v>0</v>
      </c>
      <c r="AB70" t="n">
        <v>0</v>
      </c>
    </row>
    <row r="71">
      <c r="A71" s="7" t="n">
        <v>69</v>
      </c>
      <c r="B71" t="n">
        <v>21</v>
      </c>
      <c r="C71" s="1" t="n">
        <v>150.6</v>
      </c>
      <c r="D71" s="2">
        <f>HYPERLINK("https://torgi.gov.ru/new/public/lots/lot/21000025550000000028_13/(lotInfo:info)", "21000025550000000028_13")</f>
        <v/>
      </c>
      <c r="E71" t="inlineStr">
        <is>
          <t>нежилое помещение, площадью 150,60 кв. м, расположенное по адресу: Чувашская Республиа, г. Чебоксары, ул. Сельская, д. 39, пом. 3, кадастровый номер 21:01:010103:1379</t>
        </is>
      </c>
      <c r="F71" s="3" t="inlineStr">
        <is>
          <t>04.07.22 14:00</t>
        </is>
      </c>
      <c r="G71" t="inlineStr">
        <is>
          <t>г Чебоксары, ул Сельская, д 39</t>
        </is>
      </c>
      <c r="H71" s="4" t="n">
        <v>2494933</v>
      </c>
      <c r="I71" s="4" t="n">
        <v>16566.62018592298</v>
      </c>
      <c r="J71" t="inlineStr">
        <is>
          <t>Нежилое помещение</t>
        </is>
      </c>
      <c r="K71" s="5" t="n">
        <v>3.03</v>
      </c>
      <c r="L71" s="4" t="n">
        <v>447.73</v>
      </c>
      <c r="M71" t="n">
        <v>5472</v>
      </c>
      <c r="N71" s="6" t="n">
        <v>502882</v>
      </c>
      <c r="O71" t="n">
        <v>37</v>
      </c>
      <c r="Q71" t="inlineStr">
        <is>
          <t>EA</t>
        </is>
      </c>
      <c r="R71" t="inlineStr">
        <is>
          <t>Д</t>
        </is>
      </c>
      <c r="S71" s="2">
        <f>HYPERLINK("https://yandex.ru/maps/?&amp;text=56.15064, 47.183184", "56.15064, 47.183184")</f>
        <v/>
      </c>
      <c r="T71" s="2">
        <f>HYPERLINK("D:\venv_torgi\env\cache\objs_in_district/56.15064_47.183184.json", "56.15064_47.183184.json")</f>
        <v/>
      </c>
      <c r="U71" t="inlineStr">
        <is>
          <t>21:01:010103:1379</t>
        </is>
      </c>
      <c r="V71" t="n">
        <v>0</v>
      </c>
      <c r="Y71" t="n">
        <v>0</v>
      </c>
      <c r="AA71" t="n">
        <v>0</v>
      </c>
      <c r="AB71" t="n">
        <v>0</v>
      </c>
    </row>
    <row r="72">
      <c r="A72" s="7" t="n">
        <v>70</v>
      </c>
      <c r="B72" t="n">
        <v>21</v>
      </c>
      <c r="C72" s="1" t="n">
        <v>31.2</v>
      </c>
      <c r="D72" s="2">
        <f>HYPERLINK("https://torgi.gov.ru/new/public/lots/lot/22000012370000000016_1/(lotInfo:info)", "22000012370000000016_1")</f>
        <v/>
      </c>
      <c r="E72" t="inlineStr">
        <is>
          <t>Муниципальное имущество города Шумерля Чувашской Республики: нежилое помещение в многоквартирном доме общей площадью 31,2 кв.м, кадастровый номер: 21:05:010119:220, расположенное по адресу: Чувашская Республика, город Шумерля, улица Карла Маркса, дом 21.</t>
        </is>
      </c>
      <c r="F72" s="3" t="inlineStr">
        <is>
          <t>25.07.22 13:00</t>
        </is>
      </c>
      <c r="G72" t="inlineStr">
        <is>
          <t>Чувашская республика - Чувашия, г Шумерля, ул Карла Маркса, д 21</t>
        </is>
      </c>
      <c r="H72" s="4" t="n">
        <v>579068</v>
      </c>
      <c r="I72" s="4" t="n">
        <v>18559.8717948718</v>
      </c>
      <c r="J72" t="inlineStr">
        <is>
          <t>Нежилое помещение</t>
        </is>
      </c>
      <c r="K72" s="5" t="n">
        <v>7.81</v>
      </c>
      <c r="L72" s="4" t="n">
        <v>598.6799999999999</v>
      </c>
      <c r="M72" t="n">
        <v>2376</v>
      </c>
      <c r="N72" s="6" t="n">
        <v>29071</v>
      </c>
      <c r="O72" t="n">
        <v>31</v>
      </c>
      <c r="Q72" t="inlineStr">
        <is>
          <t>PP</t>
        </is>
      </c>
      <c r="R72" t="inlineStr">
        <is>
          <t>М</t>
        </is>
      </c>
      <c r="S72" s="2">
        <f>HYPERLINK("https://yandex.ru/maps/?&amp;text=55.492447, 46.414288", "55.492447, 46.414288")</f>
        <v/>
      </c>
      <c r="T72" s="2">
        <f>HYPERLINK("D:\venv_torgi\env\cache\objs_in_district/55.492447_46.414288.json", "55.492447_46.414288.json")</f>
        <v/>
      </c>
      <c r="U72" t="inlineStr">
        <is>
          <t xml:space="preserve">21:05:010119:220, </t>
        </is>
      </c>
      <c r="V72" t="n">
        <v>1</v>
      </c>
      <c r="Y72" t="n">
        <v>0</v>
      </c>
      <c r="AA72" t="n">
        <v>0</v>
      </c>
      <c r="AB72" t="n">
        <v>0</v>
      </c>
    </row>
    <row r="73">
      <c r="A73" s="7" t="n">
        <v>71</v>
      </c>
      <c r="B73" t="n">
        <v>21</v>
      </c>
      <c r="C73" s="1" t="n">
        <v>117.6</v>
      </c>
      <c r="D73" s="2">
        <f>HYPERLINK("https://torgi.gov.ru/new/public/lots/lot/22000053090000000003_1/(lotInfo:info)", "22000053090000000003_1")</f>
        <v/>
      </c>
      <c r="E73" t="inlineStr">
        <is>
          <t>Нежилое здание, площадью 117,6 кв.м., расположенное по адресу: Чувашская Республика, город Канаш, ул. Железнодорожная, д. 34, с кадастровым номером 21:04:010414:302</t>
        </is>
      </c>
      <c r="F73" s="3" t="inlineStr">
        <is>
          <t>27.05.22 14:00</t>
        </is>
      </c>
      <c r="G73" t="inlineStr">
        <is>
          <t>Чувашская республика - Чувашия, г Канаш, ул Железнодорожная, д 34</t>
        </is>
      </c>
      <c r="H73" s="4" t="n">
        <v>2374350</v>
      </c>
      <c r="I73" s="4" t="n">
        <v>20190.05102040817</v>
      </c>
      <c r="J73" t="inlineStr">
        <is>
          <t>жилое здание</t>
        </is>
      </c>
      <c r="K73" s="5" t="n">
        <v>9.220000000000001</v>
      </c>
      <c r="L73" s="4" t="n">
        <v>5047.5</v>
      </c>
      <c r="M73" t="n">
        <v>2190</v>
      </c>
      <c r="N73" s="6" t="n">
        <v>45482</v>
      </c>
      <c r="O73" t="n">
        <v>4</v>
      </c>
      <c r="Q73" t="inlineStr">
        <is>
          <t>EA</t>
        </is>
      </c>
      <c r="R73" t="inlineStr">
        <is>
          <t>М</t>
        </is>
      </c>
      <c r="S73" s="2">
        <f>HYPERLINK("https://yandex.ru/maps/?&amp;text=55.51748, 47.495303", "55.51748, 47.495303")</f>
        <v/>
      </c>
      <c r="T73" s="2">
        <f>HYPERLINK("D:\venv_torgi\env\cache\objs_in_district/55.51748_47.495303.json", "55.51748_47.495303.json")</f>
        <v/>
      </c>
      <c r="U73" t="inlineStr">
        <is>
          <t>21:04:010414:302</t>
        </is>
      </c>
      <c r="V73" t="n">
        <v>0</v>
      </c>
      <c r="Y73" t="n">
        <v>0</v>
      </c>
      <c r="AA73" t="n">
        <v>0</v>
      </c>
      <c r="AB73" t="n">
        <v>0</v>
      </c>
    </row>
    <row r="74">
      <c r="A74" s="7" t="n">
        <v>72</v>
      </c>
      <c r="B74" t="n">
        <v>21</v>
      </c>
      <c r="C74" s="1" t="n">
        <v>46.5</v>
      </c>
      <c r="D74" s="2">
        <f>HYPERLINK("https://torgi.gov.ru/new/public/lots/lot/22000003210000000001_1/(lotInfo:info)", "22000003210000000001_1")</f>
        <v/>
      </c>
      <c r="E74" t="inlineStr">
        <is>
          <t>Муниципальное имущество города Алатыря Чувашской Республики, нежилое помещение с кадастровым номером 21:03:010406:659, общей площадью 46,5 кв. метра, расположенное по адресу: Чувашская Республика - Чувашия, г. Алатырь, ул. Первомайская, д. 78,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      </is>
      </c>
      <c r="F74" s="3" t="inlineStr">
        <is>
          <t>22.02.22 14:00</t>
        </is>
      </c>
      <c r="G74" t="inlineStr">
        <is>
          <t>Чувашская республика - Чувашия, г Алатырь, ул Первомайская, д 78</t>
        </is>
      </c>
      <c r="H74" s="4" t="n">
        <v>1000000</v>
      </c>
      <c r="I74" s="4" t="n">
        <v>21505.37634408602</v>
      </c>
      <c r="J74" t="inlineStr">
        <is>
          <t>Нежилое помещение</t>
        </is>
      </c>
      <c r="K74" s="5" t="n">
        <v>8.890000000000001</v>
      </c>
      <c r="L74" s="4" t="n">
        <v>398.24</v>
      </c>
      <c r="M74" t="n">
        <v>2420</v>
      </c>
      <c r="N74" s="6" t="n">
        <v>34785</v>
      </c>
      <c r="O74" t="n">
        <v>54</v>
      </c>
      <c r="Q74" t="inlineStr">
        <is>
          <t>EA</t>
        </is>
      </c>
      <c r="R74" t="inlineStr">
        <is>
          <t>М</t>
        </is>
      </c>
      <c r="S74" s="2">
        <f>HYPERLINK("https://yandex.ru/maps/?&amp;text=54.841947, 46.585903", "54.841947, 46.585903")</f>
        <v/>
      </c>
      <c r="T74" s="2">
        <f>HYPERLINK("D:\venv_torgi\env\cache\objs_in_district/54.841947_46.585903.json", "54.841947_46.585903.json")</f>
        <v/>
      </c>
      <c r="U74" t="inlineStr">
        <is>
          <t xml:space="preserve">21:03:010406:659, </t>
        </is>
      </c>
      <c r="V74" t="n">
        <v>1</v>
      </c>
      <c r="Y74" t="n">
        <v>0</v>
      </c>
      <c r="AA74" t="n">
        <v>0</v>
      </c>
      <c r="AB74" t="n">
        <v>0</v>
      </c>
    </row>
    <row r="75">
      <c r="A75" s="7" t="n">
        <v>73</v>
      </c>
      <c r="B75" t="n">
        <v>21</v>
      </c>
      <c r="C75" s="1" t="n">
        <v>194.7</v>
      </c>
      <c r="D75" s="2">
        <f>HYPERLINK("https://torgi.gov.ru/new/public/lots/lot/22000053090000000001_1/(lotInfo:info)", "22000053090000000001_1")</f>
        <v/>
      </c>
      <c r="E75" t="inlineStr">
        <is>
          <t>Нежилое здание, площадью 194,7 кв.м., расположенное по адресу: Чувашская Республика, город Канаш, ул. Чкалова, д. 2.</t>
        </is>
      </c>
      <c r="F75" s="3" t="inlineStr">
        <is>
          <t>21.03.22 14:00</t>
        </is>
      </c>
      <c r="G75" t="inlineStr">
        <is>
          <t>Чувашская республика - Чувашия, г Канаш, ул Чкалова, д 2</t>
        </is>
      </c>
      <c r="H75" s="4" t="n">
        <v>5085615</v>
      </c>
      <c r="I75" s="4" t="n">
        <v>26120.26194144839</v>
      </c>
      <c r="J75" t="inlineStr">
        <is>
          <t>жилое здание</t>
        </is>
      </c>
      <c r="K75" s="5" t="n">
        <v>12.62</v>
      </c>
      <c r="L75" s="4" t="n">
        <v>1536.47</v>
      </c>
      <c r="M75" t="n">
        <v>2070</v>
      </c>
      <c r="N75" s="6" t="n">
        <v>45482</v>
      </c>
      <c r="O75" t="n">
        <v>17</v>
      </c>
      <c r="Q75" t="inlineStr">
        <is>
          <t>EA</t>
        </is>
      </c>
      <c r="R75" t="inlineStr">
        <is>
          <t>М</t>
        </is>
      </c>
      <c r="S75" s="2">
        <f>HYPERLINK("https://yandex.ru/maps/?&amp;text=55.515273, 47.503137", "55.515273, 47.503137")</f>
        <v/>
      </c>
      <c r="T75" s="2">
        <f>HYPERLINK("D:\venv_torgi\env\cache\objs_in_district/55.515273_47.503137.json", "55.515273_47.503137.json")</f>
        <v/>
      </c>
      <c r="U75" t="inlineStr">
        <is>
          <t>21:04:060109:33</t>
        </is>
      </c>
      <c r="V75" t="n">
        <v>0</v>
      </c>
      <c r="Y75" t="n">
        <v>0</v>
      </c>
      <c r="AA75" t="n">
        <v>0</v>
      </c>
      <c r="AB75" t="n">
        <v>0</v>
      </c>
    </row>
    <row r="76">
      <c r="A76" s="7" t="n">
        <v>74</v>
      </c>
      <c r="B76" t="n">
        <v>21</v>
      </c>
      <c r="C76" s="1" t="n">
        <v>156.5</v>
      </c>
      <c r="D76" s="2">
        <f>HYPERLINK("https://torgi.gov.ru/new/public/lots/lot/22000089360000000001_1/(lotInfo:info)", "22000089360000000001_1")</f>
        <v/>
      </c>
      <c r="E76" t="inlineStr">
        <is>
          <t>Помещение, назначение: нежилое, этажей: 1, расположенное по адресу: Чувашская Республика, г. Новочебоксарск, ул. Южная, д. 6, пом. 165</t>
        </is>
      </c>
      <c r="F76" s="3" t="inlineStr">
        <is>
          <t>11.08.22 20:59</t>
        </is>
      </c>
      <c r="G76" t="inlineStr">
        <is>
          <t>Чувашская республика - Чувашия, г Новочебоксарск, ул Южная, д 6</t>
        </is>
      </c>
      <c r="H76" s="4" t="n">
        <v>4186000</v>
      </c>
      <c r="I76" s="4" t="n">
        <v>26747.60383386581</v>
      </c>
      <c r="J76" t="inlineStr">
        <is>
          <t>Нежилое помещение</t>
        </is>
      </c>
      <c r="K76" s="5" t="n">
        <v>5.3</v>
      </c>
      <c r="L76" s="4" t="n">
        <v>6686.75</v>
      </c>
      <c r="M76" t="n">
        <v>5042</v>
      </c>
      <c r="N76" s="6" t="n">
        <v>126931</v>
      </c>
      <c r="O76" t="n">
        <v>4</v>
      </c>
      <c r="Q76" t="inlineStr">
        <is>
          <t>EA</t>
        </is>
      </c>
      <c r="R76" t="inlineStr">
        <is>
          <t>М</t>
        </is>
      </c>
      <c r="S76" s="2">
        <f>HYPERLINK("https://yandex.ru/maps/?&amp;text=56.1064309, 47.4447934", "56.1064309, 47.4447934")</f>
        <v/>
      </c>
      <c r="T76" s="2">
        <f>HYPERLINK("D:\venv_torgi\env\cache\objs_in_district/56.1064309_47.4447934.json", "56.1064309_47.4447934.json")</f>
        <v/>
      </c>
      <c r="V76" t="n">
        <v>1</v>
      </c>
      <c r="Y76" t="n">
        <v>0</v>
      </c>
      <c r="AA76" t="n">
        <v>0</v>
      </c>
      <c r="AB76" t="n">
        <v>0</v>
      </c>
    </row>
    <row r="77">
      <c r="A77" s="7" t="n">
        <v>75</v>
      </c>
      <c r="B77" t="n">
        <v>21</v>
      </c>
      <c r="C77" s="1" t="n">
        <v>194.7</v>
      </c>
      <c r="D77" s="2">
        <f>HYPERLINK("https://torgi.gov.ru/new/public/lots/lot/22000053090000000002_1/(lotInfo:info)", "22000053090000000002_1")</f>
        <v/>
      </c>
      <c r="E77" t="inlineStr">
        <is>
          <t>Нежилое здание, площадью 194,7 кв.м., расположенное по адресу: Чувашская Республика, город Канаш, ул. Чкалова, д. 2, с кадастровым номером 21:04:060109:33.</t>
        </is>
      </c>
      <c r="F77" s="3" t="inlineStr">
        <is>
          <t>19.05.22 14:00</t>
        </is>
      </c>
      <c r="G77" t="inlineStr">
        <is>
          <t>Чувашская республика - Чувашия, г Канаш, ул Чкалова, д 2</t>
        </is>
      </c>
      <c r="H77" s="4" t="n">
        <v>5546199</v>
      </c>
      <c r="I77" s="4" t="n">
        <v>28485.87057010786</v>
      </c>
      <c r="J77" t="inlineStr">
        <is>
          <t>жилое здание</t>
        </is>
      </c>
      <c r="K77" s="5" t="n">
        <v>13.76</v>
      </c>
      <c r="L77" s="4" t="n">
        <v>1675.59</v>
      </c>
      <c r="M77" t="n">
        <v>2070</v>
      </c>
      <c r="N77" s="6" t="n">
        <v>45482</v>
      </c>
      <c r="O77" t="n">
        <v>17</v>
      </c>
      <c r="Q77" t="inlineStr">
        <is>
          <t>EA</t>
        </is>
      </c>
      <c r="R77" t="inlineStr">
        <is>
          <t>М</t>
        </is>
      </c>
      <c r="S77" s="2">
        <f>HYPERLINK("https://yandex.ru/maps/?&amp;text=55.515273, 47.503137", "55.515273, 47.503137")</f>
        <v/>
      </c>
      <c r="T77" s="2">
        <f>HYPERLINK("D:\venv_torgi\env\cache\objs_in_district/55.515273_47.503137.json", "55.515273_47.503137.json")</f>
        <v/>
      </c>
      <c r="U77" t="inlineStr">
        <is>
          <t>21:04:060109:33</t>
        </is>
      </c>
      <c r="V77" t="n">
        <v>1</v>
      </c>
      <c r="Y77" t="n">
        <v>0</v>
      </c>
      <c r="AA77" t="n">
        <v>0</v>
      </c>
      <c r="AB77" t="n">
        <v>0</v>
      </c>
    </row>
    <row r="78">
      <c r="A78" s="7" t="n">
        <v>76</v>
      </c>
      <c r="B78" t="n">
        <v>21</v>
      </c>
      <c r="C78" s="1" t="n">
        <v>126.2</v>
      </c>
      <c r="D78" s="2">
        <f>HYPERLINK("https://torgi.gov.ru/new/public/lots/lot/21000025550000000040_9/(lotInfo:info)", "21000025550000000040_9")</f>
        <v/>
      </c>
      <c r="E78" t="inlineStr">
        <is>
          <t>Нежилое помещение, площадью 126,20 кв. м, расположенное по адресу: Чувашская Республика, г. Чебоксары, ул. Ленинского Комсомола, д. 25, корп. 1, пом. 10.11, кадастровый номер 21:01:030310:2538</t>
        </is>
      </c>
      <c r="F78" s="3" t="inlineStr">
        <is>
          <t>01.08.22 14:00</t>
        </is>
      </c>
      <c r="G78" t="inlineStr">
        <is>
          <t>г Чебоксары, ул Ленинского Комсомола, д 25 к 1</t>
        </is>
      </c>
      <c r="H78" s="4" t="n">
        <v>4785467</v>
      </c>
      <c r="I78" s="4" t="n">
        <v>37919.70681458003</v>
      </c>
      <c r="J78" t="inlineStr">
        <is>
          <t>Нежилое помещение</t>
        </is>
      </c>
      <c r="K78" s="5" t="n">
        <v>4.52</v>
      </c>
      <c r="L78" s="4" t="n">
        <v>1223.19</v>
      </c>
      <c r="M78" t="n">
        <v>8385</v>
      </c>
      <c r="N78" s="6" t="n">
        <v>502882</v>
      </c>
      <c r="O78" t="n">
        <v>31</v>
      </c>
      <c r="Q78" t="inlineStr">
        <is>
          <t>EA</t>
        </is>
      </c>
      <c r="R78" t="inlineStr">
        <is>
          <t>Д</t>
        </is>
      </c>
      <c r="S78" s="2">
        <f>HYPERLINK("https://yandex.ru/maps/?&amp;text=56.108337, 47.288547", "56.108337, 47.288547")</f>
        <v/>
      </c>
      <c r="T78" s="2">
        <f>HYPERLINK("D:\venv_torgi\env\cache\objs_in_district/56.108337_47.288547.json", "56.108337_47.288547.json")</f>
        <v/>
      </c>
      <c r="U78" t="inlineStr">
        <is>
          <t>21:01:030310:2538</t>
        </is>
      </c>
      <c r="V78" t="n">
        <v>0</v>
      </c>
      <c r="Y78" t="n">
        <v>0</v>
      </c>
      <c r="AA78" t="n">
        <v>0</v>
      </c>
      <c r="AB78" t="n">
        <v>0</v>
      </c>
    </row>
    <row r="79">
      <c r="A79" s="7" t="n">
        <v>77</v>
      </c>
      <c r="B79" t="n">
        <v>21</v>
      </c>
      <c r="C79" s="1" t="n">
        <v>108.6</v>
      </c>
      <c r="D79" s="2">
        <f>HYPERLINK("https://torgi.gov.ru/new/public/lots/lot/21000010370000000033_1/(lotInfo:info)", "21000010370000000033_1")</f>
        <v/>
      </c>
      <c r="E79" t="inlineStr">
        <is>
          <t>Нежилое помещение № 1 с кадастровым номером 21:01:030405:6161, общей площадью 108,6 кв. м, расположенное на первом этаже жилого пятиэтажного панельного дома (литера А), находящегося по адресу: Чувашская Республика, г. Чебоксары, ул. Кадыкова, д. 12.</t>
        </is>
      </c>
      <c r="F79" s="3" t="inlineStr">
        <is>
          <t>14.06.22 13:00</t>
        </is>
      </c>
      <c r="G79" t="inlineStr">
        <is>
          <t>г Чебоксары, ул Кадыкова, д 12</t>
        </is>
      </c>
      <c r="H79" s="4" t="n">
        <v>4502700</v>
      </c>
      <c r="I79" s="4" t="n">
        <v>41461.32596685083</v>
      </c>
      <c r="J79" t="inlineStr">
        <is>
          <t>Нежилое помещение</t>
        </is>
      </c>
      <c r="K79" s="5" t="n">
        <v>5.03</v>
      </c>
      <c r="L79" s="4" t="n">
        <v>1184.6</v>
      </c>
      <c r="M79" t="n">
        <v>8235</v>
      </c>
      <c r="N79" s="6" t="n">
        <v>502882</v>
      </c>
      <c r="O79" t="n">
        <v>35</v>
      </c>
      <c r="Q79" t="inlineStr">
        <is>
          <t>PP</t>
        </is>
      </c>
      <c r="R79" t="inlineStr">
        <is>
          <t>М</t>
        </is>
      </c>
      <c r="S79" s="2">
        <f>HYPERLINK("https://yandex.ru/maps/?&amp;text=56.10183, 47.294243", "56.10183, 47.294243")</f>
        <v/>
      </c>
      <c r="T79" s="2">
        <f>HYPERLINK("D:\venv_torgi\env\cache\objs_in_district/56.10183_47.294243.json", "56.10183_47.294243.json")</f>
        <v/>
      </c>
      <c r="U79" t="inlineStr">
        <is>
          <t xml:space="preserve">21:01:030405:6161, </t>
        </is>
      </c>
      <c r="V79" t="n">
        <v>1</v>
      </c>
      <c r="Y79" t="n">
        <v>0</v>
      </c>
      <c r="AA79" t="n">
        <v>0</v>
      </c>
      <c r="AB79" t="n">
        <v>0</v>
      </c>
    </row>
    <row r="80">
      <c r="A80" s="7" t="n">
        <v>78</v>
      </c>
      <c r="B80" t="n">
        <v>21</v>
      </c>
      <c r="C80" s="1" t="n">
        <v>59.9</v>
      </c>
      <c r="D80" s="2">
        <f>HYPERLINK("https://torgi.gov.ru/new/public/lots/lot/22000053090000000003_3/(lotInfo:info)", "22000053090000000003_3")</f>
        <v/>
      </c>
      <c r="E80" t="inlineStr">
        <is>
          <t>Нежилое помещение, площадью 59,9 кв.м., расположенное по адресу: Чувашская Республика, город Канаш, пр. Ленина, д. 22, пом. 4, с кадастровым номером 21:04:060202:3462</t>
        </is>
      </c>
      <c r="F80" s="3" t="inlineStr">
        <is>
          <t>27.05.22 14:00</t>
        </is>
      </c>
      <c r="G80" t="inlineStr">
        <is>
          <t>Чувашская республика - Чувашия, г Канаш, пр-кт Ленина, д 22</t>
        </is>
      </c>
      <c r="H80" s="4" t="n">
        <v>2607975</v>
      </c>
      <c r="I80" s="4" t="n">
        <v>43538.81469115192</v>
      </c>
      <c r="J80" t="inlineStr">
        <is>
          <t>Нежилое помещение</t>
        </is>
      </c>
      <c r="K80" s="5" t="n">
        <v>9.66</v>
      </c>
      <c r="L80" s="4" t="n">
        <v>649.8200000000001</v>
      </c>
      <c r="M80" t="n">
        <v>4509</v>
      </c>
      <c r="N80" s="6" t="n">
        <v>45482</v>
      </c>
      <c r="O80" t="n">
        <v>67</v>
      </c>
      <c r="Q80" t="inlineStr">
        <is>
          <t>EA</t>
        </is>
      </c>
      <c r="R80" t="inlineStr">
        <is>
          <t>М</t>
        </is>
      </c>
      <c r="S80" s="2">
        <f>HYPERLINK("https://yandex.ru/maps/?&amp;text=55.510136, 47.502068", "55.510136, 47.502068")</f>
        <v/>
      </c>
      <c r="T80" s="2">
        <f>HYPERLINK("D:\venv_torgi\env\cache\objs_in_district/55.510136_47.502068.json", "55.510136_47.502068.json")</f>
        <v/>
      </c>
      <c r="U80" t="inlineStr">
        <is>
          <t>21:04:060202:3462</t>
        </is>
      </c>
      <c r="V80" t="n">
        <v>0</v>
      </c>
      <c r="Y80" t="n">
        <v>0</v>
      </c>
      <c r="AA80" t="n">
        <v>0</v>
      </c>
      <c r="AB80" t="n">
        <v>0</v>
      </c>
    </row>
    <row r="81">
      <c r="A81" s="7" t="n">
        <v>79</v>
      </c>
      <c r="B81" t="n">
        <v>21</v>
      </c>
      <c r="C81" s="1" t="n">
        <v>154.6</v>
      </c>
      <c r="D81" s="2">
        <f>HYPERLINK("https://torgi.gov.ru/new/public/lots/lot/21000025550000000040_6/(lotInfo:info)", "21000025550000000040_6")</f>
        <v/>
      </c>
      <c r="E81" t="inlineStr">
        <is>
          <t>Нежилое помещение, площадью 154,60 кв. м, расположенное по адресу: Чувашская Республика, г. Чебоксары, ул. Ленинского Комсомола, д. 25, корп. 2, пом. 9, кадастровый номер: 21:01:030310:2749</t>
        </is>
      </c>
      <c r="F81" s="3" t="inlineStr">
        <is>
          <t>01.08.22 14:00</t>
        </is>
      </c>
      <c r="G81" t="inlineStr">
        <is>
          <t>г Чебоксары, ул Ленинского Комсомола, д 25 к 2</t>
        </is>
      </c>
      <c r="H81" s="4" t="n">
        <v>7195267</v>
      </c>
      <c r="I81" s="4" t="n">
        <v>46541.18369987063</v>
      </c>
      <c r="J81" t="inlineStr">
        <is>
          <t>Нежилое помещение</t>
        </is>
      </c>
      <c r="K81" s="5" t="n">
        <v>5.89</v>
      </c>
      <c r="L81" s="4" t="n">
        <v>1604.86</v>
      </c>
      <c r="M81" t="n">
        <v>7905</v>
      </c>
      <c r="N81" s="6" t="n">
        <v>502882</v>
      </c>
      <c r="O81" t="n">
        <v>29</v>
      </c>
      <c r="Q81" t="inlineStr">
        <is>
          <t>EA</t>
        </is>
      </c>
      <c r="R81" t="inlineStr">
        <is>
          <t>Д</t>
        </is>
      </c>
      <c r="S81" s="2">
        <f>HYPERLINK("https://yandex.ru/maps/?&amp;text=56.108422, 47.289508", "56.108422, 47.289508")</f>
        <v/>
      </c>
      <c r="T81" s="2">
        <f>HYPERLINK("D:\venv_torgi\env\cache\objs_in_district/56.108422_47.289508.json", "56.108422_47.289508.json")</f>
        <v/>
      </c>
      <c r="U81" t="inlineStr">
        <is>
          <t>21:01:030310:2749</t>
        </is>
      </c>
      <c r="V81" t="n">
        <v>0</v>
      </c>
      <c r="Y81" t="n">
        <v>0</v>
      </c>
      <c r="AA81" t="n">
        <v>0</v>
      </c>
      <c r="AB81" t="n">
        <v>0</v>
      </c>
    </row>
    <row r="82">
      <c r="A82" s="7" t="n">
        <v>80</v>
      </c>
      <c r="B82" t="n">
        <v>21</v>
      </c>
      <c r="C82" s="1" t="n">
        <v>143.6</v>
      </c>
      <c r="D82" s="2">
        <f>HYPERLINK("https://torgi.gov.ru/new/public/lots/lot/21000025550000000040_7/(lotInfo:info)", "21000025550000000040_7")</f>
        <v/>
      </c>
      <c r="E82" t="inlineStr">
        <is>
          <t>Нежилое помещение, площадью 143,60 кв. м, расположенное по адресу: Чувашская Республика, г. Чебоксары, ул. Ленинского Комсомола, д. 25, корп. 1, пом. 10.12, кадастровый номер 21:01:030310:2539</t>
        </is>
      </c>
      <c r="F82" s="3" t="inlineStr">
        <is>
          <t>01.08.22 14:00</t>
        </is>
      </c>
      <c r="G82" t="inlineStr">
        <is>
          <t>г Чебоксары, ул Ленинского Комсомола, д 25 к 1</t>
        </is>
      </c>
      <c r="H82" s="4" t="n">
        <v>6787133</v>
      </c>
      <c r="I82" s="4" t="n">
        <v>47264.1573816156</v>
      </c>
      <c r="J82" t="inlineStr">
        <is>
          <t>Нежилое помещение</t>
        </is>
      </c>
      <c r="K82" s="5" t="n">
        <v>5.64</v>
      </c>
      <c r="L82" s="4" t="n">
        <v>1524.65</v>
      </c>
      <c r="M82" t="n">
        <v>8385</v>
      </c>
      <c r="N82" s="6" t="n">
        <v>502882</v>
      </c>
      <c r="O82" t="n">
        <v>31</v>
      </c>
      <c r="Q82" t="inlineStr">
        <is>
          <t>EA</t>
        </is>
      </c>
      <c r="R82" t="inlineStr">
        <is>
          <t>Д</t>
        </is>
      </c>
      <c r="S82" s="2">
        <f>HYPERLINK("https://yandex.ru/maps/?&amp;text=56.108337, 47.288547", "56.108337, 47.288547")</f>
        <v/>
      </c>
      <c r="T82" s="2">
        <f>HYPERLINK("D:\venv_torgi\env\cache\objs_in_district/56.108337_47.288547.json", "56.108337_47.288547.json")</f>
        <v/>
      </c>
      <c r="U82" t="inlineStr">
        <is>
          <t>21:01:030310:2539</t>
        </is>
      </c>
      <c r="V82" t="n">
        <v>0</v>
      </c>
      <c r="Y82" t="n">
        <v>0</v>
      </c>
      <c r="AA82" t="n">
        <v>0</v>
      </c>
      <c r="AB82" t="n">
        <v>0</v>
      </c>
    </row>
    <row r="83">
      <c r="A83" s="7" t="n">
        <v>81</v>
      </c>
      <c r="B83" t="n">
        <v>22</v>
      </c>
      <c r="C83" s="1" t="n">
        <v>491.1</v>
      </c>
      <c r="D83" s="2">
        <f>HYPERLINK("https://torgi.gov.ru/new/public/lots/lot/22000022080000000003_2/(lotInfo:info)", "22000022080000000003_2")</f>
        <v/>
      </c>
      <c r="E83" t="inlineStr">
        <is>
          <t>Нежилое здание с кадастровым номером: 22:43:060127:220, общей площадью 491,1 кв.м., расположенное по адресу: Алтайский край, Солонешенский район, с. Солонешное, ул. 1-я Целинная, д. 9 и земельный участок, общей площадью 10549 кв.м., с кадастровым номером 22:43:060127:432, расположенный по адресу: Алтайский край, Солонешенский район, с. Солонешное, ул. 1-я Целинная, д. 9/2.</t>
        </is>
      </c>
      <c r="F83" s="3" t="inlineStr">
        <is>
          <t>17.07.22 21:00</t>
        </is>
      </c>
      <c r="G83" t="inlineStr">
        <is>
          <t>Алтайский край, село Солонешное, ул 1-я Целинная, зд 9</t>
        </is>
      </c>
      <c r="H83" s="4" t="n">
        <v>536327.4</v>
      </c>
      <c r="I83" s="4" t="n">
        <v>1092.094074526573</v>
      </c>
      <c r="J83" t="inlineStr">
        <is>
          <t>жилое здание</t>
        </is>
      </c>
      <c r="K83" s="5" t="n">
        <v>5.6</v>
      </c>
      <c r="L83" s="4" t="n">
        <v>546</v>
      </c>
      <c r="M83" t="n">
        <v>195</v>
      </c>
      <c r="N83" s="6" t="n">
        <v>3591</v>
      </c>
      <c r="O83" t="n">
        <v>2</v>
      </c>
      <c r="Q83" t="inlineStr">
        <is>
          <t>EA</t>
        </is>
      </c>
      <c r="R83" t="inlineStr">
        <is>
          <t>М</t>
        </is>
      </c>
      <c r="S83" s="2">
        <f>HYPERLINK("https://yandex.ru/maps/?&amp;text=51.640116, 84.329213", "51.640116, 84.329213")</f>
        <v/>
      </c>
      <c r="T83" s="2">
        <f>HYPERLINK("D:\venv_torgi\env\cache\objs_in_district/51.640116_84.329213.json", "51.640116_84.329213.json")</f>
        <v/>
      </c>
      <c r="U83" t="inlineStr">
        <is>
          <t xml:space="preserve">22:43:060127:220, </t>
        </is>
      </c>
      <c r="V83" t="n">
        <v>1</v>
      </c>
      <c r="Y83" t="n">
        <v>0</v>
      </c>
      <c r="AA83" t="n">
        <v>0</v>
      </c>
      <c r="AB83" t="n">
        <v>1</v>
      </c>
    </row>
    <row r="84">
      <c r="A84" s="7" t="n">
        <v>82</v>
      </c>
      <c r="B84" t="n">
        <v>22</v>
      </c>
      <c r="C84" s="1" t="n">
        <v>533.22</v>
      </c>
      <c r="D84" s="2">
        <f>HYPERLINK("https://torgi.gov.ru/new/public/lots/lot/22000022080000000003_1/(lotInfo:info)", "22000022080000000003_1")</f>
        <v/>
      </c>
      <c r="E84" t="inlineStr">
        <is>
          <t>Нежилое здание с кадастровым номером: 22:43:060127:219, общей площадью 533,2 кв.м., расположенное по адресу: Алтайский край, Солонешенский район, с. Солонешное, ул. 1-я Целинная, д. 9 и земельный участок, общей площадью 6307 кв.м., с кадастровым номером 22:43:060127:433, расположенный по адресу: Алтайский край, Солонешенский район, с. Солонешное, ул. 1-я Целинная, д. 9/1.</t>
        </is>
      </c>
      <c r="F84" s="3" t="inlineStr">
        <is>
          <t>17.07.22 21:00</t>
        </is>
      </c>
      <c r="G84" t="inlineStr">
        <is>
          <t>Алтайский край, село Солонешное, ул 1-я Целинная, зд 9</t>
        </is>
      </c>
      <c r="H84" s="4" t="n">
        <v>803597.4</v>
      </c>
      <c r="I84" s="4" t="n">
        <v>1507.065376392483</v>
      </c>
      <c r="J84" t="inlineStr">
        <is>
          <t>жилое здание</t>
        </is>
      </c>
      <c r="K84" s="5" t="n">
        <v>7.73</v>
      </c>
      <c r="L84" s="4" t="n">
        <v>753.5</v>
      </c>
      <c r="M84" t="n">
        <v>195</v>
      </c>
      <c r="N84" s="6" t="n">
        <v>3591</v>
      </c>
      <c r="O84" t="n">
        <v>2</v>
      </c>
      <c r="Q84" t="inlineStr">
        <is>
          <t>EA</t>
        </is>
      </c>
      <c r="R84" t="inlineStr">
        <is>
          <t>М</t>
        </is>
      </c>
      <c r="S84" s="2">
        <f>HYPERLINK("https://yandex.ru/maps/?&amp;text=51.640116, 84.329213", "51.640116, 84.329213")</f>
        <v/>
      </c>
      <c r="T84" s="2">
        <f>HYPERLINK("D:\venv_torgi\env\cache\objs_in_district/51.640116_84.329213.json", "51.640116_84.329213.json")</f>
        <v/>
      </c>
      <c r="U84" t="inlineStr">
        <is>
          <t xml:space="preserve">22:43:060127:219, </t>
        </is>
      </c>
      <c r="V84" t="n">
        <v>1</v>
      </c>
      <c r="Y84" t="n">
        <v>0</v>
      </c>
      <c r="AA84" t="n">
        <v>0</v>
      </c>
      <c r="AB84" t="n">
        <v>1</v>
      </c>
    </row>
    <row r="85">
      <c r="A85" s="7" t="n">
        <v>83</v>
      </c>
      <c r="B85" t="n">
        <v>22</v>
      </c>
      <c r="C85" s="1" t="n">
        <v>71.90000000000001</v>
      </c>
      <c r="D85" s="2">
        <f>HYPERLINK("https://torgi.gov.ru/new/public/lots/lot/22000039390000000001_1/(lotInfo:info)", "22000039390000000001_1")</f>
        <v/>
      </c>
      <c r="E85" t="inlineStr">
        <is>
          <t>Технические характеристики: фундамент – ленточный; перекрытия – деревянные; материал стен – бревно; материал кровли – шифер (частичное разрушение); электричество не подключено. Техническое состояние объекта – требуется капитальный ремонт конструктивных элементов.</t>
        </is>
      </c>
      <c r="F85" s="3" t="inlineStr">
        <is>
          <t>10.03.22 03:00</t>
        </is>
      </c>
      <c r="G85" t="inlineStr">
        <is>
          <t>Алтайский край, Тальменский р-н, ст Озёрки, ул Промышленная, д 63</t>
        </is>
      </c>
      <c r="H85" s="4" t="n">
        <v>214200</v>
      </c>
      <c r="I85" s="4" t="n">
        <v>2979.13769123783</v>
      </c>
      <c r="J85" t="inlineStr">
        <is>
          <t>торговых помещений</t>
        </is>
      </c>
      <c r="K85" s="5" t="n">
        <v>3.82</v>
      </c>
      <c r="M85" t="n">
        <v>779</v>
      </c>
      <c r="N85" s="6" t="n">
        <v>4297</v>
      </c>
      <c r="Q85" t="inlineStr">
        <is>
          <t>EA</t>
        </is>
      </c>
      <c r="R85" t="inlineStr">
        <is>
          <t>М</t>
        </is>
      </c>
      <c r="S85" s="2">
        <f>HYPERLINK("https://yandex.ru/maps/?&amp;text=53.6662, 83.684258", "53.6662, 83.684258")</f>
        <v/>
      </c>
      <c r="V85" t="n">
        <v>1</v>
      </c>
      <c r="Y85" t="n">
        <v>0</v>
      </c>
      <c r="AA85" t="n">
        <v>-2</v>
      </c>
      <c r="AB85" t="n">
        <v>1</v>
      </c>
    </row>
    <row r="86">
      <c r="A86" s="7" t="n">
        <v>84</v>
      </c>
      <c r="B86" t="n">
        <v>22</v>
      </c>
      <c r="C86" s="1" t="n">
        <v>45.3</v>
      </c>
      <c r="D86" s="2">
        <f>HYPERLINK("https://torgi.gov.ru/new/public/lots/lot/21000022480000000028_1/(lotInfo:info)", "21000022480000000028_1")</f>
        <v/>
      </c>
      <c r="E86" t="inlineStr">
        <is>
          <t>часть здания (кафе), с кадастровым № 22:68:010829:136 площадью 45,3 кв.м.</t>
        </is>
      </c>
      <c r="F86" s="3" t="inlineStr">
        <is>
          <t>19.08.22 10:00</t>
        </is>
      </c>
      <c r="G86" t="inlineStr">
        <is>
          <t>Алтайский край, г Камень-на-Оби, ул Ленина, зд 49</t>
        </is>
      </c>
      <c r="H86" s="4" t="n">
        <v>182000</v>
      </c>
      <c r="I86" s="4" t="n">
        <v>4017.66004415011</v>
      </c>
      <c r="J86" t="inlineStr">
        <is>
          <t>Нежилое помещение</t>
        </is>
      </c>
      <c r="K86" s="5" t="n">
        <v>2.6</v>
      </c>
      <c r="M86" t="n">
        <v>1543</v>
      </c>
      <c r="N86" s="6" t="n">
        <v>40795</v>
      </c>
      <c r="Q86" t="inlineStr">
        <is>
          <t>EA</t>
        </is>
      </c>
      <c r="R86" t="inlineStr">
        <is>
          <t>М</t>
        </is>
      </c>
      <c r="S86" s="2">
        <f>HYPERLINK("https://yandex.ru/maps/?&amp;text=53.796252, 81.348252", "53.796252, 81.348252")</f>
        <v/>
      </c>
      <c r="U86" t="inlineStr">
        <is>
          <t xml:space="preserve">22:68:010829:136 </t>
        </is>
      </c>
      <c r="V86" t="n">
        <v>1</v>
      </c>
      <c r="Y86" t="n">
        <v>0</v>
      </c>
      <c r="AA86" t="n">
        <v>0</v>
      </c>
      <c r="AB86" t="n">
        <v>0</v>
      </c>
    </row>
    <row r="87">
      <c r="A87" s="7" t="n">
        <v>85</v>
      </c>
      <c r="B87" t="n">
        <v>22</v>
      </c>
      <c r="C87" s="1" t="n">
        <v>123.6</v>
      </c>
      <c r="D87" s="2">
        <f>HYPERLINK("https://torgi.gov.ru/new/public/lots/lot/22000098680000000005_1/(lotInfo:info)", "22000098680000000005_1")</f>
        <v/>
      </c>
      <c r="E87" t="inlineStr">
        <is>
          <t>Нежилое помещениес.Ая ул.Советская, д.90 пом.1 кадастровый номер 22:02:080005:520 общей площадью 123,6 кв.м с земельным участком общей площадью 111,0 кв.м , кадастровый номер22:02:080005:217</t>
        </is>
      </c>
      <c r="F87" s="3" t="inlineStr">
        <is>
          <t>24.07.22 17:00</t>
        </is>
      </c>
      <c r="G87" t="inlineStr">
        <is>
          <t>Алтайский край, Алтайский р-н, село Ая, ул Советская, д 90, помещ 1</t>
        </is>
      </c>
      <c r="H87" s="4" t="n">
        <v>580650</v>
      </c>
      <c r="I87" s="4" t="n">
        <v>4697.815533980583</v>
      </c>
      <c r="J87" t="inlineStr">
        <is>
          <t>Нежилое помещение</t>
        </is>
      </c>
      <c r="K87" s="5" t="n">
        <v>19.02</v>
      </c>
      <c r="L87" s="4" t="n">
        <v>4697</v>
      </c>
      <c r="M87" t="n">
        <v>247</v>
      </c>
      <c r="N87" s="6" t="n">
        <v>2230</v>
      </c>
      <c r="O87" t="n">
        <v>1</v>
      </c>
      <c r="Q87" t="inlineStr">
        <is>
          <t>EA</t>
        </is>
      </c>
      <c r="R87" t="inlineStr">
        <is>
          <t>М</t>
        </is>
      </c>
      <c r="S87" s="2">
        <f>HYPERLINK("https://yandex.ru/maps/?&amp;text=51.954252, 85.813355", "51.954252, 85.813355")</f>
        <v/>
      </c>
      <c r="T87" s="2">
        <f>HYPERLINK("D:\venv_torgi\env\cache\objs_in_district/51.954252_85.813355.json", "51.954252_85.813355.json")</f>
        <v/>
      </c>
      <c r="U87" t="inlineStr">
        <is>
          <t xml:space="preserve">22:02:080005:520 </t>
        </is>
      </c>
      <c r="V87" t="n">
        <v>1</v>
      </c>
      <c r="Y87" t="n">
        <v>0</v>
      </c>
      <c r="AA87" t="n">
        <v>0</v>
      </c>
      <c r="AB87" t="n">
        <v>1</v>
      </c>
    </row>
    <row r="88">
      <c r="A88" s="7" t="n">
        <v>86</v>
      </c>
      <c r="B88" t="n">
        <v>22</v>
      </c>
      <c r="C88" s="1" t="n">
        <v>91.3</v>
      </c>
      <c r="D88" s="2">
        <f>HYPERLINK("https://torgi.gov.ru/new/public/lots/lot/22000080430000000026_5/(lotInfo:info)", "22000080430000000026_5")</f>
        <v/>
      </c>
      <c r="E88" t="inlineStr">
        <is>
          <t>Лот№5 Нежилое помещение, кадастровый № 22:31:020004:10297, площадь 91,3 кв.м., и земельный участок, назначение - земли населенных пунктов для ведения личного подсобного хозяйства, кадастровый № 22:31:020004:1633, площадь 317 кв.м., адрес: Алтайский край, Павловский район, с. Павловск, пер. Пожогина, д. 2Б, пом. 2. Начальная цена 450 000 руб. 00 коп. (Снежко В.Г., ипотека, запрет на совершение регистрационных действий, арест) (1018).</t>
        </is>
      </c>
      <c r="F88" s="3" t="inlineStr">
        <is>
          <t>20.07.22 04:00</t>
        </is>
      </c>
      <c r="G88" t="inlineStr">
        <is>
          <t>Алтайский край, село Павловск, пер Пожогина, влд 2б</t>
        </is>
      </c>
      <c r="H88" s="4" t="n">
        <v>454500</v>
      </c>
      <c r="I88" s="4" t="n">
        <v>4978.094194961665</v>
      </c>
      <c r="J88" t="inlineStr">
        <is>
          <t>Нежилое помещение</t>
        </is>
      </c>
      <c r="K88" s="5" t="n">
        <v>3.42</v>
      </c>
      <c r="M88" t="n">
        <v>1456</v>
      </c>
      <c r="N88" s="6" t="n">
        <v>39814</v>
      </c>
      <c r="Q88" t="inlineStr">
        <is>
          <t>EA</t>
        </is>
      </c>
      <c r="R88" t="inlineStr">
        <is>
          <t>Д</t>
        </is>
      </c>
      <c r="S88" s="2">
        <f>HYPERLINK("https://yandex.ru/maps/?&amp;text=53.3151, 82.986404", "53.3151, 82.986404")</f>
        <v/>
      </c>
      <c r="U88" t="inlineStr">
        <is>
          <t xml:space="preserve">22:31:020004:10297, </t>
        </is>
      </c>
      <c r="V88" t="n">
        <v>1</v>
      </c>
      <c r="Y88" t="n">
        <v>0</v>
      </c>
      <c r="AA88" t="n">
        <v>0</v>
      </c>
      <c r="AB88" t="n">
        <v>1</v>
      </c>
    </row>
    <row r="89">
      <c r="A89" s="7" t="n">
        <v>87</v>
      </c>
      <c r="B89" t="n">
        <v>22</v>
      </c>
      <c r="C89" s="1" t="n">
        <v>73.59999999999999</v>
      </c>
      <c r="D89" s="2">
        <f>HYPERLINK("https://torgi.gov.ru/new/public/lots/lot/21000020060000000003_1/(lotInfo:info)", "21000020060000000003_1")</f>
        <v/>
      </c>
      <c r="E89" t="inlineStr">
        <is>
          <t>нежилое помещение, расположенное по адресу: Алтайский край, г. Алейск, ул. Железнодорожная, дом 31, помещение 7, общей площадью 73,6 кв.м., кадастровый номер объекта: 22:62:030903:411</t>
        </is>
      </c>
      <c r="F89" s="3" t="inlineStr">
        <is>
          <t>06.05.22 06:00</t>
        </is>
      </c>
      <c r="G89" t="inlineStr">
        <is>
          <t>Алтайский край, г Алейск, ул Железнодорожная, д 31</t>
        </is>
      </c>
      <c r="H89" s="4" t="n">
        <v>438500</v>
      </c>
      <c r="I89" s="4" t="n">
        <v>5957.880434782609</v>
      </c>
      <c r="J89" t="inlineStr">
        <is>
          <t>Нежилое помещение</t>
        </is>
      </c>
      <c r="K89" s="5" t="n">
        <v>5.8</v>
      </c>
      <c r="M89" t="n">
        <v>1027</v>
      </c>
      <c r="N89" s="6" t="n">
        <v>29249</v>
      </c>
      <c r="Q89" t="inlineStr">
        <is>
          <t>PP</t>
        </is>
      </c>
      <c r="R89" t="inlineStr">
        <is>
          <t>М</t>
        </is>
      </c>
      <c r="S89" s="2">
        <f>HYPERLINK("https://yandex.ru/maps/?&amp;text=52.494837, 82.789967", "52.494837, 82.789967")</f>
        <v/>
      </c>
      <c r="U89" t="inlineStr">
        <is>
          <t>22:62:030903:411</t>
        </is>
      </c>
      <c r="V89" t="n">
        <v>0</v>
      </c>
      <c r="Y89" t="n">
        <v>0</v>
      </c>
      <c r="AA89" t="n">
        <v>0</v>
      </c>
      <c r="AB89" t="n">
        <v>0</v>
      </c>
    </row>
    <row r="90">
      <c r="A90" s="7" t="n">
        <v>88</v>
      </c>
      <c r="B90" t="n">
        <v>22</v>
      </c>
      <c r="C90" s="1" t="n">
        <v>36.5</v>
      </c>
      <c r="D90" s="2">
        <f>HYPERLINK("https://torgi.gov.ru/new/public/lots/lot/21000016450000000006_2/(lotInfo:info)", "21000016450000000006_2")</f>
        <v/>
      </c>
      <c r="E90" t="inlineStr">
        <is>
          <t>Нежилое помещение № 146 общей площадью 36,5 кв. м по улице Октябрьской, 117а находится на первом этаже кирпичного жилого дома малосемейного типа в центрально-северной части города Рубцовска, во дворах жилых пятиэтажных домов.</t>
        </is>
      </c>
      <c r="F90" s="3" t="inlineStr">
        <is>
          <t>30.06.22 03:00</t>
        </is>
      </c>
      <c r="G90" t="inlineStr">
        <is>
          <t>Алтайский край, г Рубцовск, ул Октябрьская, д 117А</t>
        </is>
      </c>
      <c r="H90" s="4" t="n">
        <v>240000</v>
      </c>
      <c r="I90" s="4" t="n">
        <v>6575.342465753424</v>
      </c>
      <c r="J90" t="inlineStr">
        <is>
          <t>Нежилое помещение</t>
        </is>
      </c>
      <c r="K90" s="5" t="n">
        <v>2.18</v>
      </c>
      <c r="M90" t="n">
        <v>3011</v>
      </c>
      <c r="N90" s="6" t="n">
        <v>134183</v>
      </c>
      <c r="Q90" t="inlineStr">
        <is>
          <t>EA</t>
        </is>
      </c>
      <c r="R90" t="inlineStr">
        <is>
          <t>М</t>
        </is>
      </c>
      <c r="S90" s="2">
        <f>HYPERLINK("https://yandex.ru/maps/?&amp;text=51.53558, 81.223", "51.53558, 81.223")</f>
        <v/>
      </c>
      <c r="U90" t="inlineStr">
        <is>
          <t>22:70:020715:631</t>
        </is>
      </c>
      <c r="V90" t="n">
        <v>1</v>
      </c>
      <c r="Y90" t="n">
        <v>0</v>
      </c>
      <c r="AA90" t="n">
        <v>0</v>
      </c>
      <c r="AB90" t="n">
        <v>0</v>
      </c>
    </row>
    <row r="91">
      <c r="A91" s="7" t="n">
        <v>89</v>
      </c>
      <c r="B91" t="n">
        <v>22</v>
      </c>
      <c r="C91" s="1" t="n">
        <v>118.1</v>
      </c>
      <c r="D91" s="2">
        <f>HYPERLINK("https://torgi.gov.ru/new/public/lots/lot/21000016450000000002_1/(lotInfo:info)", "21000016450000000002_1")</f>
        <v/>
      </c>
      <c r="E91" t="inlineStr">
        <is>
          <t>Нежилое помещение № 70 общей площадью 118,1 кв.м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      </is>
      </c>
      <c r="F91" s="3" t="inlineStr">
        <is>
          <t>16.03.22 03:00</t>
        </is>
      </c>
      <c r="G91" t="inlineStr">
        <is>
          <t>Алтайский край, г Рубцовск, ул Дзержинского, д 31</t>
        </is>
      </c>
      <c r="H91" s="4" t="n">
        <v>1095732</v>
      </c>
      <c r="I91" s="4" t="n">
        <v>9278.001693480102</v>
      </c>
      <c r="J91" t="inlineStr">
        <is>
          <t>Нежилое помещение</t>
        </is>
      </c>
      <c r="K91" s="5" t="n">
        <v>1.84</v>
      </c>
      <c r="L91" s="4" t="n">
        <v>618.53</v>
      </c>
      <c r="M91" t="n">
        <v>5036</v>
      </c>
      <c r="N91" s="6" t="n">
        <v>134183</v>
      </c>
      <c r="O91" t="n">
        <v>15</v>
      </c>
      <c r="Q91" t="inlineStr">
        <is>
          <t>EA</t>
        </is>
      </c>
      <c r="R91" t="inlineStr">
        <is>
          <t>М</t>
        </is>
      </c>
      <c r="S91" s="2">
        <f>HYPERLINK("https://yandex.ru/maps/?&amp;text=51.523357, 81.22472", "51.523357, 81.22472")</f>
        <v/>
      </c>
      <c r="T91" s="2">
        <f>HYPERLINK("D:\venv_torgi\env\cache\objs_in_district/51.523357_81.22472.json", "51.523357_81.22472.json")</f>
        <v/>
      </c>
      <c r="U91" t="inlineStr">
        <is>
          <t>22:70:021002:778</t>
        </is>
      </c>
      <c r="V91" t="n">
        <v>1</v>
      </c>
      <c r="Y91" t="n">
        <v>0</v>
      </c>
      <c r="AA91" t="n">
        <v>0</v>
      </c>
      <c r="AB91" t="n">
        <v>0</v>
      </c>
    </row>
    <row r="92">
      <c r="A92" s="7" t="n">
        <v>90</v>
      </c>
      <c r="B92" t="n">
        <v>22</v>
      </c>
      <c r="C92" s="1" t="n">
        <v>198.2</v>
      </c>
      <c r="D92" s="2">
        <f>HYPERLINK("https://torgi.gov.ru/new/public/lots/lot/21000015510000000006_1/(lotInfo:info)", "21000015510000000006_1")</f>
        <v/>
      </c>
      <c r="E92" t="inlineStr">
        <is>
          <t>Нежилое помещение Н2 на 1-м, 2-м этажах общей площадью 198,2 кв.м по ул.Пушкина, 50 (г.Барнаул, Алтайский край)</t>
        </is>
      </c>
      <c r="F92" s="3" t="inlineStr">
        <is>
          <t>21.03.22 14:00</t>
        </is>
      </c>
      <c r="G92" t="inlineStr">
        <is>
          <t>г Барнаул, ул Пушкина, д 50</t>
        </is>
      </c>
      <c r="H92" s="4" t="n">
        <v>4880000</v>
      </c>
      <c r="I92" s="4" t="n">
        <v>24621.59434914228</v>
      </c>
      <c r="J92" t="inlineStr">
        <is>
          <t>Нежилое помещение</t>
        </is>
      </c>
      <c r="K92" s="5" t="n">
        <v>5.92</v>
      </c>
      <c r="L92" s="4" t="n">
        <v>356.83</v>
      </c>
      <c r="M92" t="n">
        <v>4158</v>
      </c>
      <c r="N92" s="6" t="n">
        <v>696217</v>
      </c>
      <c r="O92" t="n">
        <v>69</v>
      </c>
      <c r="Q92" t="inlineStr">
        <is>
          <t>EA</t>
        </is>
      </c>
      <c r="R92" t="inlineStr">
        <is>
          <t>М</t>
        </is>
      </c>
      <c r="S92" s="2">
        <f>HYPERLINK("https://yandex.ru/maps/?&amp;text=53.332577, 83.791214", "53.332577, 83.791214")</f>
        <v/>
      </c>
      <c r="T92" s="2">
        <f>HYPERLINK("D:\venv_torgi\env\cache\objs_in_district/53.332577_83.791214.json", "53.332577_83.791214.json")</f>
        <v/>
      </c>
      <c r="U92" t="inlineStr">
        <is>
          <t>22:63:050240:68</t>
        </is>
      </c>
      <c r="V92" t="n">
        <v>2</v>
      </c>
      <c r="Y92" t="n">
        <v>0</v>
      </c>
      <c r="AA92" t="n">
        <v>0</v>
      </c>
      <c r="AB92" t="n">
        <v>0</v>
      </c>
    </row>
    <row r="93">
      <c r="A93" s="7" t="n">
        <v>91</v>
      </c>
      <c r="B93" t="n">
        <v>22</v>
      </c>
      <c r="C93" s="1" t="n">
        <v>10.6</v>
      </c>
      <c r="D93" s="2">
        <f>HYPERLINK("https://torgi.gov.ru/new/public/lots/lot/21000004470000000006_6/(lotInfo:info)", "21000004470000000006_6")</f>
        <v/>
      </c>
      <c r="E93" t="inlineStr">
        <is>
          <t>Лот№6 Нежилое помещение, кадастровый №22:65:017227:407, площадь - 10,6 м2, назначение – нежилое, этаж – 1, адрес: АК, г. Бийск, ул. М. Горького, 69, пом. Н-1. Нач.цена 296000 руб. (Пасютин К.А., запрет на р/д) (743)</t>
        </is>
      </c>
      <c r="F93" s="3" t="inlineStr">
        <is>
          <t>22.06.22 08:00</t>
        </is>
      </c>
      <c r="G93" t="inlineStr">
        <is>
          <t>Алтайский край, г Бийск, ул Майская</t>
        </is>
      </c>
      <c r="H93" s="4" t="n">
        <v>298960</v>
      </c>
      <c r="I93" s="4" t="n">
        <v>28203.77358490566</v>
      </c>
      <c r="J93" t="inlineStr">
        <is>
          <t>Нежилое помещение</t>
        </is>
      </c>
      <c r="K93" s="5" t="n">
        <v>20.84</v>
      </c>
      <c r="M93" t="n">
        <v>1353</v>
      </c>
      <c r="N93" s="6" t="n">
        <v>210229</v>
      </c>
      <c r="Q93" t="inlineStr">
        <is>
          <t>EA</t>
        </is>
      </c>
      <c r="R93" t="inlineStr">
        <is>
          <t>Д</t>
        </is>
      </c>
      <c r="S93" s="2">
        <f>HYPERLINK("https://yandex.ru/maps/?&amp;text=52.439386, 85.040508", "52.439386, 85.040508")</f>
        <v/>
      </c>
      <c r="U93" t="inlineStr">
        <is>
          <t xml:space="preserve">22:65:017227:407, </t>
        </is>
      </c>
      <c r="V93" t="n">
        <v>0</v>
      </c>
      <c r="Y93" t="n">
        <v>0</v>
      </c>
      <c r="AA93" t="n">
        <v>0</v>
      </c>
      <c r="AB93" t="n">
        <v>0</v>
      </c>
    </row>
    <row r="94">
      <c r="A94" s="7" t="n">
        <v>92</v>
      </c>
      <c r="B94" t="n">
        <v>22</v>
      </c>
      <c r="C94" s="1" t="n">
        <v>121.7</v>
      </c>
      <c r="D94" s="2">
        <f>HYPERLINK("https://torgi.gov.ru/new/public/lots/lot/21000015510000000014_2/(lotInfo:info)", "21000015510000000014_2")</f>
        <v/>
      </c>
      <c r="E94" t="inlineStr">
        <is>
          <t>Нежилое помещение на 1-м этаже общей площадью 121,7 кв.м по ул.Бабуркина, 8 (Алтайский край, г.Барнаул)</t>
        </is>
      </c>
      <c r="F94" s="3" t="inlineStr">
        <is>
          <t>30.05.22 14:00</t>
        </is>
      </c>
      <c r="G94" t="inlineStr">
        <is>
          <t>г Барнаул, ул Бабуркина, д 8</t>
        </is>
      </c>
      <c r="H94" s="4" t="n">
        <v>4135000</v>
      </c>
      <c r="I94" s="4" t="n">
        <v>33976.99260476582</v>
      </c>
      <c r="J94" t="inlineStr">
        <is>
          <t>Нежилое помещение</t>
        </is>
      </c>
      <c r="K94" s="5" t="n">
        <v>7.14</v>
      </c>
      <c r="L94" s="4" t="n">
        <v>2123.5</v>
      </c>
      <c r="M94" t="n">
        <v>4756</v>
      </c>
      <c r="N94" s="6" t="n">
        <v>696217</v>
      </c>
      <c r="O94" t="n">
        <v>16</v>
      </c>
      <c r="Q94" t="inlineStr">
        <is>
          <t>EA</t>
        </is>
      </c>
      <c r="R94" t="inlineStr">
        <is>
          <t>М</t>
        </is>
      </c>
      <c r="S94" s="2">
        <f>HYPERLINK("https://yandex.ru/maps/?&amp;text=53.344955, 83.70897", "53.344955, 83.70897")</f>
        <v/>
      </c>
      <c r="T94" s="2">
        <f>HYPERLINK("D:\venv_torgi\env\cache\objs_in_district/53.344955_83.70897.json", "53.344955_83.70897.json")</f>
        <v/>
      </c>
      <c r="U94" t="inlineStr">
        <is>
          <t>22:63:030134:4050</t>
        </is>
      </c>
      <c r="V94" t="n">
        <v>1</v>
      </c>
      <c r="Y94" t="n">
        <v>0</v>
      </c>
      <c r="AA94" t="n">
        <v>0</v>
      </c>
      <c r="AB94" t="n">
        <v>0</v>
      </c>
    </row>
    <row r="95">
      <c r="A95" s="7" t="n">
        <v>93</v>
      </c>
      <c r="B95" t="n">
        <v>23</v>
      </c>
      <c r="C95" s="1" t="n">
        <v>85.3</v>
      </c>
      <c r="D95" s="2">
        <f>HYPERLINK("https://torgi.gov.ru/new/public/lots/lot/22000094720000000002_1/(lotInfo:info)", "22000094720000000002_1")</f>
        <v/>
      </c>
      <c r="E95" t="inlineStr">
        <is>
          <t>нежилое помещение площадью 85,3 кв.м, и земельный участок площадью 878 кв.м, кадастровый номер 23:06:0903002:69, категория земель – земли населенных пунктов, вид разрешенного использования – для ведения личного подсобного хозяйства, расположенный по адресу: Краснодарский край, Гулькевичский район, х. Журавлев, ул. Молодежная, 12/1</t>
        </is>
      </c>
      <c r="F95" s="3" t="inlineStr">
        <is>
          <t>23.08.22 14:00</t>
        </is>
      </c>
      <c r="G95" t="inlineStr">
        <is>
          <t>Краснодарский край, Гулькевичский р-н, хутор Журавлев, ул Молодежная, д 12</t>
        </is>
      </c>
      <c r="H95" s="4" t="n">
        <v>226000</v>
      </c>
      <c r="I95" s="4" t="n">
        <v>2649.47245017585</v>
      </c>
      <c r="J95" t="inlineStr">
        <is>
          <t>Нежилое помещение</t>
        </is>
      </c>
      <c r="K95" s="5" t="n">
        <v>67.92</v>
      </c>
      <c r="M95" t="n">
        <v>39</v>
      </c>
      <c r="N95" s="6" t="n">
        <v>226</v>
      </c>
      <c r="Q95" t="inlineStr">
        <is>
          <t>PP</t>
        </is>
      </c>
      <c r="R95" t="inlineStr">
        <is>
          <t>М</t>
        </is>
      </c>
      <c r="S95" s="2">
        <f>HYPERLINK("https://yandex.ru/maps/?&amp;text=45.242025, 40.430611", "45.242025, 40.430611")</f>
        <v/>
      </c>
      <c r="U95" t="inlineStr">
        <is>
          <t xml:space="preserve">23:06:0903002:69, </t>
        </is>
      </c>
      <c r="V95" t="n">
        <v>1</v>
      </c>
      <c r="Y95" t="n">
        <v>0</v>
      </c>
      <c r="AA95" t="n">
        <v>0</v>
      </c>
      <c r="AB95" t="n">
        <v>1</v>
      </c>
    </row>
    <row r="96">
      <c r="A96" s="7" t="n">
        <v>94</v>
      </c>
      <c r="B96" t="n">
        <v>23</v>
      </c>
      <c r="C96" s="1" t="n">
        <v>85.2</v>
      </c>
      <c r="D96" s="2">
        <f>HYPERLINK("https://torgi.gov.ru/new/public/lots/lot/22000094720000000003_1/(lotInfo:info)", "22000094720000000003_1")</f>
        <v/>
      </c>
      <c r="E96" t="inlineStr">
        <is>
          <t>нежилое помещение площадью 85,2 кв.м, с земельным участком площадью, 1129 кв.м, категория земель – земли населенных пунктов, вид разрешенного использования – для ведения личного подсобного хозяйства, расположенный по адресу: Краснодарский край, Гулькевичский район, х. Журавлев, ул. Молодежная, 12/2</t>
        </is>
      </c>
      <c r="F96" s="3" t="inlineStr">
        <is>
          <t>23.08.22 14:00</t>
        </is>
      </c>
      <c r="G96" t="inlineStr">
        <is>
          <t>Краснодарский край, Гулькевичский р-н, хутор Журавлев, ул Молодежная, уч 12/2</t>
        </is>
      </c>
      <c r="H96" s="4" t="n">
        <v>239000</v>
      </c>
      <c r="I96" s="4" t="n">
        <v>2805.164319248826</v>
      </c>
      <c r="J96" t="inlineStr">
        <is>
          <t>Нежилое помещение</t>
        </is>
      </c>
      <c r="K96" s="5" t="n">
        <v>71.92</v>
      </c>
      <c r="M96" t="n">
        <v>39</v>
      </c>
      <c r="N96" s="6" t="n">
        <v>226</v>
      </c>
      <c r="Q96" t="inlineStr">
        <is>
          <t>PP</t>
        </is>
      </c>
      <c r="R96" t="inlineStr">
        <is>
          <t>М</t>
        </is>
      </c>
      <c r="S96" s="2">
        <f>HYPERLINK("https://yandex.ru/maps/?&amp;text=45.242025, 40.430611", "45.242025, 40.430611")</f>
        <v/>
      </c>
      <c r="U96" t="inlineStr">
        <is>
          <t xml:space="preserve">23:06:0903002:476, </t>
        </is>
      </c>
      <c r="V96" t="n">
        <v>1</v>
      </c>
      <c r="Y96" t="n">
        <v>0</v>
      </c>
      <c r="AA96" t="n">
        <v>0</v>
      </c>
      <c r="AB96" t="n">
        <v>1</v>
      </c>
    </row>
    <row r="97">
      <c r="A97" s="7" t="n">
        <v>95</v>
      </c>
      <c r="B97" t="n">
        <v>23</v>
      </c>
      <c r="C97" s="1" t="n">
        <v>76</v>
      </c>
      <c r="D97" s="2">
        <f>HYPERLINK("https://torgi.gov.ru/new/public/lots/lot/21000027980000000003_2/(lotInfo:info)", "21000027980000000003_2")</f>
        <v/>
      </c>
      <c r="E97" t="inlineStr">
        <is>
          <t>Нежилое помещение, комнаты № 5, 6, 7, 8, 10, 11, 12, общей площадью 76,0 кв.м., кадастровый номер 23:08:0704087:41, Ейский район, ст-ца Камышеватская,  ул. Советская, 172.Объект расположен на земельном участке общей площадью 562,0 кв.м., кадастровый номер 23:08:0704087:8, категория земель: земли населенных пунктов, разрешенное использование: для общественной торговли, который не является объектом сделки купли-продажи</t>
        </is>
      </c>
      <c r="F97" s="3" t="inlineStr">
        <is>
          <t>04.07.22 15:00</t>
        </is>
      </c>
      <c r="G97" t="inlineStr">
        <is>
          <t>Краснодарский край, Ейский р-н, ст-ца Камышеватская, ул Советская, д 172</t>
        </is>
      </c>
      <c r="H97" s="4" t="n">
        <v>256032</v>
      </c>
      <c r="I97" s="4" t="n">
        <v>3368.842105263158</v>
      </c>
      <c r="J97" t="inlineStr">
        <is>
          <t>торговли, который</t>
        </is>
      </c>
      <c r="K97" s="5" t="n">
        <v>2.02</v>
      </c>
      <c r="M97" t="n">
        <v>1670</v>
      </c>
      <c r="N97" s="6" t="n">
        <v>4574</v>
      </c>
      <c r="Q97" t="inlineStr">
        <is>
          <t>EA</t>
        </is>
      </c>
      <c r="R97" t="inlineStr">
        <is>
          <t>М</t>
        </is>
      </c>
      <c r="S97" s="2">
        <f>HYPERLINK("https://yandex.ru/maps/?&amp;text=46.408799, 37.95127", "46.408799, 37.95127")</f>
        <v/>
      </c>
      <c r="U97" t="inlineStr">
        <is>
          <t xml:space="preserve">23:08:0704087:41, </t>
        </is>
      </c>
      <c r="V97" t="n">
        <v>0</v>
      </c>
      <c r="Y97" t="n">
        <v>0</v>
      </c>
      <c r="AA97" t="n">
        <v>0</v>
      </c>
      <c r="AB97" t="n">
        <v>1</v>
      </c>
    </row>
    <row r="98">
      <c r="A98" s="7" t="n">
        <v>96</v>
      </c>
      <c r="B98" t="n">
        <v>23</v>
      </c>
      <c r="C98" s="1" t="n">
        <v>449.4</v>
      </c>
      <c r="D98" s="2">
        <f>HYPERLINK("https://torgi.gov.ru/new/public/lots/lot/22000010840000000002_1/(lotInfo:info)", "22000010840000000002_1")</f>
        <v/>
      </c>
      <c r="E98" t="inlineStr">
        <is>
          <t>Общая площадь 449,4 кв. м, находящееся по адресу: Краснодарский край, Тихорецкий район, ст-ца Фастовецкая, ул. Азина, д. 59</t>
        </is>
      </c>
      <c r="F98" s="3" t="inlineStr">
        <is>
          <t>06.07.22 15:00</t>
        </is>
      </c>
      <c r="G98" t="inlineStr">
        <is>
          <t>Краснодарский край, Тихорецкий р-н, ст-ца Фастовецкая, ул Азина, д 59</t>
        </is>
      </c>
      <c r="H98" s="4" t="n">
        <v>2037150</v>
      </c>
      <c r="I98" s="4" t="n">
        <v>4533.044058744994</v>
      </c>
      <c r="J98" t="inlineStr">
        <is>
          <t>Нежилое помещение</t>
        </is>
      </c>
      <c r="K98" s="5" t="n">
        <v>4.98</v>
      </c>
      <c r="L98" s="4" t="n">
        <v>1511</v>
      </c>
      <c r="M98" t="n">
        <v>911</v>
      </c>
      <c r="N98" s="6" t="n">
        <v>7640</v>
      </c>
      <c r="O98" t="n">
        <v>3</v>
      </c>
      <c r="Q98" t="inlineStr">
        <is>
          <t>EA</t>
        </is>
      </c>
      <c r="R98" t="inlineStr">
        <is>
          <t>М</t>
        </is>
      </c>
      <c r="S98" s="2">
        <f>HYPERLINK("https://yandex.ru/maps/?&amp;text=45.9165001, 40.1523854", "45.9165001, 40.1523854")</f>
        <v/>
      </c>
      <c r="T98" s="2">
        <f>HYPERLINK("D:\venv_torgi\env\cache\objs_in_district/45.9165001_40.1523854.json", "45.9165001_40.1523854.json")</f>
        <v/>
      </c>
      <c r="U98" t="inlineStr">
        <is>
          <t xml:space="preserve">23:32:0302006:1142, </t>
        </is>
      </c>
      <c r="V98" t="n">
        <v>0</v>
      </c>
      <c r="Y98" t="n">
        <v>0</v>
      </c>
      <c r="AA98" t="n">
        <v>0</v>
      </c>
      <c r="AB98" t="n">
        <v>0</v>
      </c>
    </row>
    <row r="99">
      <c r="A99" s="7" t="n">
        <v>97</v>
      </c>
      <c r="B99" t="n">
        <v>23</v>
      </c>
      <c r="C99" s="1" t="n">
        <v>38.6</v>
      </c>
      <c r="D99" s="2">
        <f>HYPERLINK("https://torgi.gov.ru/new/public/lots/lot/22000011750000000007_1/(lotInfo:info)", "22000011750000000007_1")</f>
        <v/>
      </c>
      <c r="E99" t="inlineStr">
        <is>
          <t>нежилое здание, общей площадью 38,6 кв.м., кадастровый номер 23:17:1001011:154 и земельный участок, общей площадью 398 кв.м., кадастровый номер 23:17:1001011:52, расположенные по адресу: Краснодарский край, Кущевский район,  поселок Мирный, улица Мира, 4/3</t>
        </is>
      </c>
      <c r="F99" s="3" t="inlineStr">
        <is>
          <t>15.08.22 21:00</t>
        </is>
      </c>
      <c r="G99" t="inlineStr">
        <is>
          <t>Краснодарский край, Кущевский р-н, поселок Мирный, ул Мира, д 4/3</t>
        </is>
      </c>
      <c r="H99" s="4" t="n">
        <v>200000</v>
      </c>
      <c r="I99" s="4" t="n">
        <v>5181.347150259067</v>
      </c>
      <c r="J99" t="inlineStr">
        <is>
          <t>жилое здание</t>
        </is>
      </c>
      <c r="K99" s="5" t="n">
        <v>43.91</v>
      </c>
      <c r="L99" s="4" t="inlineStr"/>
      <c r="M99" t="n">
        <v>118</v>
      </c>
      <c r="O99" t="inlineStr"/>
      <c r="Q99" t="inlineStr">
        <is>
          <t>EA</t>
        </is>
      </c>
      <c r="R99" t="inlineStr">
        <is>
          <t>М</t>
        </is>
      </c>
      <c r="S99" s="2">
        <f>HYPERLINK("https://yandex.ru/maps/?&amp;text=46.614599, 39.841019", "46.614599, 39.841019")</f>
        <v/>
      </c>
      <c r="T99" s="8">
        <f>HYPERLINK("D:\venv_torgi\env\cache\objs_in_district/46.614599_39.841019.json", "46.614599_39.841019.json")</f>
        <v/>
      </c>
      <c r="U99" t="inlineStr">
        <is>
          <t xml:space="preserve">23:17:1001011:154 </t>
        </is>
      </c>
      <c r="V99" t="n">
        <v>1</v>
      </c>
      <c r="Y99" t="n">
        <v>0</v>
      </c>
      <c r="AA99" t="n">
        <v>0</v>
      </c>
      <c r="AB99" t="n">
        <v>1</v>
      </c>
    </row>
    <row r="100">
      <c r="A100" s="7" t="n">
        <v>98</v>
      </c>
      <c r="B100" t="n">
        <v>23</v>
      </c>
      <c r="C100" s="1" t="n">
        <v>78.59999999999999</v>
      </c>
      <c r="D100" s="2">
        <f>HYPERLINK("https://torgi.gov.ru/new/public/lots/lot/22000063850000000002_3/(lotInfo:info)", "22000063850000000002_3")</f>
        <v/>
      </c>
      <c r="E100" t="inlineStr">
        <is>
          <t>нежилые помещения 1,2,3,4,5,6,7, Крыловский район, ст. Крыловская, ул. Орджоникидзе, д. 48</t>
        </is>
      </c>
      <c r="F100" s="3" t="inlineStr">
        <is>
          <t>03.07.22 21:00</t>
        </is>
      </c>
      <c r="G100" t="inlineStr">
        <is>
          <t>Краснодарский край, ст-ца Крыловская, ул Орджоникидзе, д 48</t>
        </is>
      </c>
      <c r="H100" s="4" t="n">
        <v>427600</v>
      </c>
      <c r="I100" s="4" t="n">
        <v>5440.203562340967</v>
      </c>
      <c r="J100" t="inlineStr">
        <is>
          <t>Нежилое помещение</t>
        </is>
      </c>
      <c r="K100" s="5" t="n">
        <v>5.48</v>
      </c>
      <c r="M100" t="n">
        <v>992</v>
      </c>
      <c r="N100" s="6" t="n">
        <v>12725</v>
      </c>
      <c r="Q100" t="inlineStr">
        <is>
          <t>EA</t>
        </is>
      </c>
      <c r="R100" t="inlineStr">
        <is>
          <t>М</t>
        </is>
      </c>
      <c r="S100" s="2">
        <f>HYPERLINK("https://yandex.ru/maps/?&amp;text=46.319016, 39.961699", "46.319016, 39.961699")</f>
        <v/>
      </c>
      <c r="U100" t="inlineStr">
        <is>
          <t>23:14:0301002:7501</t>
        </is>
      </c>
      <c r="V100" t="n">
        <v>1</v>
      </c>
      <c r="Y100" t="n">
        <v>0</v>
      </c>
      <c r="AA100" t="n">
        <v>0</v>
      </c>
      <c r="AB100" t="n">
        <v>0</v>
      </c>
    </row>
    <row r="101">
      <c r="A101" s="7" t="n">
        <v>99</v>
      </c>
      <c r="B101" t="n">
        <v>23</v>
      </c>
      <c r="C101" s="1" t="n">
        <v>79.2</v>
      </c>
      <c r="D101" s="2">
        <f>HYPERLINK("https://torgi.gov.ru/new/public/lots/lot/22000019820000000007_1/(lotInfo:info)", "22000019820000000007_1")</f>
        <v/>
      </c>
      <c r="E101" t="inlineStr">
        <is>
          <t>Нежилое помещение, кадастровый номер 23:27:0902001:1788, расположенное по адресу: Краснодарский край, Славянский район, п. Рисовый, ул. Ленина, д. 13, помещение № 12, назначение: нежилое, этаж расположения: этаж № 1, общей площадью 79,2 кв.м.</t>
        </is>
      </c>
      <c r="F101" s="3" t="inlineStr">
        <is>
          <t>08.06.22 09:00</t>
        </is>
      </c>
      <c r="G101" t="inlineStr">
        <is>
          <t>Краснодарский край, Славянский р-н, поселок Рисовый, ул Ленина, д 13</t>
        </is>
      </c>
      <c r="H101" s="4" t="n">
        <v>465000</v>
      </c>
      <c r="I101" s="4" t="n">
        <v>5871.212121212121</v>
      </c>
      <c r="J101" t="inlineStr">
        <is>
          <t>Нежилое помещение</t>
        </is>
      </c>
      <c r="K101" s="5" t="n">
        <v>13.5</v>
      </c>
      <c r="M101" t="n">
        <v>435</v>
      </c>
      <c r="N101" s="6" t="n">
        <v>1662</v>
      </c>
      <c r="Q101" t="inlineStr">
        <is>
          <t>EA</t>
        </is>
      </c>
      <c r="R101" t="inlineStr">
        <is>
          <t>М</t>
        </is>
      </c>
      <c r="S101" s="2">
        <f>HYPERLINK("https://yandex.ru/maps/?&amp;text=45.296939, 37.909624", "45.296939, 37.909624")</f>
        <v/>
      </c>
      <c r="U101" t="inlineStr">
        <is>
          <t xml:space="preserve">23:27:0902001:1788, </t>
        </is>
      </c>
      <c r="V101" t="n">
        <v>1</v>
      </c>
      <c r="Y101" t="n">
        <v>0</v>
      </c>
      <c r="AA101" t="n">
        <v>0</v>
      </c>
      <c r="AB101" t="n">
        <v>0</v>
      </c>
    </row>
    <row r="102">
      <c r="A102" s="7" t="n">
        <v>100</v>
      </c>
      <c r="B102" t="n">
        <v>23</v>
      </c>
      <c r="C102" s="1" t="n">
        <v>96.3</v>
      </c>
      <c r="D102" s="2">
        <f>HYPERLINK("https://torgi.gov.ru/new/public/lots/lot/21000003580000000001_15/(lotInfo:info)", "21000003580000000001_15")</f>
        <v/>
      </c>
      <c r="E102" t="inlineStr">
        <is>
          <t>Нежилые помещения с кадастровым номером 23:38:0109038:788 (№7-13), общей площадью 93,5 квадратных метра, нежилые помещения с кадастровым номером 23:38:0109038:790 (№14,15) общей площадью 2,8 квадратных метра, расположенные по адресу: Краснодарский край, город Армавир, улица Кропоткина, 103</t>
        </is>
      </c>
      <c r="F102" s="3" t="inlineStr">
        <is>
          <t>20.03.22 20:59</t>
        </is>
      </c>
      <c r="G102" t="inlineStr">
        <is>
          <t>Краснодарский край, г Армавир, ул Кропоткина, д 103</t>
        </is>
      </c>
      <c r="H102" s="4" t="n">
        <v>1003000</v>
      </c>
      <c r="I102" s="4" t="n">
        <v>10415.36863966771</v>
      </c>
      <c r="J102" t="inlineStr">
        <is>
          <t>Нежилое помещение</t>
        </is>
      </c>
      <c r="K102" s="5" t="n">
        <v>3.09</v>
      </c>
      <c r="L102" s="4" t="n">
        <v>801.15</v>
      </c>
      <c r="M102" t="n">
        <v>3375</v>
      </c>
      <c r="N102" s="6" t="n">
        <v>205120</v>
      </c>
      <c r="O102" t="n">
        <v>13</v>
      </c>
      <c r="Q102" t="inlineStr">
        <is>
          <t>EA</t>
        </is>
      </c>
      <c r="R102" t="inlineStr">
        <is>
          <t>М</t>
        </is>
      </c>
      <c r="S102" s="2">
        <f>HYPERLINK("https://yandex.ru/maps/?&amp;text=44.992212, 41.105596", "44.992212, 41.105596")</f>
        <v/>
      </c>
      <c r="T102" s="2">
        <f>HYPERLINK("D:\venv_torgi\env\cache\objs_in_district/44.992212_41.105596.json", "44.992212_41.105596.json")</f>
        <v/>
      </c>
      <c r="U102" t="inlineStr">
        <is>
          <t xml:space="preserve">23:38:0109038:788 </t>
        </is>
      </c>
      <c r="V102" t="n">
        <v>0</v>
      </c>
      <c r="Y102" t="n">
        <v>0</v>
      </c>
      <c r="AA102" t="n">
        <v>0</v>
      </c>
      <c r="AB102" t="n">
        <v>0</v>
      </c>
    </row>
    <row r="103">
      <c r="A103" s="7" t="n">
        <v>101</v>
      </c>
      <c r="B103" t="n">
        <v>23</v>
      </c>
      <c r="C103" s="1" t="n">
        <v>43.3</v>
      </c>
      <c r="D103" s="2">
        <f>HYPERLINK("https://torgi.gov.ru/new/public/lots/lot/21000024140000000001_1/(lotInfo:info)", "21000024140000000001_1")</f>
        <v/>
      </c>
      <c r="E103" t="inlineStr">
        <is>
          <t>Нежилое помещение № 4, с кадастровым номером 23:21:0401010:5006, общей площадью 43,3 кв.м., расположенное по адресу: Российская Федерация, Краснодарский край, Новокубанский район, город Новокубанск, улица Первомайская, дом 162, помещение № 4.</t>
        </is>
      </c>
      <c r="F103" s="3" t="inlineStr">
        <is>
          <t>10.08.22 13:00</t>
        </is>
      </c>
      <c r="G103" t="inlineStr">
        <is>
          <t>Краснодарский край, г Новокубанск, ул Первомайская, д 162, кв 4</t>
        </is>
      </c>
      <c r="H103" s="4" t="n">
        <v>706667</v>
      </c>
      <c r="I103" s="4" t="n">
        <v>16320.25404157044</v>
      </c>
      <c r="J103" t="inlineStr">
        <is>
          <t>Нежилое помещение</t>
        </is>
      </c>
      <c r="K103" s="5" t="n">
        <v>4.43</v>
      </c>
      <c r="L103" s="4" t="n">
        <v>680</v>
      </c>
      <c r="M103" t="n">
        <v>3687</v>
      </c>
      <c r="N103" s="6" t="n">
        <v>35173</v>
      </c>
      <c r="O103" t="n">
        <v>24</v>
      </c>
      <c r="Q103" t="inlineStr">
        <is>
          <t>EA</t>
        </is>
      </c>
      <c r="R103" t="inlineStr">
        <is>
          <t>М</t>
        </is>
      </c>
      <c r="S103" s="2">
        <f>HYPERLINK("https://yandex.ru/maps/?&amp;text=45.099724, 41.049297", "45.099724, 41.049297")</f>
        <v/>
      </c>
      <c r="T103" s="2">
        <f>HYPERLINK("D:\venv_torgi\env\cache\objs_in_district/45.099724_41.049297.json", "45.099724_41.049297.json")</f>
        <v/>
      </c>
      <c r="U103" t="inlineStr">
        <is>
          <t xml:space="preserve">23:21:0401010:5006, </t>
        </is>
      </c>
      <c r="V103" t="n">
        <v>1</v>
      </c>
      <c r="Y103" t="n">
        <v>0</v>
      </c>
      <c r="AA103" t="n">
        <v>0</v>
      </c>
      <c r="AB103" t="n">
        <v>0</v>
      </c>
    </row>
    <row r="104">
      <c r="A104" s="7" t="n">
        <v>102</v>
      </c>
      <c r="B104" t="n">
        <v>23</v>
      </c>
      <c r="C104" s="1" t="n">
        <v>228.3</v>
      </c>
      <c r="D104" s="2">
        <f>HYPERLINK("https://torgi.gov.ru/new/public/lots/lot/22000097040000000001_1/(lotInfo:info)", "22000097040000000001_1")</f>
        <v/>
      </c>
      <c r="E104" t="inlineStr">
        <is>
          <t>«Нежилое помещение, общей площадью 228,3 кв.м., включающее в себя помещения № 77-81, 83-96 с кадастровым номером 23:33:0606011:0:136/6, расположенное по адресу: Россия, Краснодарский край, Туапсинский район, пгт. Джубга, ул. Новороссийское шоссе, 1 «В»</t>
        </is>
      </c>
      <c r="F104" s="3" t="inlineStr">
        <is>
          <t>07.06.22 14:00</t>
        </is>
      </c>
      <c r="G104" t="inlineStr">
        <is>
          <t>Краснодарский край, Туапсинский р-н, пгт Джубга, ул Новороссийское шоссе</t>
        </is>
      </c>
      <c r="H104" s="4" t="n">
        <v>4523000</v>
      </c>
      <c r="I104" s="4" t="n">
        <v>19811.65133596145</v>
      </c>
      <c r="J104" t="inlineStr">
        <is>
          <t>Нежилое помещение</t>
        </is>
      </c>
      <c r="K104" s="5" t="n">
        <v>23.5</v>
      </c>
      <c r="L104" s="4" t="n">
        <v>2201.22</v>
      </c>
      <c r="M104" t="n">
        <v>843</v>
      </c>
      <c r="N104" s="6" t="n">
        <v>5621</v>
      </c>
      <c r="O104" t="n">
        <v>9</v>
      </c>
      <c r="Q104" t="inlineStr">
        <is>
          <t>EA</t>
        </is>
      </c>
      <c r="R104" t="inlineStr">
        <is>
          <t>М</t>
        </is>
      </c>
      <c r="S104" s="2">
        <f>HYPERLINK("https://yandex.ru/maps/?&amp;text=44.32913, 38.699252", "44.32913, 38.699252")</f>
        <v/>
      </c>
      <c r="T104" s="2">
        <f>HYPERLINK("D:\venv_torgi\env\cache\objs_in_district/44.32913_38.699252.json", "44.32913_38.699252.json")</f>
        <v/>
      </c>
      <c r="U104" t="inlineStr">
        <is>
          <t>23:33:0606011:0</t>
        </is>
      </c>
      <c r="V104" t="n">
        <v>0</v>
      </c>
      <c r="Y104" t="n">
        <v>0</v>
      </c>
      <c r="AA104" t="n">
        <v>0</v>
      </c>
      <c r="AB104" t="n">
        <v>0</v>
      </c>
    </row>
    <row r="105">
      <c r="A105" s="7" t="n">
        <v>103</v>
      </c>
      <c r="B105" t="n">
        <v>23</v>
      </c>
      <c r="C105" s="1" t="n">
        <v>119.6</v>
      </c>
      <c r="D105" s="2">
        <f>HYPERLINK("https://torgi.gov.ru/new/public/lots/lot/22000007100000000022_1/(lotInfo:info)", "22000007100000000022_1")</f>
        <v/>
      </c>
      <c r="E105" t="inlineStr">
        <is>
      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      </is>
      </c>
      <c r="F105" s="3" t="inlineStr">
        <is>
          <t>25.04.22 06:00</t>
        </is>
      </c>
      <c r="G105" t="inlineStr">
        <is>
          <t>Краснодарский край, г Сочи, ул Чехова, д 58</t>
        </is>
      </c>
      <c r="H105" s="4" t="n">
        <v>6351405</v>
      </c>
      <c r="I105" s="4" t="n">
        <v>53105.39297658863</v>
      </c>
      <c r="J105" t="inlineStr">
        <is>
          <t>Нежилое помещение</t>
        </is>
      </c>
      <c r="K105" s="5" t="n">
        <v>4.08</v>
      </c>
      <c r="L105" s="4" t="n">
        <v>4085</v>
      </c>
      <c r="M105" t="n">
        <v>13018</v>
      </c>
      <c r="N105" s="6" t="n">
        <v>523568</v>
      </c>
      <c r="O105" t="n">
        <v>13</v>
      </c>
      <c r="Q105" t="inlineStr">
        <is>
          <t>EA</t>
        </is>
      </c>
      <c r="R105" t="inlineStr">
        <is>
          <t>М</t>
        </is>
      </c>
      <c r="S105" s="2">
        <f>HYPERLINK("https://yandex.ru/maps/?&amp;text=43.62209, 39.726902", "43.62209, 39.726902")</f>
        <v/>
      </c>
      <c r="T105" s="2">
        <f>HYPERLINK("D:\venv_torgi\env\cache\objs_in_district/43.62209_39.726902.json", "43.62209_39.726902.json")</f>
        <v/>
      </c>
      <c r="U105" t="inlineStr">
        <is>
          <t xml:space="preserve">23:49:0202021:1294, </t>
        </is>
      </c>
      <c r="V105" t="n">
        <v>0</v>
      </c>
      <c r="Y105" t="n">
        <v>1</v>
      </c>
      <c r="AA105" t="n">
        <v>0</v>
      </c>
      <c r="AB105" t="n">
        <v>0</v>
      </c>
    </row>
    <row r="106">
      <c r="A106" s="7" t="n">
        <v>104</v>
      </c>
      <c r="B106" t="n">
        <v>24</v>
      </c>
      <c r="C106" s="1" t="n">
        <v>81</v>
      </c>
      <c r="D106" s="2">
        <f>HYPERLINK("https://torgi.gov.ru/new/public/lots/lot/21000003570000000024_1/(lotInfo:info)", "21000003570000000024_1")</f>
        <v/>
      </c>
      <c r="E106" t="inlineStr">
        <is>
          <t>Характеристика помещения: наименование – помещение, площадью 81,0 кв.м., назначение – нежилое, год ввода в эксплуатацию 1979, реестровый номер    1-18-000001, кадастровый номер 24:47:0010429:404, обременения: не зарегистрированы.</t>
        </is>
      </c>
      <c r="F106" s="3" t="inlineStr">
        <is>
          <t>12.07.22 09:59</t>
        </is>
      </c>
      <c r="G106" t="inlineStr">
        <is>
          <t>Красноярский край, г Енисейск, ул 40 лет Октября, д 23</t>
        </is>
      </c>
      <c r="H106" s="4" t="n">
        <v>133500</v>
      </c>
      <c r="I106" s="4" t="n">
        <v>1648.148148148148</v>
      </c>
      <c r="J106" t="inlineStr">
        <is>
          <t>Нежилое помещение</t>
        </is>
      </c>
      <c r="K106" s="5" t="n">
        <v>1.32</v>
      </c>
      <c r="M106" t="n">
        <v>1244</v>
      </c>
      <c r="N106" s="6" t="n">
        <v>18666</v>
      </c>
      <c r="Q106" t="inlineStr">
        <is>
          <t>BOC</t>
        </is>
      </c>
      <c r="R106" t="inlineStr">
        <is>
          <t>М</t>
        </is>
      </c>
      <c r="S106" s="2">
        <f>HYPERLINK("https://yandex.ru/maps/?&amp;text=58.44732, 92.191241", "58.44732, 92.191241")</f>
        <v/>
      </c>
      <c r="U106" t="inlineStr">
        <is>
          <t xml:space="preserve">24:47:0010429:404, </t>
        </is>
      </c>
      <c r="V106" t="n">
        <v>0</v>
      </c>
      <c r="Y106" t="n">
        <v>0</v>
      </c>
      <c r="AA106" t="n">
        <v>0</v>
      </c>
      <c r="AB106" t="n">
        <v>0</v>
      </c>
    </row>
    <row r="107">
      <c r="A107" s="7" t="n">
        <v>105</v>
      </c>
      <c r="B107" t="n">
        <v>24</v>
      </c>
      <c r="C107" s="1" t="n">
        <v>360</v>
      </c>
      <c r="D107" s="2">
        <f>HYPERLINK("https://torgi.gov.ru/new/public/lots/lot/22000025720000000001_1/(lotInfo:info)", "22000025720000000001_1")</f>
        <v/>
      </c>
      <c r="E107" t="inlineStr">
        <is>
          <t>нежилое помещение общей площадью 360,0 кв.м. (кадастровый номер: 24:07:2501002:1055), расположенное по адресу: Красноярский край, Богучанский район, с. Чунояр, ул. Октябрьская, д. 49а, здание 2, пом.3Характеристики: Номер, тип этажа, на котором расположено помещение, машиноместо: этаж № 1.Назначение: нежилое помещение.</t>
        </is>
      </c>
      <c r="F107" s="3" t="inlineStr">
        <is>
          <t>20.07.22 13:00</t>
        </is>
      </c>
      <c r="G107" t="inlineStr">
        <is>
          <t>Красноярский край, Богучанский р-н, село Чунояр, ул Октябрьская, д 49А</t>
        </is>
      </c>
      <c r="H107" s="4" t="n">
        <v>690000</v>
      </c>
      <c r="I107" s="4" t="n">
        <v>1916.666666666667</v>
      </c>
      <c r="J107" t="inlineStr">
        <is>
          <t>здание</t>
        </is>
      </c>
      <c r="K107" s="5" t="n">
        <v>4.55</v>
      </c>
      <c r="L107" s="4" t="inlineStr"/>
      <c r="M107" t="n">
        <v>421</v>
      </c>
      <c r="N107" s="6" t="n">
        <v>3135</v>
      </c>
      <c r="O107" t="inlineStr"/>
      <c r="Q107" t="inlineStr">
        <is>
          <t>EA</t>
        </is>
      </c>
      <c r="R107" t="inlineStr">
        <is>
          <t>М</t>
        </is>
      </c>
      <c r="S107" s="2">
        <f>HYPERLINK("https://yandex.ru/maps/?&amp;text=57.449722, 97.310407", "57.449722, 97.310407")</f>
        <v/>
      </c>
      <c r="T107" s="8">
        <f>HYPERLINK("D:\venv_torgi\env\cache\objs_in_district/57.449722_97.310407.json", "57.449722_97.310407.json")</f>
        <v/>
      </c>
      <c r="U107" t="inlineStr">
        <is>
          <t>24:07:2501002:1055</t>
        </is>
      </c>
      <c r="V107" t="n">
        <v>1</v>
      </c>
      <c r="Y107" t="n">
        <v>0</v>
      </c>
      <c r="AA107" t="n">
        <v>0</v>
      </c>
      <c r="AB107" t="n">
        <v>0</v>
      </c>
    </row>
    <row r="108">
      <c r="A108" s="7" t="n">
        <v>106</v>
      </c>
      <c r="B108" t="n">
        <v>24</v>
      </c>
      <c r="C108" s="1" t="n">
        <v>108.2</v>
      </c>
      <c r="D108" s="2">
        <f>HYPERLINK("https://torgi.gov.ru/new/public/lots/lot/22000059720000000001_1/(lotInfo:info)", "22000059720000000001_1")</f>
        <v/>
      </c>
      <c r="E108" t="inlineStr">
        <is>
          <t>Общая площадь 108,2 кв. м. Адрес: Россия, Красноярский край, Уярский район, д. Новоалександровка, ул. Новая, 4А. Кадастровый номер 24:40:0310204:51, инв. № 01010048.Год ввода в эксплуатацию 1990 г. Балансовая стоимость 502921,35 руб., износ на 14.08.2019 г. - 502921,35 руб. Ограничение прав и обременение объекта продажи отсутствуют.</t>
        </is>
      </c>
      <c r="F108" s="3" t="inlineStr">
        <is>
          <t>29.04.22 09:00</t>
        </is>
      </c>
      <c r="G108" t="inlineStr">
        <is>
          <t>Красноярский край, Уярский р-н, деревня Новоалександровка, ул Новая, д 4А</t>
        </is>
      </c>
      <c r="H108" s="4" t="n">
        <v>279000</v>
      </c>
      <c r="I108" s="4" t="n">
        <v>2578.558225508318</v>
      </c>
      <c r="J108" t="inlineStr">
        <is>
          <t>Нежилое помещение</t>
        </is>
      </c>
      <c r="K108" s="5" t="n">
        <v>214.83</v>
      </c>
      <c r="M108" t="n">
        <v>12</v>
      </c>
      <c r="N108" s="6" t="n">
        <v>153</v>
      </c>
      <c r="Q108" t="inlineStr">
        <is>
          <t>EA</t>
        </is>
      </c>
      <c r="R108" t="inlineStr">
        <is>
          <t>М</t>
        </is>
      </c>
      <c r="S108" s="2">
        <f>HYPERLINK("https://yandex.ru/maps/?&amp;text=55.864081, 94.507484", "55.864081, 94.507484")</f>
        <v/>
      </c>
      <c r="U108" t="inlineStr">
        <is>
          <t xml:space="preserve">24:40:0310204:51, </t>
        </is>
      </c>
      <c r="V108" t="n">
        <v>0</v>
      </c>
      <c r="Y108" t="n">
        <v>0</v>
      </c>
      <c r="AA108" t="n">
        <v>0</v>
      </c>
      <c r="AB108" t="n">
        <v>0</v>
      </c>
    </row>
    <row r="109">
      <c r="A109" s="7" t="n">
        <v>107</v>
      </c>
      <c r="B109" t="n">
        <v>24</v>
      </c>
      <c r="C109" s="1" t="n">
        <v>1392</v>
      </c>
      <c r="D109" s="2">
        <f>HYPERLINK("https://torgi.gov.ru/new/public/lots/lot/22000024070000000006_5/(lotInfo:info)", "22000024070000000006_5")</f>
        <v/>
      </c>
      <c r="E109" t="inlineStr">
        <is>
          <t>Здание – Штаб/казарма, назначение: нежилое. Количество этажей -2, в том числе подземных 0. Материал наружных стен: из прочих материалов. Площадь- 1392 кв.м. Адрес (местонахождение): РФ, Красноярский край, г. Ачинск, микрорайон Авиатор, здание 54.Земельный участок – земли населенных пунктов. Площадь - 3596 кв.м.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109" s="3" t="inlineStr">
        <is>
          <t>16.05.22 10:00</t>
        </is>
      </c>
      <c r="G109" t="inlineStr">
        <is>
          <t>Красноярский край, г Ачинск, мкр Авиатор, зд 54</t>
        </is>
      </c>
      <c r="H109" s="4" t="n">
        <v>3748482</v>
      </c>
      <c r="I109" s="4" t="n">
        <v>2692.875</v>
      </c>
      <c r="J109" t="inlineStr">
        <is>
          <t>Здание – Штаб/казарма</t>
        </is>
      </c>
      <c r="K109" s="5" t="n">
        <v>1.02</v>
      </c>
      <c r="L109" s="4" t="n">
        <v>897.33</v>
      </c>
      <c r="M109" t="n">
        <v>2646</v>
      </c>
      <c r="N109" s="6" t="n">
        <v>110448</v>
      </c>
      <c r="O109" t="n">
        <v>3</v>
      </c>
      <c r="Q109" t="inlineStr">
        <is>
          <t>PP</t>
        </is>
      </c>
      <c r="R109" t="inlineStr">
        <is>
          <t>М</t>
        </is>
      </c>
      <c r="S109" s="2">
        <f>HYPERLINK("https://yandex.ru/maps/?&amp;text=56.262582, 90.48181", "56.262582, 90.48181")</f>
        <v/>
      </c>
      <c r="T109" s="2">
        <f>HYPERLINK("D:\venv_torgi\env\cache\objs_in_district/56.262582_90.48181.json", "56.262582_90.48181.json")</f>
        <v/>
      </c>
      <c r="U109" t="inlineStr">
        <is>
          <t>24:43:0000000:25960</t>
        </is>
      </c>
      <c r="V109" t="n">
        <v>1</v>
      </c>
      <c r="Y109" t="n">
        <v>0</v>
      </c>
      <c r="AA109" t="n">
        <v>0</v>
      </c>
      <c r="AB109" t="n">
        <v>1</v>
      </c>
    </row>
    <row r="110">
      <c r="A110" s="7" t="n">
        <v>108</v>
      </c>
      <c r="B110" t="n">
        <v>24</v>
      </c>
      <c r="C110" s="1" t="n">
        <v>506.8</v>
      </c>
      <c r="D110" s="2">
        <f>HYPERLINK("https://torgi.gov.ru/new/public/lots/lot/22000034760000000117_1/(lotInfo:info)", "22000034760000000117_1")</f>
        <v/>
      </c>
      <c r="E110" t="inlineStr">
        <is>
          <t>В соответствии с Извещением.</t>
        </is>
      </c>
      <c r="F110" s="3" t="inlineStr">
        <is>
          <t>11.07.22 14:30</t>
        </is>
      </c>
      <c r="G110" t="inlineStr">
        <is>
          <t>г Красноярск, ул Калинина, д 77 стр 9</t>
        </is>
      </c>
      <c r="H110" s="4" t="n">
        <v>4900000</v>
      </c>
      <c r="I110" s="4" t="n">
        <v>9668.508287292818</v>
      </c>
      <c r="J110" t="inlineStr">
        <is>
          <t>Нежилое помещение</t>
        </is>
      </c>
      <c r="K110" s="5" t="n">
        <v>4.06</v>
      </c>
      <c r="L110" s="4" t="n">
        <v>1933.6</v>
      </c>
      <c r="M110" t="n">
        <v>2383</v>
      </c>
      <c r="N110" s="6" t="n">
        <v>1067861</v>
      </c>
      <c r="O110" t="n">
        <v>5</v>
      </c>
      <c r="Q110" t="inlineStr">
        <is>
          <t>EA</t>
        </is>
      </c>
      <c r="R110" t="inlineStr">
        <is>
          <t>М</t>
        </is>
      </c>
      <c r="S110" s="2">
        <f>HYPERLINK("https://yandex.ru/maps/?&amp;text=56.046383, 92.773331", "56.046383, 92.773331")</f>
        <v/>
      </c>
      <c r="T110" s="2">
        <f>HYPERLINK("D:\venv_torgi\env\cache\objs_in_district/56.046383_92.773331.json", "56.046383_92.773331.json")</f>
        <v/>
      </c>
      <c r="U110" t="inlineStr">
        <is>
          <t>24:50:0100109:1423, 24:50:0100109:1424, 24:50:0100109:1426, 24:50:0100109:1427</t>
        </is>
      </c>
      <c r="V110" t="n">
        <v>0</v>
      </c>
      <c r="Y110" t="n">
        <v>0</v>
      </c>
      <c r="AA110" t="n">
        <v>0</v>
      </c>
      <c r="AB110" t="n">
        <v>0</v>
      </c>
    </row>
    <row r="111">
      <c r="A111" s="7" t="n">
        <v>109</v>
      </c>
      <c r="B111" t="n">
        <v>24</v>
      </c>
      <c r="C111" s="1" t="n">
        <v>178.9</v>
      </c>
      <c r="D111" s="2">
        <f>HYPERLINK("https://torgi.gov.ru/new/public/lots/lot/21000014890000000002_1/(lotInfo:info)", "21000014890000000002_1")</f>
        <v/>
      </c>
      <c r="E111" t="inlineStr">
        <is>
          <t>нежилое помещение общей площадью 178,9 кв. м, с кадастровым номером 24:50:0500297:640 расположено по адресу: г. Красноярск, ул. Энергетиков, д. 65, пом. 21. Нежилое помещение находится на первом этаже трехэтажного кирпичного жилого дома 1960 года постройки. Отдельный вход имеется.</t>
        </is>
      </c>
      <c r="F111" s="3" t="inlineStr">
        <is>
          <t>15.02.22 10:00</t>
        </is>
      </c>
      <c r="G111" t="inlineStr">
        <is>
          <t>г Красноярск, ул Энергетиков, д 65</t>
        </is>
      </c>
      <c r="H111" s="4" t="n">
        <v>3266000</v>
      </c>
      <c r="I111" s="4" t="n">
        <v>18256.00894354388</v>
      </c>
      <c r="J111" t="inlineStr">
        <is>
          <t>Нежилое помещение</t>
        </is>
      </c>
      <c r="K111" s="5" t="n">
        <v>4</v>
      </c>
      <c r="L111" s="4" t="n">
        <v>3651.2</v>
      </c>
      <c r="M111" t="n">
        <v>4559</v>
      </c>
      <c r="N111" s="6" t="n">
        <v>1067861</v>
      </c>
      <c r="O111" t="n">
        <v>5</v>
      </c>
      <c r="Q111" t="inlineStr">
        <is>
          <t>EA</t>
        </is>
      </c>
      <c r="R111" t="inlineStr">
        <is>
          <t>М</t>
        </is>
      </c>
      <c r="S111" s="2">
        <f>HYPERLINK("https://yandex.ru/maps/?&amp;text=55.999943, 93.01335", "55.999943, 93.01335")</f>
        <v/>
      </c>
      <c r="T111" s="2">
        <f>HYPERLINK("D:\venv_torgi\env\cache\objs_in_district/55.999943_93.01335.json", "55.999943_93.01335.json")</f>
        <v/>
      </c>
      <c r="U111" t="inlineStr">
        <is>
          <t xml:space="preserve">24:50:0500297:640 </t>
        </is>
      </c>
      <c r="V111" t="n">
        <v>1</v>
      </c>
      <c r="Y111" t="n">
        <v>1</v>
      </c>
      <c r="AA111" t="n">
        <v>0</v>
      </c>
      <c r="AB111" t="n">
        <v>0</v>
      </c>
    </row>
    <row r="112">
      <c r="A112" s="7" t="n">
        <v>110</v>
      </c>
      <c r="B112" t="n">
        <v>24</v>
      </c>
      <c r="C112" s="1" t="n">
        <v>164.4</v>
      </c>
      <c r="D112" s="2">
        <f>HYPERLINK("https://torgi.gov.ru/new/public/lots/lot/22000004950000000002_2/(lotInfo:info)", "22000004950000000002_2")</f>
        <v/>
      </c>
      <c r="E112" t="inlineStr">
        <is>
          <t>Отдельно стоящее одноэтажное нежилое здание, общей площадью 164,4 кв.м. с кадастровым номером 24:50:0300195:229, расположенное по адресу: г. Красноярск, ул. Брянская, д. 65, строение 2</t>
        </is>
      </c>
      <c r="F112" s="3" t="inlineStr">
        <is>
          <t>11.05.22 02:00</t>
        </is>
      </c>
      <c r="G112" t="inlineStr">
        <is>
          <t>г Красноярск, ул 2-я Брянская, д 65 стр 2</t>
        </is>
      </c>
      <c r="H112" s="4" t="n">
        <v>4057490.3</v>
      </c>
      <c r="I112" s="4" t="n">
        <v>24680.59793187348</v>
      </c>
      <c r="J112" t="inlineStr">
        <is>
          <t>жилое здание</t>
        </is>
      </c>
      <c r="K112" s="5" t="n">
        <v>105.02</v>
      </c>
      <c r="L112" s="4" t="n">
        <v>24680</v>
      </c>
      <c r="M112" t="n">
        <v>235</v>
      </c>
      <c r="N112" s="6" t="n">
        <v>1067861</v>
      </c>
      <c r="O112" t="n">
        <v>1</v>
      </c>
      <c r="Q112" t="inlineStr">
        <is>
          <t>EA</t>
        </is>
      </c>
      <c r="R112" t="inlineStr">
        <is>
          <t>М</t>
        </is>
      </c>
      <c r="S112" s="2">
        <f>HYPERLINK("https://yandex.ru/maps/?&amp;text=56.053432, 92.86393", "56.053432, 92.86393")</f>
        <v/>
      </c>
      <c r="T112" s="2">
        <f>HYPERLINK("D:\venv_torgi\env\cache\objs_in_district/56.053432_92.86393.json", "56.053432_92.86393.json")</f>
        <v/>
      </c>
      <c r="U112" t="inlineStr">
        <is>
          <t xml:space="preserve">24:50:0300195:229, </t>
        </is>
      </c>
      <c r="V112" t="n">
        <v>0</v>
      </c>
      <c r="Y112" t="n">
        <v>0</v>
      </c>
      <c r="AA112" t="n">
        <v>0</v>
      </c>
      <c r="AB112" t="n">
        <v>0</v>
      </c>
    </row>
    <row r="113">
      <c r="A113" s="7" t="n">
        <v>111</v>
      </c>
      <c r="B113" t="n">
        <v>24</v>
      </c>
      <c r="C113" s="1" t="n">
        <v>21.1</v>
      </c>
      <c r="D113" s="2">
        <f>HYPERLINK("https://torgi.gov.ru/new/public/lots/lot/22000004950000000002_1/(lotInfo:info)", "22000004950000000002_1")</f>
        <v/>
      </c>
      <c r="E113" t="inlineStr">
        <is>
          <t>Отдельно стоящее двухэтажное нежилое здание, общей площадью 21,1 кв.м. с кадастровым номером 24:50:0000000:175783, расположенное по адресу: г. Красноярск, ул. Брянская, д. 65, строение 1</t>
        </is>
      </c>
      <c r="F113" s="3" t="inlineStr">
        <is>
          <t>11.05.22 02:00</t>
        </is>
      </c>
      <c r="G113" t="inlineStr">
        <is>
          <t>г Красноярск, ул Брянская, зд 65А стр 1</t>
        </is>
      </c>
      <c r="H113" s="4" t="n">
        <v>606452.15</v>
      </c>
      <c r="I113" s="4" t="n">
        <v>28741.80805687204</v>
      </c>
      <c r="J113" t="inlineStr">
        <is>
          <t>жилое здание</t>
        </is>
      </c>
      <c r="K113" s="5" t="n">
        <v>9.69</v>
      </c>
      <c r="L113" s="4" t="n">
        <v>5748.2</v>
      </c>
      <c r="M113" t="n">
        <v>2967</v>
      </c>
      <c r="N113" s="6" t="n">
        <v>1067861</v>
      </c>
      <c r="O113" t="n">
        <v>5</v>
      </c>
      <c r="Q113" t="inlineStr">
        <is>
          <t>EA</t>
        </is>
      </c>
      <c r="R113" t="inlineStr">
        <is>
          <t>М</t>
        </is>
      </c>
      <c r="S113" s="2">
        <f>HYPERLINK("https://yandex.ru/maps/?&amp;text=56.0197094, 92.8602308", "56.0197094, 92.8602308")</f>
        <v/>
      </c>
      <c r="T113" s="2">
        <f>HYPERLINK("D:\venv_torgi\env\cache\objs_in_district/56.0197094_92.8602308.json", "56.0197094_92.8602308.json")</f>
        <v/>
      </c>
      <c r="U113" t="inlineStr">
        <is>
          <t>24:50:0000000:17578</t>
        </is>
      </c>
      <c r="V113" t="n">
        <v>0</v>
      </c>
      <c r="Y113" t="n">
        <v>0</v>
      </c>
      <c r="AA113" t="n">
        <v>0</v>
      </c>
      <c r="AB113" t="n">
        <v>0</v>
      </c>
    </row>
    <row r="114">
      <c r="A114" s="7" t="n">
        <v>112</v>
      </c>
      <c r="B114" t="n">
        <v>24</v>
      </c>
      <c r="C114" s="1" t="n">
        <v>35.2</v>
      </c>
      <c r="D114" s="2">
        <f>HYPERLINK("https://torgi.gov.ru/new/public/lots/lot/21000014890000000011_1/(lotInfo:info)", "21000014890000000011_1")</f>
        <v/>
      </c>
      <c r="E114" t="inlineStr">
        <is>
          <t>нежилое помещение общей площадью 35,2 кв. м, с кадастровым номером 24:50:0700261:1479 расположено по адресу: г. Красноярск, ул. Александра Матросова, д. 30/3, пом. 54.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      </is>
      </c>
      <c r="F114" s="3" t="inlineStr">
        <is>
          <t>21.03.22 10:00</t>
        </is>
      </c>
      <c r="G114" t="inlineStr">
        <is>
          <t>г Красноярск, ул Александра Матросова, д 30/3</t>
        </is>
      </c>
      <c r="H114" s="4" t="n">
        <v>1044000</v>
      </c>
      <c r="I114" s="4" t="n">
        <v>29659.09090909091</v>
      </c>
      <c r="J114" t="inlineStr">
        <is>
          <t>Нежилое помещение</t>
        </is>
      </c>
      <c r="K114" s="5" t="n">
        <v>6.01</v>
      </c>
      <c r="L114" s="4" t="n">
        <v>7414.75</v>
      </c>
      <c r="M114" t="n">
        <v>4937</v>
      </c>
      <c r="N114" s="6" t="n">
        <v>1067861</v>
      </c>
      <c r="O114" t="n">
        <v>4</v>
      </c>
      <c r="Q114" t="inlineStr">
        <is>
          <t>EA</t>
        </is>
      </c>
      <c r="R114" t="inlineStr">
        <is>
          <t>М</t>
        </is>
      </c>
      <c r="S114" s="2">
        <f>HYPERLINK("https://yandex.ru/maps/?&amp;text=55.976074, 92.886795", "55.976074, 92.886795")</f>
        <v/>
      </c>
      <c r="T114" s="2">
        <f>HYPERLINK("D:\venv_torgi\env\cache\objs_in_district/55.976074_92.886795.json", "55.976074_92.886795.json")</f>
        <v/>
      </c>
      <c r="U114" t="inlineStr">
        <is>
          <t xml:space="preserve">24:50:0700261:1479 </t>
        </is>
      </c>
      <c r="V114" t="n">
        <v>1</v>
      </c>
      <c r="Y114" t="n">
        <v>-1</v>
      </c>
      <c r="AA114" t="n">
        <v>0</v>
      </c>
      <c r="AB114" t="n">
        <v>0</v>
      </c>
    </row>
    <row r="115">
      <c r="A115" s="7" t="n">
        <v>113</v>
      </c>
      <c r="B115" t="n">
        <v>24</v>
      </c>
      <c r="C115" s="1" t="n">
        <v>10.5</v>
      </c>
      <c r="D115" s="2">
        <f>HYPERLINK("https://torgi.gov.ru/new/public/lots/lot/21000014890000000007_1/(lotInfo:info)", "21000014890000000007_1")</f>
        <v/>
      </c>
      <c r="E115" t="inlineStr">
        <is>
          <t>нежилое помещение общей площадью 10,5 кв. м, с кадастровым номером 24:50:0700270:606 расположено по адресу: г. Красноярск, ул. Парашютная, д. 88а, пом. 218. Нежилое помещение находится на первом этаже девятиэтажного жилого дома 1985 года постройки. Отдельный вход отсутствует.</t>
        </is>
      </c>
      <c r="F115" s="3" t="inlineStr">
        <is>
          <t>09.03.22 10:00</t>
        </is>
      </c>
      <c r="G115" t="inlineStr">
        <is>
          <t>г Красноярск, ул Парашютная, д 88А</t>
        </is>
      </c>
      <c r="H115" s="4" t="n">
        <v>337900</v>
      </c>
      <c r="I115" s="4" t="n">
        <v>32180.95238095238</v>
      </c>
      <c r="J115" t="inlineStr">
        <is>
          <t>Нежилое помещение</t>
        </is>
      </c>
      <c r="K115" s="5" t="n">
        <v>7.25</v>
      </c>
      <c r="M115" t="n">
        <v>4437</v>
      </c>
      <c r="N115" s="6" t="n">
        <v>1067861</v>
      </c>
      <c r="Q115" t="inlineStr">
        <is>
          <t>EA</t>
        </is>
      </c>
      <c r="R115" t="inlineStr">
        <is>
          <t>М</t>
        </is>
      </c>
      <c r="S115" s="2">
        <f>HYPERLINK("https://yandex.ru/maps/?&amp;text=55.974026, 92.87695", "55.974026, 92.87695")</f>
        <v/>
      </c>
      <c r="U115" t="inlineStr">
        <is>
          <t xml:space="preserve">24:50:0700270:606 </t>
        </is>
      </c>
      <c r="V115" t="n">
        <v>1</v>
      </c>
      <c r="Y115" t="n">
        <v>-1</v>
      </c>
      <c r="AA115" t="n">
        <v>0</v>
      </c>
      <c r="AB115" t="n">
        <v>0</v>
      </c>
    </row>
    <row r="116">
      <c r="A116" s="7" t="n">
        <v>114</v>
      </c>
      <c r="B116" t="n">
        <v>24</v>
      </c>
      <c r="C116" s="1" t="n">
        <v>14.4</v>
      </c>
      <c r="D116" s="2">
        <f>HYPERLINK("https://torgi.gov.ru/new/public/lots/lot/21000014890000000009_1/(lotInfo:info)", "21000014890000000009_1")</f>
        <v/>
      </c>
      <c r="E116" t="inlineStr">
        <is>
          <t>нежилое помещение общей площадью 14,4 кв. м, с кадастровым номером 24:50:0400057:2588 расположено по адресу: г. Красноярск, ул. 9 Мая, д. 31а, пом. 85. Нежилое помещение находится на первом этаже четырнадцатиэтажного жилого дома 1997 года постройки. Отдельный вход отсутствует.</t>
        </is>
      </c>
      <c r="F116" s="3" t="inlineStr">
        <is>
          <t>09.03.22 10:00</t>
        </is>
      </c>
      <c r="G116" t="inlineStr">
        <is>
          <t>г Красноярск, ул 9 Мая, д 31А</t>
        </is>
      </c>
      <c r="H116" s="4" t="n">
        <v>526800</v>
      </c>
      <c r="I116" s="4" t="n">
        <v>36583.33333333334</v>
      </c>
      <c r="J116" t="inlineStr">
        <is>
          <t>Нежилое помещение</t>
        </is>
      </c>
      <c r="K116" s="5" t="n">
        <v>4.8</v>
      </c>
      <c r="L116" s="4" t="n">
        <v>1180.1</v>
      </c>
      <c r="M116" t="n">
        <v>7614</v>
      </c>
      <c r="N116" s="6" t="n">
        <v>1067861</v>
      </c>
      <c r="O116" t="n">
        <v>31</v>
      </c>
      <c r="Q116" t="inlineStr">
        <is>
          <t>EA</t>
        </is>
      </c>
      <c r="R116" t="inlineStr">
        <is>
          <t>М</t>
        </is>
      </c>
      <c r="S116" s="2">
        <f>HYPERLINK("https://yandex.ru/maps/?&amp;text=56.066957, 92.93227", "56.066957, 92.93227")</f>
        <v/>
      </c>
      <c r="T116" s="2">
        <f>HYPERLINK("D:\venv_torgi\env\cache\objs_in_district/56.066957_92.93227.json", "56.066957_92.93227.json")</f>
        <v/>
      </c>
      <c r="U116" t="inlineStr">
        <is>
          <t xml:space="preserve">24:50:0400057:2588 </t>
        </is>
      </c>
      <c r="V116" t="n">
        <v>1</v>
      </c>
      <c r="Y116" t="n">
        <v>-1</v>
      </c>
      <c r="AA116" t="n">
        <v>0</v>
      </c>
      <c r="AB116" t="n">
        <v>0</v>
      </c>
    </row>
    <row r="117">
      <c r="A117" s="7" t="n">
        <v>115</v>
      </c>
      <c r="B117" t="n">
        <v>24</v>
      </c>
      <c r="C117" s="1" t="n">
        <v>10.4</v>
      </c>
      <c r="D117" s="2">
        <f>HYPERLINK("https://torgi.gov.ru/new/public/lots/lot/21000014890000000014_1/(lotInfo:info)", "21000014890000000014_1")</f>
        <v/>
      </c>
      <c r="E117" t="inlineStr">
        <is>
          <t>нежилое помещение общей площадью 10,4 кв. м, с кадастровым номером 24:50:0400127:805 расположено по адресу: г. Красноярск, ул. Октябрьская, д. 1, пом. 215. Нежилое помещение находится на первом этаже десятиэтажного панельного жилого дома 1989 года постройки. Отдельный вход имеется.</t>
        </is>
      </c>
      <c r="F117" s="3" t="inlineStr">
        <is>
          <t>21.03.22 10:00</t>
        </is>
      </c>
      <c r="G117" t="inlineStr">
        <is>
          <t>г Красноярск, ул Октябрьская, д 1</t>
        </is>
      </c>
      <c r="H117" s="4" t="n">
        <v>1256750</v>
      </c>
      <c r="I117" s="4" t="n">
        <v>120841.3461538462</v>
      </c>
      <c r="J117" t="inlineStr">
        <is>
          <t>Нежилое помещение</t>
        </is>
      </c>
      <c r="K117" s="5" t="n">
        <v>11.08</v>
      </c>
      <c r="L117" s="4" t="n">
        <v>3180.03</v>
      </c>
      <c r="M117" t="n">
        <v>10908</v>
      </c>
      <c r="N117" s="6" t="n">
        <v>1067861</v>
      </c>
      <c r="O117" t="n">
        <v>38</v>
      </c>
      <c r="Q117" t="inlineStr">
        <is>
          <t>EA</t>
        </is>
      </c>
      <c r="R117" t="inlineStr">
        <is>
          <t>М</t>
        </is>
      </c>
      <c r="S117" s="2">
        <f>HYPERLINK("https://yandex.ru/maps/?&amp;text=56.034843, 92.919092", "56.034843, 92.919092")</f>
        <v/>
      </c>
      <c r="T117" s="2">
        <f>HYPERLINK("D:\venv_torgi\env\cache\objs_in_district/56.034843_92.919092.json", "56.034843_92.919092.json")</f>
        <v/>
      </c>
      <c r="U117" t="inlineStr">
        <is>
          <t xml:space="preserve">24:50:0400127:805 </t>
        </is>
      </c>
      <c r="V117" t="n">
        <v>1</v>
      </c>
      <c r="Y117" t="n">
        <v>1</v>
      </c>
      <c r="AA117" t="n">
        <v>0</v>
      </c>
      <c r="AB117" t="n">
        <v>0</v>
      </c>
    </row>
    <row r="118">
      <c r="A118" s="7" t="n">
        <v>116</v>
      </c>
      <c r="B118" t="n">
        <v>25</v>
      </c>
      <c r="C118" s="1" t="n">
        <v>39.7</v>
      </c>
      <c r="D118" s="2">
        <f>HYPERLINK("https://torgi.gov.ru/new/public/lots/lot/22000083720000000001_2/(lotInfo:info)", "22000083720000000001_2")</f>
        <v/>
      </c>
      <c r="E118" t="inlineStr">
        <is>
          <t>этаж № 1, площадь 39,7 кв.м, кирпичное, централизованное отопление</t>
        </is>
      </c>
      <c r="F118" s="3" t="inlineStr">
        <is>
          <t>24.05.22 23:00</t>
        </is>
      </c>
      <c r="G118" t="inlineStr">
        <is>
          <t>Приморский край, г Лесозаводск, ул Новая, д 2, помещ 3</t>
        </is>
      </c>
      <c r="H118" s="4" t="n">
        <v>213000</v>
      </c>
      <c r="I118" s="4" t="n">
        <v>5365.239294710327</v>
      </c>
      <c r="J118" t="inlineStr">
        <is>
          <t>Нежилое помещение</t>
        </is>
      </c>
      <c r="K118" s="5" t="n">
        <v>2.26</v>
      </c>
      <c r="M118" t="n">
        <v>2371</v>
      </c>
      <c r="N118" s="6" t="n">
        <v>35310</v>
      </c>
      <c r="Q118" t="inlineStr">
        <is>
          <t>EA</t>
        </is>
      </c>
      <c r="R118" t="inlineStr">
        <is>
          <t>М</t>
        </is>
      </c>
      <c r="S118" s="2">
        <f>HYPERLINK("https://yandex.ru/maps/?&amp;text=45.465757, 133.388474", "45.465757, 133.388474")</f>
        <v/>
      </c>
      <c r="U118" t="inlineStr">
        <is>
          <t>25:30:020101:10186</t>
        </is>
      </c>
      <c r="V118" t="n">
        <v>1</v>
      </c>
      <c r="Y118" t="n">
        <v>0</v>
      </c>
      <c r="AA118" t="n">
        <v>0</v>
      </c>
      <c r="AB118" t="n">
        <v>0</v>
      </c>
    </row>
    <row r="119">
      <c r="A119" s="7" t="n">
        <v>117</v>
      </c>
      <c r="B119" t="n">
        <v>25</v>
      </c>
      <c r="C119" s="1" t="n">
        <v>39.1</v>
      </c>
      <c r="D119" s="2">
        <f>HYPERLINK("https://torgi.gov.ru/new/public/lots/lot/22000083720000000001_1/(lotInfo:info)", "22000083720000000001_1")</f>
        <v/>
      </c>
      <c r="E119" t="inlineStr">
        <is>
          <t>Нежилое помещение, этаж № 1, площадь 39,1 кв.м, кадастровый номер: 25:30:020101:10185, адрес объекта: Приморский край, г. Лесозаводск, ул. Новая, д. 2, помещение 5</t>
        </is>
      </c>
      <c r="F119" s="3" t="inlineStr">
        <is>
          <t>24.05.22 23:00</t>
        </is>
      </c>
      <c r="G119" t="inlineStr">
        <is>
          <t>Приморский край, г Лесозаводск, ул Новая, д 2</t>
        </is>
      </c>
      <c r="H119" s="4" t="n">
        <v>220500</v>
      </c>
      <c r="I119" s="4" t="n">
        <v>5639.386189258312</v>
      </c>
      <c r="J119" t="inlineStr">
        <is>
          <t>Нежилое помещение</t>
        </is>
      </c>
      <c r="K119" s="5" t="n">
        <v>2.38</v>
      </c>
      <c r="M119" t="n">
        <v>2371</v>
      </c>
      <c r="N119" s="6" t="n">
        <v>35310</v>
      </c>
      <c r="Q119" t="inlineStr">
        <is>
          <t>EA</t>
        </is>
      </c>
      <c r="R119" t="inlineStr">
        <is>
          <t>М</t>
        </is>
      </c>
      <c r="S119" s="2">
        <f>HYPERLINK("https://yandex.ru/maps/?&amp;text=45.465757, 133.388474", "45.465757, 133.388474")</f>
        <v/>
      </c>
      <c r="U119" t="inlineStr">
        <is>
          <t xml:space="preserve">25:30:020101:10185, </t>
        </is>
      </c>
      <c r="V119" t="n">
        <v>1</v>
      </c>
      <c r="Y119" t="n">
        <v>0</v>
      </c>
      <c r="AA119" t="n">
        <v>0</v>
      </c>
      <c r="AB119" t="n">
        <v>0</v>
      </c>
    </row>
    <row r="120">
      <c r="A120" s="7" t="n">
        <v>118</v>
      </c>
      <c r="B120" t="n">
        <v>25</v>
      </c>
      <c r="C120" s="1" t="n">
        <v>39.5</v>
      </c>
      <c r="D120" s="2">
        <f>HYPERLINK("https://torgi.gov.ru/new/public/lots/lot/21000010280000000002_3/(lotInfo:info)", "21000010280000000002_3")</f>
        <v/>
      </c>
      <c r="E120" t="inlineStr">
        <is>
          <t>Нежилые помещения в здании (жилой дом, лит.1) назначение: нежилое, общей площадью 39,5 кв.м., этаж 1, номера на поэтажном плане 1-2 (лит.VI), кадастровый номер: 25:31:010208:3495, расположенные по адресу: Приморский край, г. Находка,                    ул. Гагарина, д. 14;</t>
        </is>
      </c>
      <c r="F120" s="3" t="inlineStr">
        <is>
          <t>10.08.22 07:00</t>
        </is>
      </c>
      <c r="G120" t="inlineStr">
        <is>
          <t>Приморский край, г Находка, ул Гагарина, д 14</t>
        </is>
      </c>
      <c r="H120" s="4" t="n">
        <v>356000</v>
      </c>
      <c r="I120" s="4" t="n">
        <v>9012.658227848102</v>
      </c>
      <c r="J120" t="inlineStr">
        <is>
          <t>Нежилое помещение</t>
        </is>
      </c>
      <c r="K120" s="5" t="n">
        <v>5.45</v>
      </c>
      <c r="M120" t="n">
        <v>1655</v>
      </c>
      <c r="N120" s="6" t="n">
        <v>148280</v>
      </c>
      <c r="Q120" t="inlineStr">
        <is>
          <t>EA</t>
        </is>
      </c>
      <c r="R120" t="inlineStr">
        <is>
          <t>М</t>
        </is>
      </c>
      <c r="S120" s="2">
        <f>HYPERLINK("https://yandex.ru/maps/?&amp;text=42.791488, 132.863903", "42.791488, 132.863903")</f>
        <v/>
      </c>
      <c r="U120" t="inlineStr">
        <is>
          <t xml:space="preserve">25:31:010208:3495, </t>
        </is>
      </c>
      <c r="V120" t="n">
        <v>1</v>
      </c>
      <c r="Y120" t="n">
        <v>0</v>
      </c>
      <c r="AA120" t="n">
        <v>0</v>
      </c>
      <c r="AB120" t="n">
        <v>0</v>
      </c>
    </row>
    <row r="121">
      <c r="A121" s="7" t="n">
        <v>119</v>
      </c>
      <c r="B121" t="n">
        <v>25</v>
      </c>
      <c r="C121" s="1" t="n">
        <v>21.5</v>
      </c>
      <c r="D121" s="2">
        <f>HYPERLINK("https://torgi.gov.ru/new/public/lots/lot/22000083720000000001_7/(lotInfo:info)", "22000083720000000001_7")</f>
        <v/>
      </c>
      <c r="E121" t="inlineStr">
        <is>
          <t>назначение: нежилое помещение, площадь 21,5 кв.м, этаж № 1</t>
        </is>
      </c>
      <c r="F121" s="3" t="inlineStr">
        <is>
          <t>24.05.22 23:00</t>
        </is>
      </c>
      <c r="G121" t="inlineStr">
        <is>
          <t>Приморский край, г Лесозаводск, ул Калининская, д 2б</t>
        </is>
      </c>
      <c r="H121" s="4" t="n">
        <v>300000</v>
      </c>
      <c r="I121" s="4" t="n">
        <v>13953.48837209302</v>
      </c>
      <c r="J121" t="inlineStr">
        <is>
          <t>Нежилое помещение</t>
        </is>
      </c>
      <c r="K121" s="5" t="n">
        <v>7.35</v>
      </c>
      <c r="M121" t="n">
        <v>1899</v>
      </c>
      <c r="N121" s="6" t="n">
        <v>35310</v>
      </c>
      <c r="Q121" t="inlineStr">
        <is>
          <t>EA</t>
        </is>
      </c>
      <c r="R121" t="inlineStr">
        <is>
          <t>М</t>
        </is>
      </c>
      <c r="S121" s="2">
        <f>HYPERLINK("https://yandex.ru/maps/?&amp;text=45.465555, 133.395391", "45.465555, 133.395391")</f>
        <v/>
      </c>
      <c r="U121" t="inlineStr">
        <is>
          <t>25:30:020101:10099</t>
        </is>
      </c>
      <c r="V121" t="n">
        <v>1</v>
      </c>
      <c r="Y121" t="n">
        <v>0</v>
      </c>
      <c r="AA121" t="n">
        <v>0</v>
      </c>
      <c r="AB121" t="n">
        <v>0</v>
      </c>
    </row>
    <row r="122">
      <c r="A122" s="7" t="n">
        <v>120</v>
      </c>
      <c r="B122" t="n">
        <v>25</v>
      </c>
      <c r="C122" s="1" t="n">
        <v>52.6</v>
      </c>
      <c r="D122" s="2">
        <f>HYPERLINK("https://torgi.gov.ru/new/public/lots/lot/22000033790000000004_1/(lotInfo:info)", "22000033790000000004_1")</f>
        <v/>
      </c>
      <c r="E122" t="inlineStr">
        <is>
          <t>1965 год постройки; запись № 25:19:000000:2499-25/066/2022-11от 06.04.2022в Едином государственном реестре прав на недвижимое имущество и сделок с ним  от 11.02.2013</t>
        </is>
      </c>
      <c r="F122" s="3" t="inlineStr">
        <is>
          <t>01.08.22 04:00</t>
        </is>
      </c>
      <c r="G122" t="inlineStr">
        <is>
          <t>Приморский край, село Камень-Рыболов, ул Кирова, д 2А</t>
        </is>
      </c>
      <c r="H122" s="4" t="n">
        <v>821803.99</v>
      </c>
      <c r="I122" s="4" t="n">
        <v>15623.65</v>
      </c>
      <c r="J122" t="inlineStr">
        <is>
          <t>Нежилое помещение</t>
        </is>
      </c>
      <c r="K122" s="5" t="n">
        <v>5.1</v>
      </c>
      <c r="L122" s="4" t="n">
        <v>743.95</v>
      </c>
      <c r="M122" t="n">
        <v>3066</v>
      </c>
      <c r="N122" s="6" t="n">
        <v>13212</v>
      </c>
      <c r="O122" t="n">
        <v>21</v>
      </c>
      <c r="Q122" t="inlineStr">
        <is>
          <t>EA</t>
        </is>
      </c>
      <c r="R122" t="inlineStr">
        <is>
          <t>М</t>
        </is>
      </c>
      <c r="S122" s="2">
        <f>HYPERLINK("https://yandex.ru/maps/?&amp;text=44.742153, 132.04353", "44.742153, 132.04353")</f>
        <v/>
      </c>
      <c r="T122" s="2">
        <f>HYPERLINK("D:\venv_torgi\env\cache\objs_in_district/44.742153_132.04353.json", "44.742153_132.04353.json")</f>
        <v/>
      </c>
      <c r="U122" t="inlineStr">
        <is>
          <t>25:19:000000:2499</t>
        </is>
      </c>
      <c r="V122" t="n">
        <v>0</v>
      </c>
      <c r="Y122" t="n">
        <v>0</v>
      </c>
      <c r="AA122" t="n">
        <v>0</v>
      </c>
      <c r="AB122" t="n">
        <v>0</v>
      </c>
    </row>
    <row r="123">
      <c r="A123" s="7" t="n">
        <v>121</v>
      </c>
      <c r="B123" t="n">
        <v>25</v>
      </c>
      <c r="C123" s="1" t="n">
        <v>147.1</v>
      </c>
      <c r="D123" s="2">
        <f>HYPERLINK("https://torgi.gov.ru/new/public/lots/lot/21000010280000000002_1/(lotInfo:info)", "21000010280000000002_1")</f>
        <v/>
      </c>
      <c r="E123" t="inlineStr">
        <is>
          <t>нежилое помещение, назначение: нежилое помещение, общая площадь 147,1 кв.м., этаж      № 01, кадастровый номер: 25:31:010208:7555, расположенное по адресу: Приморский край, г. Находка, ул. 25 Октября, д. 16;</t>
        </is>
      </c>
      <c r="F123" s="3" t="inlineStr">
        <is>
          <t>10.08.22 07:00</t>
        </is>
      </c>
      <c r="G123" t="inlineStr">
        <is>
          <t>Приморский край, г Находка, ул 25 Октября, д 16</t>
        </is>
      </c>
      <c r="H123" s="4" t="n">
        <v>3870000</v>
      </c>
      <c r="I123" s="4" t="n">
        <v>26308.63358259687</v>
      </c>
      <c r="J123" t="inlineStr">
        <is>
          <t>Нежилое помещение</t>
        </is>
      </c>
      <c r="K123" s="5" t="n">
        <v>18.17</v>
      </c>
      <c r="M123" t="n">
        <v>1448</v>
      </c>
      <c r="N123" s="6" t="n">
        <v>148280</v>
      </c>
      <c r="Q123" t="inlineStr">
        <is>
          <t>EA</t>
        </is>
      </c>
      <c r="R123" t="inlineStr">
        <is>
          <t>М</t>
        </is>
      </c>
      <c r="S123" s="2">
        <f>HYPERLINK("https://yandex.ru/maps/?&amp;text=42.786083, 132.85246", "42.786083, 132.85246")</f>
        <v/>
      </c>
      <c r="U123" t="inlineStr">
        <is>
          <t xml:space="preserve">25:31:010208:7555, </t>
        </is>
      </c>
      <c r="V123" t="n">
        <v>1</v>
      </c>
      <c r="Y123" t="n">
        <v>0</v>
      </c>
      <c r="AA123" t="n">
        <v>0</v>
      </c>
      <c r="AB123" t="n">
        <v>0</v>
      </c>
    </row>
    <row r="124">
      <c r="A124" s="7" t="n">
        <v>122</v>
      </c>
      <c r="B124" t="n">
        <v>25</v>
      </c>
      <c r="C124" s="1" t="n">
        <v>18.5</v>
      </c>
      <c r="D124" s="2">
        <f>HYPERLINK("https://torgi.gov.ru/new/public/lots/lot/22000104060000000019_4/(lotInfo:info)", "22000104060000000019_4")</f>
        <v/>
      </c>
      <c r="E124" t="inlineStr">
        <is>
          <t>Нежилое помещение в здании (бокс№26 в ГСК№173, лит.а), эт.1, кад.№ 25:28:000000:29530, пл.18,5кв.м, адрес: г. Владивосток, ул. Тухачевского, д.50а, соб-к Железков Е.А.</t>
        </is>
      </c>
      <c r="F124" s="3" t="inlineStr">
        <is>
          <t>01.08.22 02:00</t>
        </is>
      </c>
      <c r="G124" t="inlineStr">
        <is>
          <t>г Владивосток, ул Тухачевского, д 50А</t>
        </is>
      </c>
      <c r="H124" s="4" t="n">
        <v>542690</v>
      </c>
      <c r="I124" s="4" t="n">
        <v>29334.59459459459</v>
      </c>
      <c r="J124" t="inlineStr">
        <is>
          <t>Нежилое помещение</t>
        </is>
      </c>
      <c r="K124" s="5" t="n">
        <v>2.32</v>
      </c>
      <c r="L124" s="4" t="n">
        <v>480.89</v>
      </c>
      <c r="M124" t="n">
        <v>12667</v>
      </c>
      <c r="N124" s="6" t="n">
        <v>633102</v>
      </c>
      <c r="O124" t="n">
        <v>61</v>
      </c>
      <c r="Q124" t="inlineStr">
        <is>
          <t>EA</t>
        </is>
      </c>
      <c r="R124" t="inlineStr">
        <is>
          <t>Д</t>
        </is>
      </c>
      <c r="S124" s="2">
        <f>HYPERLINK("https://yandex.ru/maps/?&amp;text=43.158554, 131.92978", "43.158554, 131.92978")</f>
        <v/>
      </c>
      <c r="T124" s="2">
        <f>HYPERLINK("D:\venv_torgi\env\cache\objs_in_district/43.158554_131.92978.json", "43.158554_131.92978.json")</f>
        <v/>
      </c>
      <c r="U124" t="inlineStr">
        <is>
          <t xml:space="preserve">25:28:000000:29530, </t>
        </is>
      </c>
      <c r="V124" t="n">
        <v>1</v>
      </c>
      <c r="Y124" t="n">
        <v>0</v>
      </c>
      <c r="AA124" t="n">
        <v>0</v>
      </c>
      <c r="AB124" t="n">
        <v>0</v>
      </c>
    </row>
    <row r="125">
      <c r="A125" s="7" t="n">
        <v>123</v>
      </c>
      <c r="B125" t="n">
        <v>26</v>
      </c>
      <c r="C125" s="1" t="n">
        <v>77.7</v>
      </c>
      <c r="D125" s="2">
        <f>HYPERLINK("https://torgi.gov.ru/new/public/lots/lot/21000003220000000006_1/(lotInfo:info)", "21000003220000000006_1")</f>
        <v/>
      </c>
      <c r="E125" t="inlineStr">
        <is>
          <t>административное здание с земельным участком, назначение: нежилое, общей площадью 77,7 кв. м, расположенное по адресу: Ставропольский край, р-н Буденновский, с. Новая Жизнь, ул. Шоссейная, д. 3 А, кадастровый номер: 26:20:030311:113. Земельный участок, площадью 411 кв. м, из категории земель «земли населенных пунктов», разрешенное использование: под административно-управленческими и общественными объектами, с кадастровым номером 26:20:030311:404, расположенный по адресу: Российская Федерация, Ставропольский край, Буденновский район, село Новая Жизнь, улица Шоссейная, 3 «А»</t>
        </is>
      </c>
      <c r="F125" s="3" t="inlineStr">
        <is>
          <t>27.06.22 13:00</t>
        </is>
      </c>
      <c r="G125" t="inlineStr">
        <is>
          <t>Ставропольский край, Буденновский р-н, село Новая Жизнь, ул Шоссейная, зд 3а</t>
        </is>
      </c>
      <c r="H125" s="4" t="n">
        <v>163755</v>
      </c>
      <c r="I125" s="4" t="n">
        <v>2107.528957528958</v>
      </c>
      <c r="J125" t="inlineStr">
        <is>
          <t>административное здание</t>
        </is>
      </c>
      <c r="K125" s="5" t="n">
        <v>8.460000000000001</v>
      </c>
      <c r="L125" s="4" t="inlineStr"/>
      <c r="M125" t="n">
        <v>249</v>
      </c>
      <c r="O125" t="inlineStr"/>
      <c r="Q125" t="inlineStr">
        <is>
          <t>BOC</t>
        </is>
      </c>
      <c r="R125" t="inlineStr">
        <is>
          <t>М</t>
        </is>
      </c>
      <c r="S125" s="2">
        <f>HYPERLINK("https://yandex.ru/maps/?&amp;text=44.893107, 44.086134", "44.893107, 44.086134")</f>
        <v/>
      </c>
      <c r="T125" s="8">
        <f>HYPERLINK("D:\venv_torgi\env\cache\objs_in_district/44.893107_44.086134.json", "44.893107_44.086134.json")</f>
        <v/>
      </c>
      <c r="U125" t="inlineStr">
        <is>
          <t>26:20:030311:113</t>
        </is>
      </c>
      <c r="V125" t="n">
        <v>1</v>
      </c>
      <c r="Y125" t="n">
        <v>0</v>
      </c>
      <c r="AA125" t="n">
        <v>0</v>
      </c>
      <c r="AB125" t="n">
        <v>1</v>
      </c>
    </row>
    <row r="126">
      <c r="A126" s="7" t="n">
        <v>124</v>
      </c>
      <c r="B126" t="n">
        <v>26</v>
      </c>
      <c r="C126" s="1" t="n">
        <v>77.7</v>
      </c>
      <c r="D126" s="2">
        <f>HYPERLINK("https://torgi.gov.ru/new/public/lots/lot/21000003220000000008_1/(lotInfo:info)", "21000003220000000008_1")</f>
        <v/>
      </c>
      <c r="E126" t="inlineStr">
        <is>
          <t>административное здание с земельным участком, назначение: нежилое, общей площадью 77,7 кв. м, расположенное по адресу: Ставропольский край, р-н Буденновский, с. Новая Жизнь, ул. Шоссейная, д. 3 А, кадастровый номер: 26:20:030311:113. Земельный участок, площадью 411 кв. м, из категории земель «земли населенных пунктов», разрешенное использование: под административно-управленческими и общественными объектами, с кадастровым номером 26:20:030311:404, расположенный по адресу: Российская Федерация, Ставропольский край, Буденновский район, село Новая Жизнь, улица Шоссейная, 3 «А»</t>
        </is>
      </c>
      <c r="F126" s="3" t="inlineStr">
        <is>
          <t>31.08.22 13:00</t>
        </is>
      </c>
      <c r="G126" t="inlineStr">
        <is>
          <t>Ставропольский край, Буденновский р-н, село Новая Жизнь, ул Шоссейная, зд 3а</t>
        </is>
      </c>
      <c r="H126" s="4" t="n">
        <v>181100</v>
      </c>
      <c r="I126" s="4" t="n">
        <v>2330.759330759331</v>
      </c>
      <c r="J126" t="inlineStr">
        <is>
          <t>административное здание</t>
        </is>
      </c>
      <c r="K126" s="5" t="n">
        <v>9.359999999999999</v>
      </c>
      <c r="L126" s="4" t="inlineStr"/>
      <c r="M126" t="n">
        <v>249</v>
      </c>
      <c r="O126" t="inlineStr"/>
      <c r="Q126" t="inlineStr">
        <is>
          <t>BOC</t>
        </is>
      </c>
      <c r="R126" t="inlineStr">
        <is>
          <t>М</t>
        </is>
      </c>
      <c r="S126" s="2">
        <f>HYPERLINK("https://yandex.ru/maps/?&amp;text=44.893107, 44.086134", "44.893107, 44.086134")</f>
        <v/>
      </c>
      <c r="T126" s="8">
        <f>HYPERLINK("D:\venv_torgi\env\cache\objs_in_district/44.893107_44.086134.json", "44.893107_44.086134.json")</f>
        <v/>
      </c>
      <c r="U126" t="inlineStr">
        <is>
          <t>26:20:030311:113</t>
        </is>
      </c>
      <c r="V126" t="n">
        <v>1</v>
      </c>
      <c r="Y126" t="n">
        <v>0</v>
      </c>
      <c r="AA126" t="n">
        <v>0</v>
      </c>
      <c r="AB126" t="n">
        <v>1</v>
      </c>
    </row>
    <row r="127">
      <c r="A127" s="7" t="n">
        <v>125</v>
      </c>
      <c r="B127" t="n">
        <v>26</v>
      </c>
      <c r="C127" s="1" t="n">
        <v>169.9</v>
      </c>
      <c r="D127" s="2">
        <f>HYPERLINK("https://torgi.gov.ru/new/public/lots/lot/21000004820000000001_5/(lotInfo:info)", "21000004820000000001_5")</f>
        <v/>
      </c>
      <c r="E127" t="inlineStr">
        <is>
          <t>Нежилое помещение, 1 этаж, кадастровый № 26:33:020202:319</t>
        </is>
      </c>
      <c r="F127" s="3" t="inlineStr">
        <is>
          <t>28.02.22 20:59</t>
        </is>
      </c>
      <c r="G127" t="inlineStr">
        <is>
          <t>Ставропольский край, г Пятигорск, ул Ермолова, д 253</t>
        </is>
      </c>
      <c r="H127" s="4" t="n">
        <v>1219000</v>
      </c>
      <c r="I127" s="4" t="n">
        <v>7174.808711006474</v>
      </c>
      <c r="J127" t="inlineStr">
        <is>
          <t>Нежилое помещение</t>
        </is>
      </c>
      <c r="K127" s="5" t="n">
        <v>1.9</v>
      </c>
      <c r="L127" s="4" t="n">
        <v>2391.33</v>
      </c>
      <c r="M127" t="n">
        <v>3767</v>
      </c>
      <c r="N127" s="6" t="n">
        <v>213995</v>
      </c>
      <c r="O127" t="n">
        <v>3</v>
      </c>
      <c r="Q127" t="inlineStr">
        <is>
          <t>EA</t>
        </is>
      </c>
      <c r="R127" t="inlineStr">
        <is>
          <t>М</t>
        </is>
      </c>
      <c r="S127" s="2">
        <f>HYPERLINK("https://yandex.ru/maps/?&amp;text=44.052618, 42.983919", "44.052618, 42.983919")</f>
        <v/>
      </c>
      <c r="T127" s="2">
        <f>HYPERLINK("D:\venv_torgi\env\cache\objs_in_district/44.052618_42.983919.json", "44.052618_42.983919.json")</f>
        <v/>
      </c>
      <c r="U127" t="inlineStr">
        <is>
          <t>26:33:020202:319</t>
        </is>
      </c>
      <c r="V127" t="n">
        <v>1</v>
      </c>
      <c r="Y127" t="n">
        <v>0</v>
      </c>
      <c r="AA127" t="n">
        <v>0</v>
      </c>
      <c r="AB127" t="n">
        <v>0</v>
      </c>
    </row>
    <row r="128">
      <c r="A128" s="7" t="n">
        <v>126</v>
      </c>
      <c r="B128" t="n">
        <v>26</v>
      </c>
      <c r="C128" s="1" t="n">
        <v>311.9</v>
      </c>
      <c r="D128" s="2">
        <f>HYPERLINK("https://torgi.gov.ru/new/public/lots/lot/21000003150000000001_4/(lotInfo:info)", "21000003150000000001_4")</f>
        <v/>
      </c>
      <c r="E128" t="inlineStr">
        <is>
          <t>нежилое помещение, этаж 2, кадастровый номер: 26:16:040603:913, площадью 311,9 кв. метра, с адресом - Ставропольский край, город Невинномысск, улица Гагарина, 7Б, помещение 28-51;</t>
        </is>
      </c>
      <c r="F128" s="3" t="inlineStr">
        <is>
          <t>21.02.22 15:00</t>
        </is>
      </c>
      <c r="G128" t="inlineStr">
        <is>
          <t>Ставропольский край, г Невинномысск, ул Гагарина, д 7б</t>
        </is>
      </c>
      <c r="H128" s="4" t="n">
        <v>3329760.19</v>
      </c>
      <c r="I128" s="4" t="n">
        <v>10675.73000961847</v>
      </c>
      <c r="J128" t="inlineStr">
        <is>
          <t>Нежилое помещение</t>
        </is>
      </c>
      <c r="K128" s="5" t="n">
        <v>3.8</v>
      </c>
      <c r="L128" s="4" t="n">
        <v>313.97</v>
      </c>
      <c r="M128" t="n">
        <v>2808</v>
      </c>
      <c r="N128" s="6" t="n">
        <v>117868</v>
      </c>
      <c r="O128" t="n">
        <v>34</v>
      </c>
      <c r="Q128" t="inlineStr">
        <is>
          <t>PP</t>
        </is>
      </c>
      <c r="R128" t="inlineStr">
        <is>
          <t>М</t>
        </is>
      </c>
      <c r="S128" s="2">
        <f>HYPERLINK("https://yandex.ru/maps/?&amp;text=44.64261, 41.941593", "44.64261, 41.941593")</f>
        <v/>
      </c>
      <c r="T128" s="2">
        <f>HYPERLINK("D:\venv_torgi\env\cache\objs_in_district/44.64261_41.941593.json", "44.64261_41.941593.json")</f>
        <v/>
      </c>
      <c r="U128" t="inlineStr">
        <is>
          <t xml:space="preserve">26:16:040603:913, </t>
        </is>
      </c>
      <c r="V128" t="n">
        <v>2</v>
      </c>
      <c r="Y128" t="n">
        <v>0</v>
      </c>
      <c r="AA128" t="n">
        <v>0</v>
      </c>
      <c r="AB128" t="n">
        <v>0</v>
      </c>
    </row>
    <row r="129">
      <c r="A129" s="7" t="n">
        <v>127</v>
      </c>
      <c r="B129" t="n">
        <v>26</v>
      </c>
      <c r="C129" s="1" t="n">
        <v>104.8</v>
      </c>
      <c r="D129" s="2">
        <f>HYPERLINK("https://torgi.gov.ru/new/public/lots/lot/21000011380000000001_1/(lotInfo:info)", "21000011380000000001_1")</f>
        <v/>
      </c>
      <c r="E129" t="inlineStr">
        <is>
          <t>нежилые помещения общей площадью 104,8 кв.м, с кадастровым номером  26:32:030202:179, расположенного в цокольном этаже по адресу: Ставропольский край, город Лермонтов,  проезд Химиков,  д.13, (помещения 1-14)</t>
        </is>
      </c>
      <c r="F129" s="3" t="inlineStr">
        <is>
          <t>15.07.22 07:00</t>
        </is>
      </c>
      <c r="G129" t="inlineStr">
        <is>
          <t>Ставропольский край, г Лермонтов, проезд Химиков, двлд 13</t>
        </is>
      </c>
      <c r="H129" s="4" t="n">
        <v>1512000</v>
      </c>
      <c r="I129" s="4" t="n">
        <v>14427.48091603053</v>
      </c>
      <c r="J129" t="inlineStr">
        <is>
          <t>Нежилое помещение</t>
        </is>
      </c>
      <c r="K129" s="5" t="n">
        <v>7.64</v>
      </c>
      <c r="L129" s="4" t="n">
        <v>1311.55</v>
      </c>
      <c r="M129" t="n">
        <v>1888</v>
      </c>
      <c r="N129" s="6" t="n">
        <v>24941</v>
      </c>
      <c r="O129" t="n">
        <v>11</v>
      </c>
      <c r="Q129" t="inlineStr">
        <is>
          <t>EA</t>
        </is>
      </c>
      <c r="R129" t="inlineStr">
        <is>
          <t>М</t>
        </is>
      </c>
      <c r="S129" s="2">
        <f>HYPERLINK("https://yandex.ru/maps/?&amp;text=44.109623, 42.98381", "44.109623, 42.98381")</f>
        <v/>
      </c>
      <c r="T129" s="2">
        <f>HYPERLINK("D:\venv_torgi\env\cache\objs_in_district/44.109623_42.98381.json", "44.109623_42.98381.json")</f>
        <v/>
      </c>
      <c r="U129" t="inlineStr">
        <is>
          <t xml:space="preserve">26:32:030202:179, </t>
        </is>
      </c>
      <c r="V129" t="n">
        <v>0</v>
      </c>
      <c r="Y129" t="n">
        <v>0</v>
      </c>
      <c r="AA129" t="n">
        <v>0</v>
      </c>
      <c r="AB129" t="n">
        <v>0</v>
      </c>
    </row>
    <row r="130">
      <c r="A130" s="7" t="n">
        <v>128</v>
      </c>
      <c r="B130" t="n">
        <v>26</v>
      </c>
      <c r="C130" s="1" t="n">
        <v>81.5</v>
      </c>
      <c r="D130" s="2">
        <f>HYPERLINK("https://torgi.gov.ru/new/public/lots/lot/21000004820000000003_3/(lotInfo:info)", "21000004820000000003_3")</f>
        <v/>
      </c>
      <c r="E130" t="inlineStr">
        <is>
          <t>Нежилые помещения, цокольный этаж, кадастровый № 26:33:130304:852г. Пятигорск, проспект Калинина, 2, корпус 3, площадь 81,5 кв.м.</t>
        </is>
      </c>
      <c r="F130" s="3" t="inlineStr">
        <is>
          <t>17.04.22 21:00</t>
        </is>
      </c>
      <c r="G130" t="inlineStr">
        <is>
          <t>Ставропольский край, г Пятигорск, пр-кт Калинина, д 2 к 3</t>
        </is>
      </c>
      <c r="H130" s="4" t="n">
        <v>1176000</v>
      </c>
      <c r="I130" s="4" t="n">
        <v>14429.44785276074</v>
      </c>
      <c r="J130" t="inlineStr">
        <is>
          <t>Нежилое помещение</t>
        </is>
      </c>
      <c r="K130" s="5" t="n">
        <v>3.91</v>
      </c>
      <c r="L130" s="4" t="n">
        <v>335.56</v>
      </c>
      <c r="M130" t="n">
        <v>3686</v>
      </c>
      <c r="N130" s="6" t="n">
        <v>213995</v>
      </c>
      <c r="O130" t="n">
        <v>43</v>
      </c>
      <c r="Q130" t="inlineStr">
        <is>
          <t>EA</t>
        </is>
      </c>
      <c r="R130" t="inlineStr">
        <is>
          <t>М</t>
        </is>
      </c>
      <c r="S130" s="2">
        <f>HYPERLINK("https://yandex.ru/maps/?&amp;text=44.057153, 43.066097", "44.057153, 43.066097")</f>
        <v/>
      </c>
      <c r="T130" s="2">
        <f>HYPERLINK("D:\venv_torgi\env\cache\objs_in_district/44.057153_43.066097.json", "44.057153_43.066097.json")</f>
        <v/>
      </c>
      <c r="U130" t="inlineStr">
        <is>
          <t>26:33:130304:852</t>
        </is>
      </c>
      <c r="V130" t="n">
        <v>0</v>
      </c>
      <c r="Y130" t="n">
        <v>0</v>
      </c>
      <c r="AA130" t="n">
        <v>0</v>
      </c>
      <c r="AB130" t="n">
        <v>0</v>
      </c>
    </row>
    <row r="131">
      <c r="A131" s="7" t="n">
        <v>129</v>
      </c>
      <c r="B131" t="n">
        <v>26</v>
      </c>
      <c r="C131" s="1" t="n">
        <v>45.8</v>
      </c>
      <c r="D131" s="2">
        <f>HYPERLINK("https://torgi.gov.ru/new/public/lots/lot/21000016400000000002_14/(lotInfo:info)", "21000016400000000002_14")</f>
        <v/>
      </c>
      <c r="E131" t="inlineStr">
        <is>
          <t>Нежилое помещение, назначение нежилое помещение, этаж 1, площадь 45,8 кв. м, кадастровый номер 26:31:010315:760</t>
        </is>
      </c>
      <c r="F131" s="3" t="inlineStr">
        <is>
          <t>22.03.22 10:00</t>
        </is>
      </c>
      <c r="G131" t="inlineStr">
        <is>
          <t>Ставропольский край, г Железноводск, ул Семашко, д 9-11, кв 46</t>
        </is>
      </c>
      <c r="H131" s="4" t="n">
        <v>1174000</v>
      </c>
      <c r="I131" s="4" t="n">
        <v>25633.18777292576</v>
      </c>
      <c r="J131" t="inlineStr">
        <is>
          <t>Нежилое помещение</t>
        </is>
      </c>
      <c r="K131" s="5" t="n">
        <v>23.09</v>
      </c>
      <c r="L131" s="4" t="n">
        <v>1349.11</v>
      </c>
      <c r="M131" t="n">
        <v>1110</v>
      </c>
      <c r="N131" s="6" t="n">
        <v>52862</v>
      </c>
      <c r="O131" t="n">
        <v>19</v>
      </c>
      <c r="Q131" t="inlineStr">
        <is>
          <t>EA</t>
        </is>
      </c>
      <c r="R131" t="inlineStr">
        <is>
          <t>М</t>
        </is>
      </c>
      <c r="S131" s="2">
        <f>HYPERLINK("https://yandex.ru/maps/?&amp;text=44.134393, 43.026095", "44.134393, 43.026095")</f>
        <v/>
      </c>
      <c r="T131" s="2">
        <f>HYPERLINK("D:\venv_torgi\env\cache\objs_in_district/44.134393_43.026095.json", "44.134393_43.026095.json")</f>
        <v/>
      </c>
      <c r="U131" t="inlineStr">
        <is>
          <t>26:31:010315:760</t>
        </is>
      </c>
      <c r="V131" t="n">
        <v>1</v>
      </c>
      <c r="Y131" t="n">
        <v>0</v>
      </c>
      <c r="AA131" t="n">
        <v>0</v>
      </c>
      <c r="AB131" t="n">
        <v>0</v>
      </c>
    </row>
    <row r="132">
      <c r="A132" s="7" t="n">
        <v>130</v>
      </c>
      <c r="B132" t="n">
        <v>26</v>
      </c>
      <c r="C132" s="1" t="n">
        <v>67</v>
      </c>
      <c r="D132" s="2">
        <f>HYPERLINK("https://torgi.gov.ru/new/public/lots/lot/21000003150000000002_5/(lotInfo:info)", "21000003150000000002_5")</f>
        <v/>
      </c>
      <c r="E132" t="inlineStr">
        <is>
          <t>нежилое помещение, этаж 1, кадастровый номер: 26:16:040804:5924, площадью 67,0 кв. метра, с адресом - Ставропольский край, город Невинномысск, улица Северная, дом 12»</t>
        </is>
      </c>
      <c r="F132" s="3" t="inlineStr">
        <is>
          <t>27.05.22 15:00</t>
        </is>
      </c>
      <c r="G132" t="inlineStr">
        <is>
          <t>Ставропольский край, г Невинномысск, ул Северная, д 12</t>
        </is>
      </c>
      <c r="H132" s="4" t="n">
        <v>2065000</v>
      </c>
      <c r="I132" s="4" t="n">
        <v>30820.89552238806</v>
      </c>
      <c r="J132" t="inlineStr">
        <is>
          <t>Нежилое помещение</t>
        </is>
      </c>
      <c r="K132" s="5" t="n">
        <v>7.14</v>
      </c>
      <c r="L132" s="4" t="n">
        <v>5136.67</v>
      </c>
      <c r="M132" t="n">
        <v>4314</v>
      </c>
      <c r="N132" s="6" t="n">
        <v>117868</v>
      </c>
      <c r="O132" t="n">
        <v>6</v>
      </c>
      <c r="Q132" t="inlineStr">
        <is>
          <t>EA</t>
        </is>
      </c>
      <c r="R132" t="inlineStr">
        <is>
          <t>М</t>
        </is>
      </c>
      <c r="S132" s="2">
        <f>HYPERLINK("https://yandex.ru/maps/?&amp;text=44.637857, 41.952402", "44.637857, 41.952402")</f>
        <v/>
      </c>
      <c r="T132" s="2">
        <f>HYPERLINK("D:\venv_torgi\env\cache\objs_in_district/44.637857_41.952402.json", "44.637857_41.952402.json")</f>
        <v/>
      </c>
      <c r="U132" t="inlineStr">
        <is>
          <t xml:space="preserve">26:16:040804:5924, </t>
        </is>
      </c>
      <c r="V132" t="n">
        <v>1</v>
      </c>
      <c r="Y132" t="n">
        <v>0</v>
      </c>
      <c r="AA132" t="n">
        <v>0</v>
      </c>
      <c r="AB132" t="n">
        <v>0</v>
      </c>
    </row>
    <row r="133">
      <c r="A133" s="7" t="n">
        <v>131</v>
      </c>
      <c r="B133" t="n">
        <v>26</v>
      </c>
      <c r="C133" s="1" t="n">
        <v>108.1</v>
      </c>
      <c r="D133" s="2">
        <f>HYPERLINK("https://torgi.gov.ru/new/public/lots/lot/22000102650000000001_2/(lotInfo:info)", "22000102650000000001_2")</f>
        <v/>
      </c>
      <c r="E133" t="inlineStr">
        <is>
          <t>нежилое помещение площадью 108,1 кв. м, с кадастровым номером 26:34:020117:141</t>
        </is>
      </c>
      <c r="F133" s="3" t="inlineStr">
        <is>
          <t>24.06.22 14:00</t>
        </is>
      </c>
      <c r="G133" t="inlineStr">
        <is>
          <t>г. Кисловодск, ул. Красноармейская, 10</t>
        </is>
      </c>
      <c r="H133" s="4" t="n">
        <v>9321000</v>
      </c>
      <c r="I133" s="4" t="n">
        <v>86225.71692876966</v>
      </c>
      <c r="J133" t="inlineStr">
        <is>
          <t>Нежилое помещение</t>
        </is>
      </c>
      <c r="K133" s="5" t="n">
        <v>25.33</v>
      </c>
      <c r="L133" s="4" t="n">
        <v>1249.64</v>
      </c>
      <c r="M133" t="n">
        <v>3404</v>
      </c>
      <c r="N133" s="6" t="n">
        <v>136907</v>
      </c>
      <c r="O133" t="n">
        <v>69</v>
      </c>
      <c r="Q133" t="inlineStr">
        <is>
          <t>EA</t>
        </is>
      </c>
      <c r="R133" t="inlineStr">
        <is>
          <t>М</t>
        </is>
      </c>
      <c r="S133" s="2">
        <f>HYPERLINK("https://yandex.ru/maps/?&amp;text=43.897704, 42.713787", "43.897704, 42.713787")</f>
        <v/>
      </c>
      <c r="T133" s="2">
        <f>HYPERLINK("D:\venv_torgi\env\cache\objs_in_district/43.897704_42.713787.json", "43.897704_42.713787.json")</f>
        <v/>
      </c>
      <c r="U133" t="inlineStr">
        <is>
          <t>26:34:020117:141</t>
        </is>
      </c>
      <c r="V133" t="n">
        <v>0</v>
      </c>
      <c r="Y133" t="n">
        <v>0</v>
      </c>
      <c r="AA133" t="n">
        <v>0</v>
      </c>
      <c r="AB133" t="n">
        <v>0</v>
      </c>
    </row>
    <row r="134">
      <c r="A134" s="7" t="n">
        <v>132</v>
      </c>
      <c r="B134" t="n">
        <v>27</v>
      </c>
      <c r="C134" s="1" t="n">
        <v>27.8</v>
      </c>
      <c r="D134" s="2">
        <f>HYPERLINK("https://torgi.gov.ru/new/public/lots/lot/22000031940000000003_1/(lotInfo:info)", "22000031940000000003_1")</f>
        <v/>
      </c>
      <c r="E134" t="inlineStr">
        <is>
          <t>Нежилое помещение, расположенное по адресу: Хабаровский край, Советско-Гаванский район, п. Заветы Ильича, ул. Николаева, д.2, кв. 66., общей площадью 27,8 кв.м, кадастровый номер 27:13:0103013:1384, 1 этаж</t>
        </is>
      </c>
      <c r="F134" s="3" t="inlineStr">
        <is>
          <t>13.06.22 08:00</t>
        </is>
      </c>
      <c r="G134" t="inlineStr">
        <is>
          <t>Хабаровский край, Советско-Гаванский р-н, рп Заветы Ильича, ул Николаева, д 2</t>
        </is>
      </c>
      <c r="H134" s="4" t="n">
        <v>116000</v>
      </c>
      <c r="I134" s="4" t="n">
        <v>4172.661870503597</v>
      </c>
      <c r="J134" t="inlineStr">
        <is>
          <t>Нежилое помещение</t>
        </is>
      </c>
      <c r="K134" s="5" t="n">
        <v>5.72</v>
      </c>
      <c r="M134" t="n">
        <v>729</v>
      </c>
      <c r="N134" s="6" t="n">
        <v>8455</v>
      </c>
      <c r="Q134" t="inlineStr">
        <is>
          <t>EA</t>
        </is>
      </c>
      <c r="R134" t="inlineStr">
        <is>
          <t>М</t>
        </is>
      </c>
      <c r="S134" s="2">
        <f>HYPERLINK("https://yandex.ru/maps/?&amp;text=49.0276795, 140.2695949", "49.0276795, 140.2695949")</f>
        <v/>
      </c>
      <c r="U134" t="inlineStr">
        <is>
          <t xml:space="preserve">27:13:0103013:1384, </t>
        </is>
      </c>
      <c r="V134" t="n">
        <v>1</v>
      </c>
      <c r="Y134" t="n">
        <v>0</v>
      </c>
      <c r="AA134" t="n">
        <v>0</v>
      </c>
      <c r="AB134" t="n">
        <v>0</v>
      </c>
    </row>
    <row r="135">
      <c r="A135" s="7" t="n">
        <v>133</v>
      </c>
      <c r="B135" t="n">
        <v>27</v>
      </c>
      <c r="C135" s="1" t="n">
        <v>313.3</v>
      </c>
      <c r="D135" s="2">
        <f>HYPERLINK("https://torgi.gov.ru/new/public/lots/lot/22000025880000000007_1/(lotInfo:info)", "22000025880000000007_1")</f>
        <v/>
      </c>
      <c r="E135" t="inlineStr">
        <is>
          <t>Функциональное нежилое помещение детской молочной кухни I (51-77) , кадастровый номер 27:08:0010335:1321, площадью 313,3 кв. м, год постройки – 1979 , расположенное на 1 этаже 5-ти этажного жилого дома по  адресу: Хабаровский край, район имени Лазо, пос.Хор, ул.Менделеева, д. 2, состояние отделки неудовлетворительное, уровень износа 50,5%.</t>
        </is>
      </c>
      <c r="F135" s="3" t="inlineStr">
        <is>
          <t>11.07.22 07:00</t>
        </is>
      </c>
      <c r="G135" t="inlineStr">
        <is>
          <t>Хабаровский край, р-н Имени Лазо, рп Хор, ул Менделеева, д 2</t>
        </is>
      </c>
      <c r="H135" s="4" t="n">
        <v>2511495</v>
      </c>
      <c r="I135" s="4" t="n">
        <v>8016.262368337057</v>
      </c>
      <c r="J135" t="inlineStr">
        <is>
          <t>молочной кухни</t>
        </is>
      </c>
      <c r="K135" s="5" t="n">
        <v>4.8</v>
      </c>
      <c r="L135" s="4" t="n">
        <v>501</v>
      </c>
      <c r="M135" t="n">
        <v>1671</v>
      </c>
      <c r="O135" t="n">
        <v>16</v>
      </c>
      <c r="Q135" t="inlineStr">
        <is>
          <t>EA</t>
        </is>
      </c>
      <c r="R135" t="inlineStr">
        <is>
          <t>М</t>
        </is>
      </c>
      <c r="S135" s="2">
        <f>HYPERLINK("https://yandex.ru/maps/?&amp;text=47.90069, 134.951632", "47.90069, 134.951632")</f>
        <v/>
      </c>
      <c r="T135" s="2">
        <f>HYPERLINK("D:\venv_torgi\env\cache\objs_in_district/47.90069_134.951632.json", "47.90069_134.951632.json")</f>
        <v/>
      </c>
      <c r="U135" t="inlineStr">
        <is>
          <t xml:space="preserve">27:08:0010335:1321, </t>
        </is>
      </c>
      <c r="V135" t="n">
        <v>1</v>
      </c>
      <c r="Y135" t="n">
        <v>0</v>
      </c>
      <c r="AA135" t="n">
        <v>-1</v>
      </c>
      <c r="AB135" t="n">
        <v>0</v>
      </c>
    </row>
    <row r="136">
      <c r="A136" s="7" t="n">
        <v>134</v>
      </c>
      <c r="B136" t="n">
        <v>27</v>
      </c>
      <c r="C136" s="1" t="n">
        <v>73.2</v>
      </c>
      <c r="D136" s="2">
        <f>HYPERLINK("https://torgi.gov.ru/new/public/lots/lot/21000032990000000005_1/(lotInfo:info)", "21000032990000000005_1")</f>
        <v/>
      </c>
      <c r="E136" t="inlineStr">
        <is>
          <t>нежилое функциональное помещение общей площадью 73,2 кв.м (кадастровый номер 27:23:0011137:94) расположенное по адресу: Хабаровский край, г. Хабаровск, ул. Тихоокеанская,д.147 пом. I (1-7)</t>
        </is>
      </c>
      <c r="F136" s="3" t="inlineStr">
        <is>
          <t>08.04.22 07:00</t>
        </is>
      </c>
      <c r="G136" t="inlineStr">
        <is>
          <t>г Хабаровск, ул Тихоокеанская, д 147</t>
        </is>
      </c>
      <c r="H136" s="4" t="n">
        <v>729340</v>
      </c>
      <c r="I136" s="4" t="n">
        <v>9963.661202185793</v>
      </c>
      <c r="J136" t="inlineStr">
        <is>
          <t>Нежилое помещение</t>
        </is>
      </c>
      <c r="K136" s="5" t="n">
        <v>7.17</v>
      </c>
      <c r="L136" s="4" t="n">
        <v>830.25</v>
      </c>
      <c r="M136" t="n">
        <v>1389</v>
      </c>
      <c r="N136" s="6" t="n">
        <v>617473</v>
      </c>
      <c r="O136" t="n">
        <v>12</v>
      </c>
      <c r="Q136" t="inlineStr">
        <is>
          <t>EA</t>
        </is>
      </c>
      <c r="R136" t="inlineStr">
        <is>
          <t>М</t>
        </is>
      </c>
      <c r="S136" s="2">
        <f>HYPERLINK("https://yandex.ru/maps/?&amp;text=48.52408, 135.04886", "48.52408, 135.04886")</f>
        <v/>
      </c>
      <c r="T136" s="2">
        <f>HYPERLINK("D:\venv_torgi\env\cache\objs_in_district/48.52408_135.04886.json", "48.52408_135.04886.json")</f>
        <v/>
      </c>
      <c r="U136" t="inlineStr">
        <is>
          <t>27:23:0011137:94</t>
        </is>
      </c>
      <c r="V136" t="n">
        <v>1</v>
      </c>
      <c r="Y136" t="n">
        <v>0</v>
      </c>
      <c r="AA136" t="n">
        <v>0</v>
      </c>
      <c r="AB136" t="n">
        <v>0</v>
      </c>
    </row>
    <row r="137">
      <c r="A137" s="7" t="n">
        <v>135</v>
      </c>
      <c r="B137" t="n">
        <v>27</v>
      </c>
      <c r="C137" s="1" t="n">
        <v>324.9</v>
      </c>
      <c r="D137" s="2">
        <f>HYPERLINK("https://torgi.gov.ru/new/public/lots/lot/21000028770000000002_1/(lotInfo:info)", "21000028770000000002_1")</f>
        <v/>
      </c>
      <c r="E137" t="inlineStr">
        <is>
          <t>помещение III(1), площадь 8,3 кв.м, №27:05:0601087:190;помещение III(2), площадь 10,4 кв.м, №27:05:0601087:191;помещение III(3), площадь 21,2 кв.м, №27:05:0601087:192;помещение III(5), площадь 19,5 кв.м, №27:05:0601087:193;помещение III(6), площадь 26,8 кв.м, №27:05:0601087:194;помещение III(7), площадь 12,5 кв.м, №27:05:0601087:195;помещение III(8,9), площадь 12,4 кв.м, №27:05:0601087:196;помещение III(10), площадь 12,8 кв.м, №27:05:0601087:198;помещение III(11), площадь 14,1 кв.м, №27:05:0601087:199;помещение III(12), площадь 24,9 кв.м, №27:05:0601087:200;помещение III(13), площадь 26,2 кв.м, №27:05:0601087:201;помещение III(14), площадь 26,1 кв.м, №27:05:0601087:202;помещение III(15), площадь 29,9 кв.м, №27:05:0601087:203;помещение III(16), площадь 24,5 кв.м, №27:05:0601087:204;помещение III(17), площадь 10,8 кв.м, № 27:05:0601087:205;помещение III(18-20), площадь 44,5кв.м, № 27:05:0601087:206.</t>
        </is>
      </c>
      <c r="F137" s="3" t="inlineStr">
        <is>
          <t>26.02.22 07:00</t>
        </is>
      </c>
      <c r="G137" t="inlineStr">
        <is>
          <t>Хабаровский край, рп Чегдомын, ул Парковая, д 6</t>
        </is>
      </c>
      <c r="H137" s="4" t="n">
        <v>3479169</v>
      </c>
      <c r="I137" s="4" t="n">
        <v>10708.43028624192</v>
      </c>
      <c r="J137" t="inlineStr">
        <is>
          <t>Нежилое помещение</t>
        </is>
      </c>
      <c r="K137" s="5" t="n">
        <v>9.27</v>
      </c>
      <c r="L137" s="4" t="n">
        <v>486.73</v>
      </c>
      <c r="M137" t="n">
        <v>1155</v>
      </c>
      <c r="N137" s="6" t="n">
        <v>11750</v>
      </c>
      <c r="O137" t="n">
        <v>22</v>
      </c>
      <c r="Q137" t="inlineStr">
        <is>
          <t>EA</t>
        </is>
      </c>
      <c r="R137" t="inlineStr">
        <is>
          <t>М</t>
        </is>
      </c>
      <c r="S137" s="2">
        <f>HYPERLINK("https://yandex.ru/maps/?&amp;text=51.131254, 133.037197", "51.131254, 133.037197")</f>
        <v/>
      </c>
      <c r="T137" s="2">
        <f>HYPERLINK("D:\venv_torgi\env\cache\objs_in_district/51.131254_133.037197.json", "51.131254_133.037197.json")</f>
        <v/>
      </c>
      <c r="U137" t="inlineStr">
        <is>
          <t>27:05:0601087:52</t>
        </is>
      </c>
      <c r="V137" t="n">
        <v>3</v>
      </c>
      <c r="Y137" t="n">
        <v>0</v>
      </c>
      <c r="AA137" t="n">
        <v>0</v>
      </c>
      <c r="AB137" t="n">
        <v>0</v>
      </c>
    </row>
    <row r="138">
      <c r="A138" s="7" t="n">
        <v>136</v>
      </c>
      <c r="B138" t="n">
        <v>27</v>
      </c>
      <c r="C138" s="1" t="n">
        <v>17.1</v>
      </c>
      <c r="D138" s="2">
        <f>HYPERLINK("https://torgi.gov.ru/new/public/lots/lot/22000014770000000008_1/(lotInfo:info)", "22000014770000000008_1")</f>
        <v/>
      </c>
      <c r="E138" t="inlineStr">
        <is>
          <t>Помещение, назначение: нежилое, общая площадь 17,1 кв. м, кадастровый номер 27:17:0600501:785, расположенное по адресу: Хабаровский край, Хабаровский район, с. Бычиха, ул. Новая, д. 23А, пом. I (1)</t>
        </is>
      </c>
      <c r="F138" s="3" t="inlineStr">
        <is>
          <t>25.04.22 07:00</t>
        </is>
      </c>
      <c r="G138" t="inlineStr">
        <is>
          <t>Хабаровский край, Хабаровский р-н, село Бычиха, ул Новая, д 23а</t>
        </is>
      </c>
      <c r="H138" s="4" t="n">
        <v>258763</v>
      </c>
      <c r="I138" s="4" t="n">
        <v>15132.33918128655</v>
      </c>
      <c r="J138" t="inlineStr">
        <is>
          <t>Нежилое помещение</t>
        </is>
      </c>
      <c r="K138" s="5" t="n">
        <v>74.18000000000001</v>
      </c>
      <c r="M138" t="n">
        <v>204</v>
      </c>
      <c r="N138" s="6" t="n">
        <v>1757</v>
      </c>
      <c r="Q138" t="inlineStr">
        <is>
          <t>EA</t>
        </is>
      </c>
      <c r="R138" t="inlineStr">
        <is>
          <t>М</t>
        </is>
      </c>
      <c r="S138" s="2">
        <f>HYPERLINK("https://yandex.ru/maps/?&amp;text=48.303368, 134.82756", "48.303368, 134.82756")</f>
        <v/>
      </c>
      <c r="U138" t="inlineStr">
        <is>
          <t xml:space="preserve">27:17:0600501:785, </t>
        </is>
      </c>
      <c r="V138" t="n">
        <v>0</v>
      </c>
      <c r="Y138" t="n">
        <v>0</v>
      </c>
      <c r="AA138" t="n">
        <v>0</v>
      </c>
      <c r="AB138" t="n">
        <v>0</v>
      </c>
    </row>
    <row r="139">
      <c r="A139" s="7" t="n">
        <v>137</v>
      </c>
      <c r="B139" t="n">
        <v>27</v>
      </c>
      <c r="C139" s="1" t="n">
        <v>261.8</v>
      </c>
      <c r="D139" s="2">
        <f>HYPERLINK("https://torgi.gov.ru/new/public/lots/lot/21000019020000000011_1/(lotInfo:info)", "21000019020000000011_1")</f>
        <v/>
      </c>
      <c r="E139" t="inlineStr">
        <is>
          <t>Функциональное помещение I (1-26), назначение: нежилое, общая площадь 261,8 кв.м., этаж 1, расположенное по адресу: г. Амурск, пр. Мира, 14</t>
        </is>
      </c>
      <c r="F139" s="3" t="inlineStr">
        <is>
          <t>17.06.22 14:00</t>
        </is>
      </c>
      <c r="G139" t="inlineStr">
        <is>
          <t>Хабаровский край, г Амурск, пр-кт Мира, д 14</t>
        </is>
      </c>
      <c r="H139" s="4" t="n">
        <v>5020000</v>
      </c>
      <c r="I139" s="4" t="n">
        <v>19174.94270435447</v>
      </c>
      <c r="J139" t="inlineStr">
        <is>
          <t>Нежилое помещение</t>
        </is>
      </c>
      <c r="K139" s="5" t="n">
        <v>5.73</v>
      </c>
      <c r="L139" s="4" t="n">
        <v>737.46</v>
      </c>
      <c r="M139" t="n">
        <v>3348</v>
      </c>
      <c r="N139" s="6" t="n">
        <v>39046</v>
      </c>
      <c r="O139" t="n">
        <v>26</v>
      </c>
      <c r="Q139" t="inlineStr">
        <is>
          <t>EA</t>
        </is>
      </c>
      <c r="R139" t="inlineStr">
        <is>
          <t>М</t>
        </is>
      </c>
      <c r="S139" s="2">
        <f>HYPERLINK("https://yandex.ru/maps/?&amp;text=50.218704, 136.90366", "50.218704, 136.90366")</f>
        <v/>
      </c>
      <c r="T139" s="2">
        <f>HYPERLINK("D:\venv_torgi\env\cache\objs_in_district/50.218704_136.90366.json", "50.218704_136.90366.json")</f>
        <v/>
      </c>
      <c r="V139" t="n">
        <v>1</v>
      </c>
      <c r="Y139" t="n">
        <v>0</v>
      </c>
      <c r="AA139" t="n">
        <v>0</v>
      </c>
      <c r="AB139" t="n">
        <v>0</v>
      </c>
    </row>
    <row r="140">
      <c r="A140" s="7" t="n">
        <v>138</v>
      </c>
      <c r="B140" t="n">
        <v>27</v>
      </c>
      <c r="C140" s="1" t="n">
        <v>111.9</v>
      </c>
      <c r="D140" s="2">
        <f>HYPERLINK("https://torgi.gov.ru/new/public/lots/lot/21000005750000000037_1/(lotInfo:info)", "21000005750000000037_1")</f>
        <v/>
      </c>
      <c r="E140" t="inlineStr">
        <is>
      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      </is>
      </c>
      <c r="F140" s="3" t="inlineStr">
        <is>
          <t>12.05.22 08:00</t>
        </is>
      </c>
      <c r="G140" t="inlineStr">
        <is>
          <t>Хабаровский край, г Комсомольск-на-Амуре, Московский пр-кт, д 23</t>
        </is>
      </c>
      <c r="H140" s="4" t="n">
        <v>3128388</v>
      </c>
      <c r="I140" s="4" t="n">
        <v>27956.99731903485</v>
      </c>
      <c r="J140" t="inlineStr">
        <is>
          <t>Нежилое помещение</t>
        </is>
      </c>
      <c r="K140" s="5" t="n">
        <v>6.45</v>
      </c>
      <c r="L140" s="4" t="n">
        <v>1471.37</v>
      </c>
      <c r="M140" t="n">
        <v>4337</v>
      </c>
      <c r="N140" s="6" t="n">
        <v>246607</v>
      </c>
      <c r="O140" t="n">
        <v>19</v>
      </c>
      <c r="Q140" t="inlineStr">
        <is>
          <t>EA</t>
        </is>
      </c>
      <c r="R140" t="inlineStr">
        <is>
          <t>М</t>
        </is>
      </c>
      <c r="S140" s="2">
        <f>HYPERLINK("https://yandex.ru/maps/?&amp;text=50.578453, 137.05286", "50.578453, 137.05286")</f>
        <v/>
      </c>
      <c r="T140" s="2">
        <f>HYPERLINK("D:\venv_torgi\env\cache\objs_in_district/50.578453_137.05286.json", "50.578453_137.05286.json")</f>
        <v/>
      </c>
      <c r="U140" t="inlineStr">
        <is>
          <t xml:space="preserve">27:22:0040605:459, </t>
        </is>
      </c>
      <c r="V140" t="n">
        <v>1</v>
      </c>
      <c r="Y140" t="n">
        <v>-1</v>
      </c>
      <c r="AA140" t="n">
        <v>0</v>
      </c>
      <c r="AB140" t="n">
        <v>0</v>
      </c>
    </row>
    <row r="141">
      <c r="A141" s="7" t="n">
        <v>139</v>
      </c>
      <c r="B141" t="n">
        <v>27</v>
      </c>
      <c r="C141" s="1" t="n">
        <v>30.7</v>
      </c>
      <c r="D141" s="2">
        <f>HYPERLINK("https://torgi.gov.ru/new/public/lots/lot/21000005750000000024_1/(lotInfo:info)", "21000005750000000024_1")</f>
        <v/>
      </c>
      <c r="E141" t="inlineStr">
        <is>
      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      </is>
      </c>
      <c r="F141" s="3" t="inlineStr">
        <is>
          <t>24.03.22 08:00</t>
        </is>
      </c>
      <c r="G141" t="inlineStr">
        <is>
          <t>Хабаровский край, г Комсомольск-на-Амуре, пр-кт Победы, д 41 к 3</t>
        </is>
      </c>
      <c r="H141" s="4" t="n">
        <v>909795</v>
      </c>
      <c r="I141" s="4" t="n">
        <v>29635.01628664495</v>
      </c>
      <c r="J141" t="inlineStr">
        <is>
          <t>офиса</t>
        </is>
      </c>
      <c r="K141" s="5" t="n">
        <v>6.02</v>
      </c>
      <c r="L141" s="4" t="n">
        <v>1021.9</v>
      </c>
      <c r="M141" t="n">
        <v>4921</v>
      </c>
      <c r="N141" s="6" t="n">
        <v>246607</v>
      </c>
      <c r="O141" t="n">
        <v>29</v>
      </c>
      <c r="Q141" t="inlineStr">
        <is>
          <t>EA</t>
        </is>
      </c>
      <c r="R141" t="inlineStr">
        <is>
          <t>М</t>
        </is>
      </c>
      <c r="S141" s="2">
        <f>HYPERLINK("https://yandex.ru/maps/?&amp;text=50.577845, 137.05652", "50.577845, 137.05652")</f>
        <v/>
      </c>
      <c r="T141" s="2">
        <f>HYPERLINK("D:\venv_torgi\env\cache\objs_in_district/50.577845_137.05652.json", "50.577845_137.05652.json")</f>
        <v/>
      </c>
      <c r="U141" t="inlineStr">
        <is>
          <t xml:space="preserve">27:22:0040606:1876, </t>
        </is>
      </c>
      <c r="V141" t="n">
        <v>1</v>
      </c>
      <c r="Y141" t="n">
        <v>-1</v>
      </c>
      <c r="AA141" t="n">
        <v>0</v>
      </c>
      <c r="AB141" t="n">
        <v>0</v>
      </c>
    </row>
    <row r="142">
      <c r="A142" s="7" t="n">
        <v>140</v>
      </c>
      <c r="B142" t="n">
        <v>28</v>
      </c>
      <c r="C142" s="1" t="n">
        <v>240</v>
      </c>
      <c r="D142" s="2">
        <f>HYPERLINK("https://torgi.gov.ru/new/public/lots/lot/22000016810000000001_1/(lotInfo:info)", "22000016810000000001_1")</f>
        <v/>
      </c>
      <c r="E142" t="inlineStr">
        <is>
          <t>Нежилое помещение. Назначение: нежилое, общей площадью 240 кв.м., количество этажей – 1, адрес (местонахождение) объекта: Амурская область, Шимановский район, с.Раздольное, ул.Центральная, д.15А</t>
        </is>
      </c>
      <c r="F142" s="3" t="inlineStr">
        <is>
          <t>14.02.22 01:00</t>
        </is>
      </c>
      <c r="G142" t="inlineStr">
        <is>
          <t>Амурская обл, Шимановский р-н, село Раздольное, ул Центральная, д 15а</t>
        </is>
      </c>
      <c r="H142" s="4" t="n">
        <v>250000</v>
      </c>
      <c r="I142" s="4" t="n">
        <v>1041.666666666667</v>
      </c>
      <c r="J142" t="inlineStr">
        <is>
          <t>Нежилое помещение</t>
        </is>
      </c>
      <c r="K142" s="5" t="n">
        <v>7.54</v>
      </c>
      <c r="L142" s="4" t="inlineStr"/>
      <c r="M142" t="n">
        <v>138</v>
      </c>
      <c r="O142" t="inlineStr"/>
      <c r="Q142" t="inlineStr">
        <is>
          <t>EA</t>
        </is>
      </c>
      <c r="R142" t="inlineStr">
        <is>
          <t>М</t>
        </is>
      </c>
      <c r="S142" s="2">
        <f>HYPERLINK("https://yandex.ru/maps/?&amp;text=52.097112, 127.775216", "52.097112, 127.775216")</f>
        <v/>
      </c>
      <c r="T142" s="8">
        <f>HYPERLINK("D:\venv_torgi\env\cache\objs_in_district/52.097112_127.775216.json", "52.097112_127.775216.json")</f>
        <v/>
      </c>
      <c r="V142" t="n">
        <v>0</v>
      </c>
      <c r="Y142" t="n">
        <v>0</v>
      </c>
      <c r="AA142" t="n">
        <v>0</v>
      </c>
      <c r="AB142" t="n">
        <v>0</v>
      </c>
    </row>
    <row r="143">
      <c r="A143" s="7" t="n">
        <v>141</v>
      </c>
      <c r="B143" t="n">
        <v>28</v>
      </c>
      <c r="C143" s="1" t="n">
        <v>420.3</v>
      </c>
      <c r="D143" s="2">
        <f>HYPERLINK("https://torgi.gov.ru/new/public/lots/lot/21000034110000000003_1/(lotInfo:info)", "21000034110000000003_1")</f>
        <v/>
      </c>
      <c r="E143" t="inlineStr">
        <is>
          <t>Помещение, нежилое, расположенное по адресу: Амурская область, р-н Константиновский, с. Константиновка, ул. Советская, д 116А, площадь 420.3 кв.м., кадастровый номер: 28:15:011358:95</t>
        </is>
      </c>
      <c r="F143" s="3" t="inlineStr">
        <is>
          <t>11.07.22 08:00</t>
        </is>
      </c>
      <c r="G143" t="inlineStr">
        <is>
          <t>Амурская обл, село Константиновка, ул Советская, зд 116А</t>
        </is>
      </c>
      <c r="H143" s="4" t="n">
        <v>1210044</v>
      </c>
      <c r="I143" s="4" t="n">
        <v>2879.000713775874</v>
      </c>
      <c r="J143" t="inlineStr">
        <is>
          <t>Нежилое помещение</t>
        </is>
      </c>
      <c r="K143" s="5" t="n">
        <v>7.64</v>
      </c>
      <c r="L143" s="4" t="n">
        <v>479.83</v>
      </c>
      <c r="M143" t="n">
        <v>377</v>
      </c>
      <c r="N143" s="6" t="n">
        <v>5201</v>
      </c>
      <c r="O143" t="n">
        <v>6</v>
      </c>
      <c r="Q143" t="inlineStr">
        <is>
          <t>EA</t>
        </is>
      </c>
      <c r="R143" t="inlineStr">
        <is>
          <t>М</t>
        </is>
      </c>
      <c r="S143" s="2">
        <f>HYPERLINK("https://yandex.ru/maps/?&amp;text=49.606242, 128.005984", "49.606242, 128.005984")</f>
        <v/>
      </c>
      <c r="T143" s="2">
        <f>HYPERLINK("D:\venv_torgi\env\cache\objs_in_district/49.606242_128.005984.json", "49.606242_128.005984.json")</f>
        <v/>
      </c>
      <c r="U143" t="inlineStr">
        <is>
          <t>28:15:011358:95</t>
        </is>
      </c>
      <c r="V143" t="n">
        <v>1</v>
      </c>
      <c r="Y143" t="n">
        <v>0</v>
      </c>
      <c r="AA143" t="n">
        <v>0</v>
      </c>
      <c r="AB143" t="n">
        <v>0</v>
      </c>
    </row>
    <row r="144">
      <c r="A144" s="7" t="n">
        <v>142</v>
      </c>
      <c r="B144" t="n">
        <v>28</v>
      </c>
      <c r="C144" s="1" t="n">
        <v>104</v>
      </c>
      <c r="D144" s="2">
        <f>HYPERLINK("https://torgi.gov.ru/new/public/lots/lot/21000030170000000001_2/(lotInfo:info)", "21000030170000000001_2")</f>
        <v/>
      </c>
      <c r="E144" t="inlineStr">
        <is>
          <t>Нежилое помещение, общей площадью 104 кв.м, этажность – 1, кадастровый номер 28:01:030002:724, расположенное по адресу: Амурская область, г. Благовещенск, квартал 666В, строение 524, пом. 20001.</t>
        </is>
      </c>
      <c r="F144" s="3" t="inlineStr">
        <is>
          <t>17.03.22 09:00</t>
        </is>
      </c>
      <c r="G144" t="inlineStr">
        <is>
          <t>г. Благовещенск, квартал 666В, строение 524, пом. 20001</t>
        </is>
      </c>
      <c r="H144" s="4" t="n">
        <v>800000</v>
      </c>
      <c r="I144" s="4" t="n">
        <v>7692.307692307692</v>
      </c>
      <c r="J144" t="inlineStr">
        <is>
          <t>Нежилое помещение</t>
        </is>
      </c>
      <c r="K144" s="5" t="n">
        <v>3.02</v>
      </c>
      <c r="L144" s="4" t="inlineStr"/>
      <c r="M144" t="n">
        <v>2543</v>
      </c>
      <c r="N144" s="6" t="n">
        <v>265788</v>
      </c>
      <c r="O144" t="inlineStr"/>
      <c r="Q144" t="inlineStr">
        <is>
          <t>EA</t>
        </is>
      </c>
      <c r="R144" t="inlineStr">
        <is>
          <t>М</t>
        </is>
      </c>
      <c r="S144" s="2">
        <f>HYPERLINK("https://yandex.ru/maps/?&amp;text=50.271723, 127.476907", "50.271723, 127.476907")</f>
        <v/>
      </c>
      <c r="T144" s="8">
        <f>HYPERLINK("D:\venv_torgi\env\cache\objs_in_district/50.271723_127.476907.json", "50.271723_127.476907.json")</f>
        <v/>
      </c>
      <c r="U144" t="inlineStr">
        <is>
          <t xml:space="preserve">28:01:030002:724, </t>
        </is>
      </c>
      <c r="V144" t="n">
        <v>0</v>
      </c>
      <c r="Y144" t="n">
        <v>0</v>
      </c>
      <c r="AA144" t="n">
        <v>0</v>
      </c>
      <c r="AB144" t="n">
        <v>0</v>
      </c>
    </row>
    <row r="145">
      <c r="A145" s="7" t="n">
        <v>143</v>
      </c>
      <c r="B145" t="n">
        <v>28</v>
      </c>
      <c r="C145" s="1" t="n">
        <v>19.7</v>
      </c>
      <c r="D145" s="2">
        <f>HYPERLINK("https://torgi.gov.ru/new/public/lots/lot/21000028650000000091_1/(lotInfo:info)", "21000028650000000091_1")</f>
        <v/>
      </c>
      <c r="E145" t="inlineStr">
        <is>
          <t>Нежилое помещение: залоговое, общей площадью 19,7 кв.м., кадастровый номер 28:01:020408:2839 Тех. документация судебными приставами- исполнителями не предоставлена.Ограничение (обременение): ипотека. Имущество принадлежит Беседину А.С. Взыскатель: Камышов А.С.(фото объектов отсутствуют, для просмотра имущества связываться с судебными приставами-исполнителями по тел. 8416233-70-66, адрес электронной почты osp22@r28.fssprus.ru)</t>
        </is>
      </c>
      <c r="F145" s="3" t="inlineStr">
        <is>
          <t>08.07.22 14:00</t>
        </is>
      </c>
      <c r="G145" t="inlineStr">
        <is>
          <t>Амурская область, г. Благовещенск, ш. Новотроицкое, 10, пом. 20152, квартал 408</t>
        </is>
      </c>
      <c r="H145" s="4" t="n">
        <v>432600</v>
      </c>
      <c r="I145" s="4" t="n">
        <v>21959.39086294416</v>
      </c>
      <c r="J145" t="inlineStr">
        <is>
          <t>Нежилое помещение</t>
        </is>
      </c>
      <c r="Q145" t="inlineStr">
        <is>
          <t>EA</t>
        </is>
      </c>
      <c r="R145" t="inlineStr">
        <is>
          <t>Д</t>
        </is>
      </c>
      <c r="U145" t="inlineStr">
        <is>
          <t xml:space="preserve">28:01:020408:2839 </t>
        </is>
      </c>
      <c r="V145" t="n">
        <v>0</v>
      </c>
      <c r="Y145" t="n">
        <v>0</v>
      </c>
      <c r="AA145" t="n">
        <v>0</v>
      </c>
      <c r="AB145" t="n">
        <v>0</v>
      </c>
    </row>
    <row r="146">
      <c r="A146" s="7" t="n">
        <v>144</v>
      </c>
      <c r="B146" t="n">
        <v>28</v>
      </c>
      <c r="C146" s="1" t="n">
        <v>110.6</v>
      </c>
      <c r="D146" s="2">
        <f>HYPERLINK("https://torgi.gov.ru/new/public/lots/lot/21000003100000000015_1/(lotInfo:info)", "21000003100000000015_1")</f>
        <v/>
      </c>
      <c r="E146" t="inlineStr">
        <is>
          <t>Встроенное нежилое помещение в пятиэтажном многоквартирном доме, фундамент – сборные бетонные блоки, трещины, состояние хорошее; стены – кирпичные, состояние хорошее; перекрытия – железобетонное, состояние хорошее; окна – металлопластиковые, состояние хорошее; двери – металлические, состояние хорошее; полы – керамическая плитка, линолеум, бетонные, состояние удовлетворительное; внутренняя отделка – окраска, кафельная плитка, загрязнения окрасочного слоя, требуется косметический ремонт; системы инженерного обеспечения – электроснабжение, отопление, водоснабжение, канализация от центральных сетей города.</t>
        </is>
      </c>
      <c r="F146" s="3" t="inlineStr">
        <is>
          <t>08.08.22 08:00</t>
        </is>
      </c>
      <c r="G146" t="inlineStr">
        <is>
          <t>Амурская обл, г Белогорск, Летний пер, д 6</t>
        </is>
      </c>
      <c r="H146" s="4" t="n">
        <v>3168000</v>
      </c>
      <c r="I146" s="4" t="n">
        <v>28643.76130198915</v>
      </c>
      <c r="J146" t="inlineStr">
        <is>
          <t>Нежилое помещение</t>
        </is>
      </c>
      <c r="K146" s="5" t="n">
        <v>30.34</v>
      </c>
      <c r="L146" s="4" t="n">
        <v>5728.6</v>
      </c>
      <c r="M146" t="n">
        <v>944</v>
      </c>
      <c r="N146" s="6" t="n">
        <v>126761</v>
      </c>
      <c r="O146" t="n">
        <v>5</v>
      </c>
      <c r="Q146" t="inlineStr">
        <is>
          <t>EA</t>
        </is>
      </c>
      <c r="R146" t="inlineStr">
        <is>
          <t>М</t>
        </is>
      </c>
      <c r="S146" s="2">
        <f>HYPERLINK("https://yandex.ru/maps/?&amp;text=50.912704, 128.54799", "50.912704, 128.54799")</f>
        <v/>
      </c>
      <c r="T146" s="2">
        <f>HYPERLINK("D:\venv_torgi\env\cache\objs_in_district/50.912704_128.54799.json", "50.912704_128.54799.json")</f>
        <v/>
      </c>
      <c r="U146" t="inlineStr">
        <is>
          <t>28:02:000460:481</t>
        </is>
      </c>
      <c r="V146" t="n">
        <v>0</v>
      </c>
      <c r="Y146" t="n">
        <v>0</v>
      </c>
      <c r="AA146" t="n">
        <v>1</v>
      </c>
      <c r="AB146" t="n">
        <v>0</v>
      </c>
    </row>
    <row r="147">
      <c r="A147" s="7" t="n">
        <v>145</v>
      </c>
      <c r="B147" t="n">
        <v>28</v>
      </c>
      <c r="C147" s="1" t="n">
        <v>70.09999999999999</v>
      </c>
      <c r="D147" s="2">
        <f>HYPERLINK("https://torgi.gov.ru/new/public/lots/lot/21000003100000000008_1/(lotInfo:info)", "21000003100000000008_1")</f>
        <v/>
      </c>
      <c r="E147" t="inlineStr">
        <is>
      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      </is>
      </c>
      <c r="F147" s="3" t="inlineStr">
        <is>
          <t>01.03.22 08:00</t>
        </is>
      </c>
      <c r="G147" t="inlineStr">
        <is>
          <t>Амурская обл, г Белогорск, ул Ленина, д 113</t>
        </is>
      </c>
      <c r="H147" s="4" t="n">
        <v>3563000</v>
      </c>
      <c r="I147" s="4" t="n">
        <v>50827.38944365193</v>
      </c>
      <c r="J147" t="inlineStr">
        <is>
          <t>Нежилое помещение</t>
        </is>
      </c>
      <c r="K147" s="5" t="n">
        <v>16.37</v>
      </c>
      <c r="L147" s="4" t="n">
        <v>3909.77</v>
      </c>
      <c r="M147" t="n">
        <v>3105</v>
      </c>
      <c r="N147" s="6" t="n">
        <v>126761</v>
      </c>
      <c r="O147" t="n">
        <v>13</v>
      </c>
      <c r="Q147" t="inlineStr">
        <is>
          <t>EA</t>
        </is>
      </c>
      <c r="R147" t="inlineStr">
        <is>
          <t>М</t>
        </is>
      </c>
      <c r="S147" s="2">
        <f>HYPERLINK("https://yandex.ru/maps/?&amp;text=50.916283, 128.48146", "50.916283, 128.48146")</f>
        <v/>
      </c>
      <c r="T147" s="2">
        <f>HYPERLINK("D:\venv_torgi\env\cache\objs_in_district/50.916283_128.48146.json", "50.916283_128.48146.json")</f>
        <v/>
      </c>
      <c r="U147" t="inlineStr">
        <is>
          <t xml:space="preserve">28:02:000124:630 </t>
        </is>
      </c>
      <c r="V147" t="n">
        <v>1</v>
      </c>
      <c r="Y147" t="n">
        <v>0</v>
      </c>
      <c r="AA147" t="n">
        <v>1</v>
      </c>
      <c r="AB147" t="n">
        <v>0</v>
      </c>
    </row>
    <row r="148">
      <c r="A148" s="7" t="n">
        <v>146</v>
      </c>
      <c r="B148" t="n">
        <v>29</v>
      </c>
      <c r="C148" s="1" t="n">
        <v>148.4</v>
      </c>
      <c r="D148" s="2">
        <f>HYPERLINK("https://torgi.gov.ru/new/public/lots/lot/22000036180000000003_1/(lotInfo:info)", "22000036180000000003_1")</f>
        <v/>
      </c>
      <c r="E148" t="inlineStr">
        <is>
          <t>- Здание магазина, площадью 148,4 кв.м. кадастровый номер: 29:18:130301:120, назначение: нежилое, год завершения строительства – 1967, адрес (местоположение): Архангельская область, р-н Устьянский, п.Илеза, ул. Первомайская, д. 6.Начальная цена продажи здания Магазина – 133 759 (сто тридцать три тысячи семьсот пятьдесят девять) рублей 50 копеек, без НДС, в соответствии с отчетом об оценке рыночной стоимости № 004ОН/А-2022 от 24 декабря 2021 года.- Земельный участок площадью 278 кв. м., кадастровый номер 29:18:130301:68, категория земель: земли населенных пунктов; разрешенное использование: для размещения объектов общественно-делового назначения, адрес (местоположение): Архангельская обл., Устьянский р-н, п.Илеза, ул. Первомайская, д. 6Начальная цена продажи земельного участка – 40 240 (Сорок тысяч двести сорок) рублей 50 копеек, без НДС, в соответствии Кадастровой стоимостью.</t>
        </is>
      </c>
      <c r="F148" s="3" t="inlineStr">
        <is>
          <t>11.05.22 20:30</t>
        </is>
      </c>
      <c r="G148" t="inlineStr">
        <is>
          <t>Архангельская обл, Устьянский р-н, поселок Илеза, ул Первомайская, д 6</t>
        </is>
      </c>
      <c r="H148" s="4" t="n">
        <v>182700</v>
      </c>
      <c r="I148" s="4" t="n">
        <v>1231.132075471698</v>
      </c>
      <c r="J148" t="inlineStr">
        <is>
          <t>магазина</t>
        </is>
      </c>
      <c r="K148" s="5" t="n">
        <v>7.99</v>
      </c>
      <c r="M148" t="n">
        <v>154</v>
      </c>
      <c r="N148" s="6" t="n">
        <v>597</v>
      </c>
      <c r="Q148" t="inlineStr">
        <is>
          <t>EA</t>
        </is>
      </c>
      <c r="R148" t="inlineStr">
        <is>
          <t>М</t>
        </is>
      </c>
      <c r="S148" s="2">
        <f>HYPERLINK("https://yandex.ru/maps/?&amp;text=61.055101, 43.904468", "61.055101, 43.904468")</f>
        <v/>
      </c>
      <c r="U148" t="inlineStr">
        <is>
          <t xml:space="preserve">29:18:130301:120, </t>
        </is>
      </c>
      <c r="V148" t="n">
        <v>1</v>
      </c>
      <c r="Y148" t="n">
        <v>0</v>
      </c>
      <c r="AA148" t="n">
        <v>0</v>
      </c>
      <c r="AB148" t="n">
        <v>1</v>
      </c>
    </row>
    <row r="149">
      <c r="A149" s="7" t="n">
        <v>147</v>
      </c>
      <c r="B149" t="n">
        <v>29</v>
      </c>
      <c r="C149" s="1" t="n">
        <v>195.6</v>
      </c>
      <c r="D149" s="2">
        <f>HYPERLINK("https://torgi.gov.ru/new/public/lots/lot/22000004290000000009_1/(lotInfo:info)", "22000004290000000009_1")</f>
        <v/>
      </c>
      <c r="E149" t="inlineStr">
        <is>
          <t>Здание котельной, расположенной по адресу: Архангельская область, Устьянский муниципальный район, МО «Шангальское», с. Шангалы, ул. Северная, 1г.назначение нежилое, этажность 1, общая площадь 195,6 кв. м., год ввода в эксплуатацию - 1976 г., кадастровый номер, в пределах которого расположен объект недвижимого имущества 29:18:110104:0042</t>
        </is>
      </c>
      <c r="F149" s="3" t="inlineStr">
        <is>
          <t>25.05.22 20:30</t>
        </is>
      </c>
      <c r="G149" t="inlineStr">
        <is>
          <t>Архангельская область, Устьянский муниципальный район, МО «Шангальское», с. Шангалы, ул. Северная, 1г</t>
        </is>
      </c>
      <c r="H149" s="4" t="n">
        <v>281520</v>
      </c>
      <c r="I149" s="4" t="n">
        <v>1439.263803680982</v>
      </c>
      <c r="J149" t="inlineStr">
        <is>
          <t>Здание</t>
        </is>
      </c>
      <c r="Q149" t="inlineStr">
        <is>
          <t>EA</t>
        </is>
      </c>
      <c r="R149" t="inlineStr">
        <is>
          <t>М</t>
        </is>
      </c>
      <c r="V149" t="n">
        <v>1</v>
      </c>
      <c r="Y149" t="n">
        <v>0</v>
      </c>
      <c r="AA149" t="n">
        <v>0</v>
      </c>
      <c r="AB149" t="n">
        <v>0</v>
      </c>
    </row>
    <row r="150">
      <c r="A150" s="7" t="n">
        <v>148</v>
      </c>
      <c r="B150" t="n">
        <v>29</v>
      </c>
      <c r="C150" s="1" t="n">
        <v>260.6</v>
      </c>
      <c r="D150" s="2">
        <f>HYPERLINK("https://torgi.gov.ru/new/public/lots/lot/22000037620000000002_4/(lotInfo:info)", "22000037620000000002_4")</f>
        <v/>
      </c>
      <c r="E150" t="inlineStr">
        <is>
          <t>назначение: нежилое, этаж 1, год постройки 1980</t>
        </is>
      </c>
      <c r="F150" s="3" t="inlineStr">
        <is>
          <t>31.03.22 14:00</t>
        </is>
      </c>
      <c r="G150" t="inlineStr">
        <is>
          <t>Архангельская обл, г Коряжма, ул Заломовка, д 6</t>
        </is>
      </c>
      <c r="H150" s="4" t="n">
        <v>384000</v>
      </c>
      <c r="I150" s="4" t="n">
        <v>1473.522640061397</v>
      </c>
      <c r="J150" t="inlineStr">
        <is>
          <t>Нежилое помещение</t>
        </is>
      </c>
      <c r="K150" s="5" t="n">
        <v>1.43</v>
      </c>
      <c r="M150" t="n">
        <v>1028</v>
      </c>
      <c r="N150" s="6" t="n">
        <v>36224</v>
      </c>
      <c r="Q150" t="inlineStr">
        <is>
          <t>EA</t>
        </is>
      </c>
      <c r="R150" t="inlineStr">
        <is>
          <t>М</t>
        </is>
      </c>
      <c r="S150" s="2">
        <f>HYPERLINK("https://yandex.ru/maps/?&amp;text=61.303146, 47.147907", "61.303146, 47.147907")</f>
        <v/>
      </c>
      <c r="U150" t="inlineStr">
        <is>
          <t>29:23:010301:271</t>
        </is>
      </c>
      <c r="V150" t="n">
        <v>1</v>
      </c>
      <c r="Y150" t="n">
        <v>0</v>
      </c>
      <c r="AA150" t="n">
        <v>0</v>
      </c>
      <c r="AB150" t="n">
        <v>0</v>
      </c>
    </row>
    <row r="151">
      <c r="A151" s="7" t="n">
        <v>149</v>
      </c>
      <c r="B151" t="n">
        <v>29</v>
      </c>
      <c r="C151" s="1" t="n">
        <v>136.8</v>
      </c>
      <c r="D151" s="2">
        <f>HYPERLINK("https://torgi.gov.ru/new/public/lots/lot/22000037620000000010_2/(lotInfo:info)", "22000037620000000010_2")</f>
        <v/>
      </c>
      <c r="E151" t="inlineStr">
        <is>
          <t>кадастровый номер 29:23:010207:283, общая площадь 136,8 кв.м, назначение: нежилое, этаж 1, год постройки 1969</t>
        </is>
      </c>
      <c r="F151" s="3" t="inlineStr">
        <is>
          <t>25.08.22 14:00</t>
        </is>
      </c>
      <c r="G151" t="inlineStr">
        <is>
          <t>Архангельская обл, г Коряжма, ул Имени Дыбцына, д 1</t>
        </is>
      </c>
      <c r="H151" s="4" t="n">
        <v>1072200</v>
      </c>
      <c r="I151" s="4" t="n">
        <v>7837.719298245614</v>
      </c>
      <c r="J151" t="inlineStr">
        <is>
          <t>Нежилое помещение</t>
        </is>
      </c>
      <c r="K151" s="5" t="n">
        <v>2.04</v>
      </c>
      <c r="L151" s="4" t="n">
        <v>522.47</v>
      </c>
      <c r="M151" t="n">
        <v>3837</v>
      </c>
      <c r="N151" s="6" t="n">
        <v>36224</v>
      </c>
      <c r="O151" t="n">
        <v>15</v>
      </c>
      <c r="Q151" t="inlineStr">
        <is>
          <t>PP</t>
        </is>
      </c>
      <c r="R151" t="inlineStr">
        <is>
          <t>М</t>
        </is>
      </c>
      <c r="S151" s="2">
        <f>HYPERLINK("https://yandex.ru/maps/?&amp;text=61.314726, 47.159819", "61.314726, 47.159819")</f>
        <v/>
      </c>
      <c r="T151" s="2">
        <f>HYPERLINK("D:\venv_torgi\env\cache\objs_in_district/61.314726_47.159819.json", "61.314726_47.159819.json")</f>
        <v/>
      </c>
      <c r="U151" t="inlineStr">
        <is>
          <t xml:space="preserve">29:23:010207:283, </t>
        </is>
      </c>
      <c r="V151" t="n">
        <v>1</v>
      </c>
      <c r="Y151" t="n">
        <v>0</v>
      </c>
      <c r="AA151" t="n">
        <v>0</v>
      </c>
      <c r="AB151" t="n">
        <v>0</v>
      </c>
    </row>
    <row r="152">
      <c r="A152" s="7" t="n">
        <v>150</v>
      </c>
      <c r="B152" t="n">
        <v>29</v>
      </c>
      <c r="C152" s="1" t="n">
        <v>330.4</v>
      </c>
      <c r="D152" s="2">
        <f>HYPERLINK("https://torgi.gov.ru/new/public/lots/lot/21000014870000000001_1/(lotInfo:info)", "21000014870000000001_1")</f>
        <v/>
      </c>
      <c r="E152" t="inlineStr">
        <is>
          <t>Нежилое помещение, расположенное по адресу: Российская Федерация, Архангельская область, Вельский муниципальный район, МО «Вельское», г.Вельск, ул.50 лет Октября, д.8, помещение 1-Н, общая площадь 330,4 кв.м., кадастровый номер: 29:01:190139:646.Нежилое помещение, общей площадью 330,4 кв.м, расположено на 1, 2 этажах нежилого здания 1970 года постройки. Объект не используется, находится в удовлетворительном состоянии.</t>
        </is>
      </c>
      <c r="F152" s="3" t="inlineStr">
        <is>
          <t>27.02.22 14:00</t>
        </is>
      </c>
      <c r="G152" t="inlineStr">
        <is>
          <t>Архангельская обл, г Вельск, ул 50 лет Октября, д 8</t>
        </is>
      </c>
      <c r="H152" s="4" t="n">
        <v>3240000</v>
      </c>
      <c r="I152" s="4" t="n">
        <v>9806.295399515739</v>
      </c>
      <c r="J152" t="inlineStr">
        <is>
          <t>Нежилое помещение</t>
        </is>
      </c>
      <c r="K152" s="5" t="n">
        <v>3.59</v>
      </c>
      <c r="L152" s="4" t="n">
        <v>150.86</v>
      </c>
      <c r="M152" t="n">
        <v>2732</v>
      </c>
      <c r="N152" s="6" t="n">
        <v>22311</v>
      </c>
      <c r="O152" t="n">
        <v>65</v>
      </c>
      <c r="Q152" t="inlineStr">
        <is>
          <t>EA</t>
        </is>
      </c>
      <c r="R152" t="inlineStr">
        <is>
          <t>М</t>
        </is>
      </c>
      <c r="S152" s="2">
        <f>HYPERLINK("https://yandex.ru/maps/?&amp;text=61.067657, 42.103806", "61.067657, 42.103806")</f>
        <v/>
      </c>
      <c r="T152" s="2">
        <f>HYPERLINK("D:\venv_torgi\env\cache\objs_in_district/61.067657_42.103806.json", "61.067657_42.103806.json")</f>
        <v/>
      </c>
      <c r="U152" t="inlineStr">
        <is>
          <t>29:01:190139:646</t>
        </is>
      </c>
      <c r="V152" t="n">
        <v>2</v>
      </c>
      <c r="Y152" t="n">
        <v>0</v>
      </c>
      <c r="AA152" t="n">
        <v>0</v>
      </c>
      <c r="AB152" t="n">
        <v>0</v>
      </c>
    </row>
    <row r="153">
      <c r="A153" s="7" t="n">
        <v>151</v>
      </c>
      <c r="B153" t="n">
        <v>29</v>
      </c>
      <c r="C153" s="1" t="n">
        <v>295.3</v>
      </c>
      <c r="D153" s="2">
        <f>HYPERLINK("https://torgi.gov.ru/new/public/lots/lot/22000037620000000002_1/(lotInfo:info)", "22000037620000000002_1")</f>
        <v/>
      </c>
      <c r="E153" t="inlineStr">
        <is>
          <t>назначение: нежилое, количество этажей 2, в том числе подземных 1, год постройки 1973</t>
        </is>
      </c>
      <c r="F153" s="3" t="inlineStr">
        <is>
          <t>31.03.22 14:00</t>
        </is>
      </c>
      <c r="G153" t="inlineStr">
        <is>
          <t>Архангельская обл, г Коряжма, ул Советская, д 8</t>
        </is>
      </c>
      <c r="H153" s="4" t="n">
        <v>6069600</v>
      </c>
      <c r="I153" s="4" t="n">
        <v>20554.01286826955</v>
      </c>
      <c r="J153" t="inlineStr">
        <is>
          <t>аптеки</t>
        </is>
      </c>
      <c r="K153" s="5" t="n">
        <v>52.7</v>
      </c>
      <c r="L153" s="4" t="n">
        <v>1141.89</v>
      </c>
      <c r="M153" t="n">
        <v>390</v>
      </c>
      <c r="N153" s="6" t="n">
        <v>36224</v>
      </c>
      <c r="O153" t="n">
        <v>18</v>
      </c>
      <c r="Q153" t="inlineStr">
        <is>
          <t>EA</t>
        </is>
      </c>
      <c r="R153" t="inlineStr">
        <is>
          <t>М</t>
        </is>
      </c>
      <c r="S153" s="2">
        <f>HYPERLINK("https://yandex.ru/maps/?&amp;text=61.309, 47.191269", "61.309, 47.191269")</f>
        <v/>
      </c>
      <c r="T153" s="2">
        <f>HYPERLINK("D:\venv_torgi\env\cache\objs_in_district/61.309_47.191269.json", "61.309_47.191269.json")</f>
        <v/>
      </c>
      <c r="U153" t="inlineStr">
        <is>
          <t>29:23:010209:106</t>
        </is>
      </c>
      <c r="V153" t="n">
        <v>2</v>
      </c>
      <c r="Y153" t="n">
        <v>0</v>
      </c>
      <c r="AA153" t="n">
        <v>0</v>
      </c>
      <c r="AB153" t="n">
        <v>0</v>
      </c>
    </row>
    <row r="154">
      <c r="A154" s="7" t="n">
        <v>152</v>
      </c>
      <c r="B154" t="n">
        <v>29</v>
      </c>
      <c r="C154" s="1" t="n">
        <v>10.2</v>
      </c>
      <c r="D154" s="2">
        <f>HYPERLINK("https://torgi.gov.ru/new/public/lots/lot/21000006750000000012_5/(lotInfo:info)", "21000006750000000012_5")</f>
        <v/>
      </c>
      <c r="E154" t="inlineStr">
        <is>
          <t>Характеристика объекта: нежилое помещение расположено в девятиэтажном кирпичном жилом доме, год постройки – 1980.</t>
        </is>
      </c>
      <c r="F154" s="3" t="inlineStr">
        <is>
          <t>15.08.22 09:00</t>
        </is>
      </c>
      <c r="G154" t="inlineStr">
        <is>
          <t>г Архангельск, ул Самойло, д 10 к 1</t>
        </is>
      </c>
      <c r="H154" s="4" t="n">
        <v>231000</v>
      </c>
      <c r="I154" s="4" t="n">
        <v>22647.05882352941</v>
      </c>
      <c r="J154" t="inlineStr">
        <is>
          <t>Нежилое помещение</t>
        </is>
      </c>
      <c r="K154" s="5" t="n">
        <v>7.62</v>
      </c>
      <c r="M154" t="n">
        <v>2972</v>
      </c>
      <c r="N154" s="6" t="n">
        <v>355429</v>
      </c>
      <c r="Q154" t="inlineStr">
        <is>
          <t>PP</t>
        </is>
      </c>
      <c r="R154" t="inlineStr">
        <is>
          <t>М</t>
        </is>
      </c>
      <c r="S154" s="2">
        <f>HYPERLINK("https://yandex.ru/maps/?&amp;text=64.55951, 40.54491", "64.55951, 40.54491")</f>
        <v/>
      </c>
      <c r="U154" t="inlineStr">
        <is>
          <t xml:space="preserve">29:22:040711:498, </t>
        </is>
      </c>
      <c r="V154" t="n">
        <v>4</v>
      </c>
      <c r="Y154" t="n">
        <v>0</v>
      </c>
      <c r="AA154" t="n">
        <v>0</v>
      </c>
      <c r="AB154" t="n">
        <v>0</v>
      </c>
    </row>
    <row r="155">
      <c r="A155" s="7" t="n">
        <v>153</v>
      </c>
      <c r="B155" t="n">
        <v>29</v>
      </c>
      <c r="C155" s="1" t="n">
        <v>11.7</v>
      </c>
      <c r="D155" s="2">
        <f>HYPERLINK("https://torgi.gov.ru/new/public/lots/lot/21000006750000000006_6/(lotInfo:info)", "21000006750000000006_6")</f>
        <v/>
      </c>
      <c r="E155" t="inlineStr">
        <is>
          <t>Характеристика объекта: нежилое помещение находится в девятиэтажном панельном жилом доме, год постройки – 1983.</t>
        </is>
      </c>
      <c r="F155" s="3" t="inlineStr">
        <is>
          <t>22.06.22 09:00</t>
        </is>
      </c>
      <c r="G155" t="inlineStr">
        <is>
          <t>г Архангельск, ул Почтовый тракт, д 32</t>
        </is>
      </c>
      <c r="H155" s="4" t="n">
        <v>351000</v>
      </c>
      <c r="I155" s="4" t="n">
        <v>30000</v>
      </c>
      <c r="J155" t="inlineStr">
        <is>
          <t>Нежилое помещение</t>
        </is>
      </c>
      <c r="K155" s="5" t="n">
        <v>18.68</v>
      </c>
      <c r="M155" t="n">
        <v>1606</v>
      </c>
      <c r="N155" s="6" t="n">
        <v>355429</v>
      </c>
      <c r="Q155" t="inlineStr">
        <is>
          <t>EA</t>
        </is>
      </c>
      <c r="R155" t="inlineStr">
        <is>
          <t>М</t>
        </is>
      </c>
      <c r="S155" s="2">
        <f>HYPERLINK("https://yandex.ru/maps/?&amp;text=64.499914, 40.700087", "64.499914, 40.700087")</f>
        <v/>
      </c>
      <c r="U155" t="inlineStr">
        <is>
          <t xml:space="preserve">29:22:071112:60, </t>
        </is>
      </c>
      <c r="V155" t="n">
        <v>1</v>
      </c>
      <c r="Y155" t="n">
        <v>0</v>
      </c>
      <c r="AA155" t="n">
        <v>0</v>
      </c>
      <c r="AB155" t="n">
        <v>0</v>
      </c>
    </row>
    <row r="156">
      <c r="A156" s="7" t="n">
        <v>154</v>
      </c>
      <c r="B156" t="n">
        <v>29</v>
      </c>
      <c r="C156" s="1" t="n">
        <v>17.2</v>
      </c>
      <c r="D156" s="2">
        <f>HYPERLINK("https://torgi.gov.ru/new/public/lots/lot/21000006750000000006_2/(lotInfo:info)", "21000006750000000006_2")</f>
        <v/>
      </c>
      <c r="E156" t="inlineStr">
        <is>
          <t>Характеристика объекта: нежилое помещение расположено в девятиэтажном панельном жилом доме, год постройки – 1982.</t>
        </is>
      </c>
      <c r="F156" s="3" t="inlineStr">
        <is>
          <t>22.06.22 09:00</t>
        </is>
      </c>
      <c r="G156" t="inlineStr">
        <is>
          <t>г Архангельск, ул Ильича, д 2 к 1</t>
        </is>
      </c>
      <c r="H156" s="4" t="n">
        <v>864000</v>
      </c>
      <c r="I156" s="4" t="n">
        <v>50232.55813953489</v>
      </c>
      <c r="J156" t="inlineStr">
        <is>
          <t>Нежилое помещение</t>
        </is>
      </c>
      <c r="K156" s="5" t="n">
        <v>19.56</v>
      </c>
      <c r="L156" s="4" t="n">
        <v>2184</v>
      </c>
      <c r="M156" t="n">
        <v>2568</v>
      </c>
      <c r="N156" s="6" t="n">
        <v>355429</v>
      </c>
      <c r="O156" t="n">
        <v>23</v>
      </c>
      <c r="Q156" t="inlineStr">
        <is>
          <t>EA</t>
        </is>
      </c>
      <c r="R156" t="inlineStr">
        <is>
          <t>М</t>
        </is>
      </c>
      <c r="S156" s="2">
        <f>HYPERLINK("https://yandex.ru/maps/?&amp;text=64.5886, 40.580044", "64.5886, 40.580044")</f>
        <v/>
      </c>
      <c r="T156" s="2">
        <f>HYPERLINK("D:\venv_torgi\env\cache\objs_in_district/64.5886_40.580044.json", "64.5886_40.580044.json")</f>
        <v/>
      </c>
      <c r="U156" t="inlineStr">
        <is>
          <t xml:space="preserve">29:22:031614:795, </t>
        </is>
      </c>
      <c r="V156" t="n">
        <v>1</v>
      </c>
      <c r="Y156" t="n">
        <v>0</v>
      </c>
      <c r="AA156" t="n">
        <v>0</v>
      </c>
      <c r="AB156" t="n">
        <v>0</v>
      </c>
    </row>
    <row r="157">
      <c r="A157" s="7" t="n">
        <v>155</v>
      </c>
      <c r="B157" t="n">
        <v>29</v>
      </c>
      <c r="C157" s="1" t="n">
        <v>190.6</v>
      </c>
      <c r="D157" s="2">
        <f>HYPERLINK("https://torgi.gov.ru/new/public/lots/lot/21000031630000000010_1/(lotInfo:info)", "21000031630000000010_1")</f>
        <v/>
      </c>
      <c r="E157" t="inlineStr">
        <is>
          <t>Нежилое помещение общей площадью 190,6 кв. м, расположенное по адресу: Архангельская область, город Северодвинск, улица Лебедева, дом 10, кадастровый номер 29:28:104153:2818</t>
        </is>
      </c>
      <c r="F157" s="3" t="inlineStr">
        <is>
          <t>26.07.22 20:00</t>
        </is>
      </c>
      <c r="G157" t="inlineStr">
        <is>
          <t>Архангельская обл, г Северодвинск, ул Лебедева, д 10</t>
        </is>
      </c>
      <c r="H157" s="4" t="n">
        <v>9686400</v>
      </c>
      <c r="I157" s="4" t="n">
        <v>50820.56663168941</v>
      </c>
      <c r="J157" t="inlineStr">
        <is>
          <t>Нежилое помещение</t>
        </is>
      </c>
      <c r="K157" s="5" t="n">
        <v>10.02</v>
      </c>
      <c r="L157" s="4" t="n">
        <v>2674.74</v>
      </c>
      <c r="M157" t="n">
        <v>5073</v>
      </c>
      <c r="N157" s="6" t="n">
        <v>183210</v>
      </c>
      <c r="O157" t="n">
        <v>19</v>
      </c>
      <c r="Q157" t="inlineStr">
        <is>
          <t>EA</t>
        </is>
      </c>
      <c r="R157" t="inlineStr">
        <is>
          <t>М</t>
        </is>
      </c>
      <c r="S157" s="2">
        <f>HYPERLINK("https://yandex.ru/maps/?&amp;text=64.53915, 39.799698", "64.53915, 39.799698")</f>
        <v/>
      </c>
      <c r="T157" s="2">
        <f>HYPERLINK("D:\venv_torgi\env\cache\objs_in_district/64.53915_39.799698.json", "64.53915_39.799698.json")</f>
        <v/>
      </c>
      <c r="U157" t="inlineStr">
        <is>
          <t>29:28:104153:2818</t>
        </is>
      </c>
      <c r="V157" t="n">
        <v>0</v>
      </c>
      <c r="Y157" t="n">
        <v>0</v>
      </c>
      <c r="AA157" t="n">
        <v>0</v>
      </c>
      <c r="AB157" t="n">
        <v>0</v>
      </c>
    </row>
    <row r="158">
      <c r="A158" s="7" t="n">
        <v>156</v>
      </c>
      <c r="B158" t="n">
        <v>29</v>
      </c>
      <c r="C158" s="1" t="n">
        <v>66.8</v>
      </c>
      <c r="D158" s="2">
        <f>HYPERLINK("https://torgi.gov.ru/new/public/lots/lot/21000031630000000007_2/(lotInfo:info)", "21000031630000000007_2")</f>
        <v/>
      </c>
      <c r="E158" t="inlineStr">
        <is>
          <t>Нежилое встроенное помещение общей площадью 66,8 кв. м, расположенное по адресу: Архангельская область, город Северодвинск, улица Ломоносова, дом 78, кадастровый номер 29:28:103088:2472</t>
        </is>
      </c>
      <c r="F158" s="3" t="inlineStr">
        <is>
          <t>31.05.22 20:00</t>
        </is>
      </c>
      <c r="G158" t="inlineStr">
        <is>
          <t>Архангельская обл, г Северодвинск, ул Ломоносова, д 78, помещ 20030</t>
        </is>
      </c>
      <c r="H158" s="4" t="n">
        <v>4072800</v>
      </c>
      <c r="I158" s="4" t="n">
        <v>60970.05988023953</v>
      </c>
      <c r="J158" t="inlineStr">
        <is>
          <t>Нежилое помещение</t>
        </is>
      </c>
      <c r="K158" s="5" t="n">
        <v>17.81</v>
      </c>
      <c r="L158" s="4" t="n">
        <v>1219.4</v>
      </c>
      <c r="M158" t="n">
        <v>3424</v>
      </c>
      <c r="N158" s="6" t="n">
        <v>183210</v>
      </c>
      <c r="O158" t="n">
        <v>50</v>
      </c>
      <c r="Q158" t="inlineStr">
        <is>
          <t>EA</t>
        </is>
      </c>
      <c r="R158" t="inlineStr">
        <is>
          <t>М</t>
        </is>
      </c>
      <c r="S158" s="2">
        <f>HYPERLINK("https://yandex.ru/maps/?&amp;text=64.553811, 39.800029", "64.553811, 39.800029")</f>
        <v/>
      </c>
      <c r="T158" s="2">
        <f>HYPERLINK("D:\venv_torgi\env\cache\objs_in_district/64.553811_39.800029.json", "64.553811_39.800029.json")</f>
        <v/>
      </c>
      <c r="U158" t="inlineStr">
        <is>
          <t>29:28:103088:2472</t>
        </is>
      </c>
      <c r="V158" t="n">
        <v>0</v>
      </c>
      <c r="Y158" t="n">
        <v>0</v>
      </c>
      <c r="AA158" t="n">
        <v>0</v>
      </c>
      <c r="AB158" t="n">
        <v>0</v>
      </c>
    </row>
    <row r="159">
      <c r="A159" s="7" t="n">
        <v>157</v>
      </c>
      <c r="B159" t="n">
        <v>29</v>
      </c>
      <c r="C159" s="1" t="n">
        <v>17.4</v>
      </c>
      <c r="D159" s="2">
        <f>HYPERLINK("https://torgi.gov.ru/new/public/lots/lot/21000006750000000006_8/(lotInfo:info)", "21000006750000000006_8")</f>
        <v/>
      </c>
      <c r="E159" t="inlineStr">
        <is>
          <t>Характеристика объекта: нежилое помещение расположено в девятиэтажном панельном жилом доме, год постройки – 1981.</t>
        </is>
      </c>
      <c r="F159" s="3" t="inlineStr">
        <is>
          <t>22.06.22 09:00</t>
        </is>
      </c>
      <c r="G159" t="inlineStr">
        <is>
          <t>г Архангельск, ул Тимме Я., д 4</t>
        </is>
      </c>
      <c r="H159" s="4" t="n">
        <v>1316000</v>
      </c>
      <c r="I159" s="4" t="n">
        <v>75632.18390804599</v>
      </c>
      <c r="J159" t="inlineStr">
        <is>
          <t>Нежилое помещение</t>
        </is>
      </c>
      <c r="K159" s="5" t="n">
        <v>12.95</v>
      </c>
      <c r="L159" s="4" t="n">
        <v>487.95</v>
      </c>
      <c r="M159" t="n">
        <v>5841</v>
      </c>
      <c r="N159" s="6" t="n">
        <v>355429</v>
      </c>
      <c r="O159" t="n">
        <v>155</v>
      </c>
      <c r="Q159" t="inlineStr">
        <is>
          <t>EA</t>
        </is>
      </c>
      <c r="R159" t="inlineStr">
        <is>
          <t>М</t>
        </is>
      </c>
      <c r="S159" s="2">
        <f>HYPERLINK("https://yandex.ru/maps/?&amp;text=64.543696, 40.5679", "64.543696, 40.5679")</f>
        <v/>
      </c>
      <c r="T159" s="2">
        <f>HYPERLINK("D:\venv_torgi\env\cache\objs_in_district/64.543696_40.5679.json", "64.543696_40.5679.json")</f>
        <v/>
      </c>
      <c r="U159" t="inlineStr">
        <is>
          <t xml:space="preserve">29:22:050102:3741, </t>
        </is>
      </c>
      <c r="V159" t="n">
        <v>1</v>
      </c>
      <c r="Y159" t="n">
        <v>0</v>
      </c>
      <c r="AA159" t="n">
        <v>0</v>
      </c>
      <c r="AB159" t="n">
        <v>0</v>
      </c>
    </row>
    <row r="160">
      <c r="A160" s="7" t="n">
        <v>158</v>
      </c>
      <c r="B160" t="n">
        <v>30</v>
      </c>
      <c r="C160" s="1" t="n">
        <v>159.1</v>
      </c>
      <c r="D160" s="2">
        <f>HYPERLINK("https://torgi.gov.ru/new/public/lots/lot/21000021980000000016_4/(lotInfo:info)", "21000021980000000016_4")</f>
        <v/>
      </c>
      <c r="E160" t="inlineStr">
        <is>
          <t>нежилое помещение, расположенное по адресу: г. Астрахань, Советский район, ул. Н. Островского, д. 113 пом. 2, общей площадью 159,1 кв.м, кадастровый номер 30:12:030791:531. На 1 этаже 9-этажного жилого дома (ранее – общежитие). Вход через помещения общего пользования (подъезд). Стены – ж/бетонные стеновые панели, перекрытия железобетонные. Год постройки 1990г. Требует капитального ремонта.</t>
        </is>
      </c>
      <c r="F160" s="3" t="inlineStr">
        <is>
          <t>28.08.22 12:00</t>
        </is>
      </c>
      <c r="G160" t="inlineStr">
        <is>
          <t>г Астрахань, ул Николая Островского, д 113</t>
        </is>
      </c>
      <c r="H160" s="4" t="n">
        <v>1425000</v>
      </c>
      <c r="I160" s="4" t="n">
        <v>8956.631049654306</v>
      </c>
      <c r="J160" t="inlineStr">
        <is>
          <t>Нежилое помещение</t>
        </is>
      </c>
      <c r="K160" s="5" t="n">
        <v>2.13</v>
      </c>
      <c r="L160" s="4" t="n">
        <v>597.0700000000001</v>
      </c>
      <c r="M160" t="n">
        <v>4197</v>
      </c>
      <c r="N160" s="6" t="n">
        <v>532699</v>
      </c>
      <c r="O160" t="n">
        <v>15</v>
      </c>
      <c r="Q160" t="inlineStr">
        <is>
          <t>PP</t>
        </is>
      </c>
      <c r="R160" t="inlineStr">
        <is>
          <t>М</t>
        </is>
      </c>
      <c r="S160" s="2">
        <f>HYPERLINK("https://yandex.ru/maps/?&amp;text=46.33528, 48.041615", "46.33528, 48.041615")</f>
        <v/>
      </c>
      <c r="T160" s="2">
        <f>HYPERLINK("D:\venv_torgi\env\cache\objs_in_district/46.33528_48.041615.json", "46.33528_48.041615.json")</f>
        <v/>
      </c>
      <c r="U160" t="inlineStr">
        <is>
          <t>30:12:030791:531</t>
        </is>
      </c>
      <c r="V160" t="n">
        <v>1</v>
      </c>
      <c r="Y160" t="n">
        <v>-1</v>
      </c>
      <c r="AA160" t="n">
        <v>0</v>
      </c>
      <c r="AB160" t="n">
        <v>0</v>
      </c>
    </row>
    <row r="161">
      <c r="A161" s="7" t="n">
        <v>159</v>
      </c>
      <c r="B161" t="n">
        <v>30</v>
      </c>
      <c r="C161" s="1" t="n">
        <v>101.6</v>
      </c>
      <c r="D161" s="2">
        <f>HYPERLINK("https://torgi.gov.ru/new/public/lots/lot/21000021980000000001_5/(lotInfo:info)", "21000021980000000001_5")</f>
        <v/>
      </c>
      <c r="E161" t="inlineStr">
        <is>
          <t>нежилые помещения, расположенные по адресу: г. Астрахань, Кировский район, ул. Маяковского, 40 пом.1, общей площадью 45,6 кв.м, кадастровый номер 30:12:010156:291; пом.3а, общей площадью 36,2 кв.м, кадастровый номер 30:12:010156:594; пом.11, общей площадью 9,2 кв.м, кадастровый номер 30:12:010156:424; пом.12, общей площадью 10,6 кв.м, кадастровый номер 30:12:010156:423.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      </is>
      </c>
      <c r="F161" s="3" t="inlineStr">
        <is>
          <t>27.02.22 13:00</t>
        </is>
      </c>
      <c r="G161" t="inlineStr">
        <is>
          <t>г.Астрахань,  Кировский район,  ул. Маяковского, 40</t>
        </is>
      </c>
      <c r="H161" s="4" t="n">
        <v>1737000</v>
      </c>
      <c r="I161" s="4" t="n">
        <v>17096.45669291339</v>
      </c>
      <c r="J161" t="inlineStr">
        <is>
          <t>Нежилое помещение</t>
        </is>
      </c>
      <c r="K161" s="5" t="n">
        <v>3.93</v>
      </c>
      <c r="L161" s="4" t="n">
        <v>712.33</v>
      </c>
      <c r="M161" t="n">
        <v>4350</v>
      </c>
      <c r="O161" t="n">
        <v>24</v>
      </c>
      <c r="Q161" t="inlineStr">
        <is>
          <t>PP</t>
        </is>
      </c>
      <c r="R161" t="inlineStr">
        <is>
          <t>М</t>
        </is>
      </c>
      <c r="S161" s="2">
        <f>HYPERLINK("https://yandex.ru/maps/?&amp;text=46.344777, 48.053499", "46.344777, 48.053499")</f>
        <v/>
      </c>
      <c r="T161" s="2">
        <f>HYPERLINK("D:\venv_torgi\env\cache\objs_in_district/46.344777_48.053499.json", "46.344777_48.053499.json")</f>
        <v/>
      </c>
      <c r="U161" t="inlineStr">
        <is>
          <t xml:space="preserve">30:12:010156:291; </t>
        </is>
      </c>
      <c r="V161" t="n">
        <v>0</v>
      </c>
      <c r="Y161" t="n">
        <v>1</v>
      </c>
      <c r="AA161" t="n">
        <v>0</v>
      </c>
      <c r="AB161" t="n">
        <v>0</v>
      </c>
    </row>
    <row r="162">
      <c r="A162" s="7" t="n">
        <v>160</v>
      </c>
      <c r="B162" t="n">
        <v>31</v>
      </c>
      <c r="C162" s="1" t="n">
        <v>10.1</v>
      </c>
      <c r="D162" s="2">
        <f>HYPERLINK("https://torgi.gov.ru/new/public/lots/lot/21000016390000000087_11/(lotInfo:info)", "21000016390000000087_11")</f>
        <v/>
      </c>
      <c r="E162" t="inlineStr">
        <is>
          <t>Нежилое помещение, площадью 10,10 кв.м., КН:31:06:0210002:918. Имущество обременено: арест, запрет на регистрационные действия. Имущество принадлежит на праве собственности Полякову В.В.  Основание реализации: постановление о передаче имущества на торги от 12.05.2022 №31020/22/617576 Старооскольского РОСП УФССП России по Белгородской области</t>
        </is>
      </c>
      <c r="F162" s="3" t="inlineStr">
        <is>
          <t>15.08.22 15:00</t>
        </is>
      </c>
      <c r="G162" t="inlineStr">
        <is>
          <t>Белгородская обл, г Старый Оскол, мкр Макаренко, д 38</t>
        </is>
      </c>
      <c r="H162" s="4" t="n">
        <v>230068.5</v>
      </c>
      <c r="I162" s="4" t="n">
        <v>22779.0594059406</v>
      </c>
      <c r="J162" t="inlineStr">
        <is>
          <t>Нежилое помещение</t>
        </is>
      </c>
      <c r="K162" s="5" t="n">
        <v>22.6</v>
      </c>
      <c r="M162" t="n">
        <v>1008</v>
      </c>
      <c r="N162" s="6" t="n">
        <v>231864</v>
      </c>
      <c r="Q162" t="inlineStr">
        <is>
          <t>EA</t>
        </is>
      </c>
      <c r="R162" t="inlineStr">
        <is>
          <t>Д</t>
        </is>
      </c>
      <c r="S162" s="2">
        <f>HYPERLINK("https://yandex.ru/maps/?&amp;text=51.316656, 37.889412", "51.316656, 37.889412")</f>
        <v/>
      </c>
      <c r="U162" t="inlineStr">
        <is>
          <t>31:06:0210002:918</t>
        </is>
      </c>
      <c r="V162" t="n">
        <v>0</v>
      </c>
      <c r="Y162" t="n">
        <v>0</v>
      </c>
      <c r="AA162" t="n">
        <v>0</v>
      </c>
      <c r="AB162" t="n">
        <v>0</v>
      </c>
    </row>
    <row r="163">
      <c r="A163" s="7" t="n">
        <v>161</v>
      </c>
      <c r="B163" t="n">
        <v>31</v>
      </c>
      <c r="C163" s="1" t="n">
        <v>160.3</v>
      </c>
      <c r="D163" s="2">
        <f>HYPERLINK("https://torgi.gov.ru/new/public/lots/lot/21000026630000000013_1/(lotInfo:info)", "21000026630000000013_1")</f>
        <v/>
      </c>
      <c r="E163" t="inlineStr">
        <is>
          <t>Нежилое помещение площадью 160,3 кв.м, кадастровый номер 31:06:0322001:535, по адресу: Белгородская обл., г. Старый Оскол, пр-к Губкина, д.5</t>
        </is>
      </c>
      <c r="F163" s="3" t="inlineStr">
        <is>
          <t>29.08.22 15:00</t>
        </is>
      </c>
      <c r="G163" t="inlineStr">
        <is>
          <t>Белгородская обл, г Старый Оскол, пр-кт Губкина, д 5</t>
        </is>
      </c>
      <c r="H163" s="4" t="n">
        <v>7085554</v>
      </c>
      <c r="I163" s="4" t="n">
        <v>44201.83406113537</v>
      </c>
      <c r="J163" t="inlineStr">
        <is>
          <t>Нежилое помещение</t>
        </is>
      </c>
      <c r="K163" s="5" t="n">
        <v>5.35</v>
      </c>
      <c r="L163" s="4" t="n">
        <v>465.27</v>
      </c>
      <c r="M163" t="n">
        <v>8265</v>
      </c>
      <c r="N163" s="6" t="n">
        <v>231864</v>
      </c>
      <c r="O163" t="n">
        <v>95</v>
      </c>
      <c r="Q163" t="inlineStr">
        <is>
          <t>EA</t>
        </is>
      </c>
      <c r="R163" t="inlineStr">
        <is>
          <t>М</t>
        </is>
      </c>
      <c r="S163" s="2">
        <f>HYPERLINK("https://yandex.ru/maps/?&amp;text=51.28618, 37.80576", "51.28618, 37.80576")</f>
        <v/>
      </c>
      <c r="T163" s="2">
        <f>HYPERLINK("D:\venv_torgi\env\cache\objs_in_district/51.28618_37.80576.json", "51.28618_37.80576.json")</f>
        <v/>
      </c>
      <c r="U163" t="inlineStr">
        <is>
          <t xml:space="preserve">31:06:0322001:535, </t>
        </is>
      </c>
      <c r="V163" t="n">
        <v>1</v>
      </c>
      <c r="Y163" t="n">
        <v>0</v>
      </c>
      <c r="AA163" t="n">
        <v>0</v>
      </c>
      <c r="AB163" t="n">
        <v>0</v>
      </c>
    </row>
    <row r="164">
      <c r="A164" s="7" t="n">
        <v>162</v>
      </c>
      <c r="B164" t="n">
        <v>31</v>
      </c>
      <c r="C164" s="1" t="n">
        <v>36.9</v>
      </c>
      <c r="D164" s="2">
        <f>HYPERLINK("https://torgi.gov.ru/new/public/lots/lot/21000026630000000004_1/(lotInfo:info)", "21000026630000000004_1")</f>
        <v/>
      </c>
      <c r="E164" t="inlineStr">
        <is>
          <t>Нежилое помещение, расположенное по адресу: Белгородская обл., г. Старый Оскол, мкр. Олимпийский, д. 60 кв. 102</t>
        </is>
      </c>
      <c r="F164" s="3" t="inlineStr">
        <is>
          <t>28.03.22 15:00</t>
        </is>
      </c>
      <c r="G164" t="inlineStr">
        <is>
          <t>Белгородская обл, г Старый Оскол, Олимпийский мкр, д 60</t>
        </is>
      </c>
      <c r="H164" s="4" t="n">
        <v>1807000</v>
      </c>
      <c r="I164" s="4" t="n">
        <v>48970.18970189702</v>
      </c>
      <c r="J164" t="inlineStr">
        <is>
          <t>Нежилое помещение</t>
        </is>
      </c>
      <c r="K164" s="5" t="n">
        <v>19.5</v>
      </c>
      <c r="L164" s="4" t="n">
        <v>830</v>
      </c>
      <c r="M164" t="n">
        <v>2511</v>
      </c>
      <c r="N164" s="6" t="n">
        <v>231864</v>
      </c>
      <c r="O164" t="n">
        <v>59</v>
      </c>
      <c r="Q164" t="inlineStr">
        <is>
          <t>EA</t>
        </is>
      </c>
      <c r="R164" t="inlineStr">
        <is>
          <t>М</t>
        </is>
      </c>
      <c r="S164" s="2">
        <f>HYPERLINK("https://yandex.ru/maps/?&amp;text=51.306128, 37.892484", "51.306128, 37.892484")</f>
        <v/>
      </c>
      <c r="T164" s="2">
        <f>HYPERLINK("D:\venv_torgi\env\cache\objs_in_district/51.306128_37.892484.json", "51.306128_37.892484.json")</f>
        <v/>
      </c>
      <c r="U164" t="inlineStr">
        <is>
          <t>-</t>
        </is>
      </c>
      <c r="V164" t="n">
        <v>0</v>
      </c>
      <c r="Y164" t="n">
        <v>0</v>
      </c>
      <c r="AA164" t="n">
        <v>0</v>
      </c>
      <c r="AB164" t="n">
        <v>0</v>
      </c>
    </row>
    <row r="165">
      <c r="A165" s="7" t="n">
        <v>163</v>
      </c>
      <c r="B165" t="n">
        <v>31</v>
      </c>
      <c r="C165" s="1" t="n">
        <v>14.6</v>
      </c>
      <c r="D165" s="2">
        <f>HYPERLINK("https://torgi.gov.ru/new/public/lots/lot/21000026630000000002_1/(lotInfo:info)", "21000026630000000002_1")</f>
        <v/>
      </c>
      <c r="E165" t="inlineStr">
        <is>
          <t>Нежилое помещение общей площадью 14,6 кв.м, кадастровый номер 31:06:0217002:4790</t>
        </is>
      </c>
      <c r="F165" s="3" t="inlineStr">
        <is>
          <t>28.03.22 15:00</t>
        </is>
      </c>
      <c r="G165" t="inlineStr">
        <is>
          <t>Белгородская обл, г Старый Оскол, Олимпийский мкр, д 55</t>
        </is>
      </c>
      <c r="H165" s="4" t="n">
        <v>787800</v>
      </c>
      <c r="I165" s="4" t="n">
        <v>53958.90410958904</v>
      </c>
      <c r="J165" t="inlineStr">
        <is>
          <t>Нежилое помещение</t>
        </is>
      </c>
      <c r="K165" s="5" t="n">
        <v>31.95</v>
      </c>
      <c r="L165" s="4" t="n">
        <v>1798.6</v>
      </c>
      <c r="M165" t="n">
        <v>1689</v>
      </c>
      <c r="N165" s="6" t="n">
        <v>231864</v>
      </c>
      <c r="O165" t="n">
        <v>30</v>
      </c>
      <c r="Q165" t="inlineStr">
        <is>
          <t>EA</t>
        </is>
      </c>
      <c r="R165" t="inlineStr">
        <is>
          <t>М</t>
        </is>
      </c>
      <c r="S165" s="2">
        <f>HYPERLINK("https://yandex.ru/maps/?&amp;text=51.303886, 37.888603", "51.303886, 37.888603")</f>
        <v/>
      </c>
      <c r="T165" s="2">
        <f>HYPERLINK("D:\venv_torgi\env\cache\objs_in_district/51.303886_37.888603.json", "51.303886_37.888603.json")</f>
        <v/>
      </c>
      <c r="U165" t="inlineStr">
        <is>
          <t>31:06:0217002:4790</t>
        </is>
      </c>
      <c r="V165" t="n">
        <v>0</v>
      </c>
      <c r="Y165" t="n">
        <v>0</v>
      </c>
      <c r="AA165" t="n">
        <v>0</v>
      </c>
      <c r="AB165" t="n">
        <v>0</v>
      </c>
    </row>
    <row r="166">
      <c r="A166" s="7" t="n">
        <v>164</v>
      </c>
      <c r="B166" t="n">
        <v>32</v>
      </c>
      <c r="C166" s="1" t="n">
        <v>1092.5</v>
      </c>
      <c r="D166" s="2">
        <f>HYPERLINK("https://torgi.gov.ru/new/public/lots/lot/21000030690000000016_2/(lotInfo:info)", "21000030690000000016_2")</f>
        <v/>
      </c>
      <c r="E166" t="inlineStr">
        <is>
          <t>нежилое 2-этажное здание, общей площадью 1092,5 кв.м., инв.№32/201/13-171882, расположенная по адресу: Брянская обл., Гордеевский район, с.Глинное, ул.Зеленая, д.10, с земельным участком общей площадью 7902,0 кв.м, к/н 32:04:0110101:160</t>
        </is>
      </c>
      <c r="F166" s="3" t="inlineStr">
        <is>
          <t>06.06.22 08:00</t>
        </is>
      </c>
      <c r="G166" t="inlineStr">
        <is>
          <t>Брянская обл, Гордеевский р-н, село Глинное, ул Зеленая, д 10</t>
        </is>
      </c>
      <c r="H166" s="4" t="n">
        <v>1140290</v>
      </c>
      <c r="I166" s="4" t="n">
        <v>1043.743707093822</v>
      </c>
      <c r="J166" t="inlineStr">
        <is>
          <t>здание</t>
        </is>
      </c>
      <c r="K166" s="5" t="n">
        <v>5.76</v>
      </c>
      <c r="L166" s="4" t="inlineStr"/>
      <c r="M166" t="n">
        <v>181</v>
      </c>
      <c r="N166" s="6" t="n">
        <v>305</v>
      </c>
      <c r="O166" t="inlineStr"/>
      <c r="Q166" t="inlineStr">
        <is>
          <t>EA</t>
        </is>
      </c>
      <c r="R166" t="inlineStr">
        <is>
          <t>Д</t>
        </is>
      </c>
      <c r="S166" s="2">
        <f>HYPERLINK("https://yandex.ru/maps/?&amp;text=53.051819, 32.084606", "53.051819, 32.084606")</f>
        <v/>
      </c>
      <c r="T166" s="8">
        <f>HYPERLINK("D:\venv_torgi\env\cache\objs_in_district/53.051819_32.084606.json", "53.051819_32.084606.json")</f>
        <v/>
      </c>
      <c r="V166" t="n">
        <v>2</v>
      </c>
      <c r="Y166" t="n">
        <v>0</v>
      </c>
      <c r="AA166" t="n">
        <v>0</v>
      </c>
      <c r="AB166" t="n">
        <v>1</v>
      </c>
    </row>
    <row r="167">
      <c r="A167" s="7" t="n">
        <v>165</v>
      </c>
      <c r="B167" t="n">
        <v>32</v>
      </c>
      <c r="C167" s="1" t="n">
        <v>1033.7</v>
      </c>
      <c r="D167" s="2">
        <f>HYPERLINK("https://torgi.gov.ru/new/public/lots/lot/21000030690000000016_1/(lotInfo:info)", "21000030690000000016_1")</f>
        <v/>
      </c>
      <c r="E167" t="inlineStr">
        <is>
          <t>административное нежилое 2-этажное здание, литер А, общей площадью 1033,7 кв.м., инв.№4960:0000/А, расположенная по адресу: Брянская обл., Гордеевский район, с.Гордеевка, ул.Кирова, д.18А, с земельным участком общей площадью 1303,0 кв.м, к/н 32:04:0220301:44</t>
        </is>
      </c>
      <c r="F167" s="3" t="inlineStr">
        <is>
          <t>06.06.22 08:00</t>
        </is>
      </c>
      <c r="G167" t="inlineStr">
        <is>
          <t>Брянская обл, село Гордеевка, ул Кирова, д 18А</t>
        </is>
      </c>
      <c r="H167" s="4" t="n">
        <v>1146350</v>
      </c>
      <c r="I167" s="4" t="n">
        <v>1108.977459611106</v>
      </c>
      <c r="J167" t="inlineStr">
        <is>
          <t>здание</t>
        </is>
      </c>
      <c r="K167" s="5" t="n">
        <v>4.64</v>
      </c>
      <c r="L167" s="4" t="inlineStr"/>
      <c r="M167" t="n">
        <v>239</v>
      </c>
      <c r="N167" s="6" t="n">
        <v>3012</v>
      </c>
      <c r="O167" t="inlineStr"/>
      <c r="Q167" t="inlineStr">
        <is>
          <t>EA</t>
        </is>
      </c>
      <c r="R167" t="inlineStr">
        <is>
          <t>Д</t>
        </is>
      </c>
      <c r="S167" s="2">
        <f>HYPERLINK("https://yandex.ru/maps/?&amp;text=52.965224, 31.968822", "52.965224, 31.968822")</f>
        <v/>
      </c>
      <c r="T167" s="8">
        <f>HYPERLINK("D:\venv_torgi\env\cache\objs_in_district/52.965224_31.968822.json", "52.965224_31.968822.json")</f>
        <v/>
      </c>
      <c r="V167" t="n">
        <v>2</v>
      </c>
      <c r="Y167" t="n">
        <v>0</v>
      </c>
      <c r="AA167" t="n">
        <v>0</v>
      </c>
      <c r="AB167" t="n">
        <v>1</v>
      </c>
    </row>
    <row r="168">
      <c r="A168" s="7" t="n">
        <v>166</v>
      </c>
      <c r="B168" t="n">
        <v>32</v>
      </c>
      <c r="C168" s="1" t="n">
        <v>813.2</v>
      </c>
      <c r="D168" s="2">
        <f>HYPERLINK("https://torgi.gov.ru/new/public/lots/lot/21000030690000000016_3/(lotInfo:info)", "21000030690000000016_3")</f>
        <v/>
      </c>
      <c r="E168" t="inlineStr">
        <is>
          <t>нежилое 2-этажное здание, общей площадью 813,2 кв.м., инв.№32/201/13-171907, расположенная по адресу: Брянская обл., Гордеевский район, д.Рудня, ул.Центральная, д.20, с земельным участком общей площадью 4713,0 кв.м, к/н 32:04:0150101:300</t>
        </is>
      </c>
      <c r="F168" s="3" t="inlineStr">
        <is>
          <t>06.06.22 08:00</t>
        </is>
      </c>
      <c r="G168" t="inlineStr">
        <is>
          <t>Брянская обл, Гордеевский р-н, деревня Рудня-Воробьевка, ул Центральная, д 20</t>
        </is>
      </c>
      <c r="H168" s="4" t="n">
        <v>906400</v>
      </c>
      <c r="I168" s="4" t="n">
        <v>1114.60895228726</v>
      </c>
      <c r="J168" t="inlineStr">
        <is>
          <t>здание</t>
        </is>
      </c>
      <c r="K168" s="5" t="n">
        <v>17.41</v>
      </c>
      <c r="L168" s="4" t="inlineStr"/>
      <c r="M168" t="n">
        <v>64</v>
      </c>
      <c r="N168" s="6" t="n">
        <v>333</v>
      </c>
      <c r="O168" t="inlineStr"/>
      <c r="Q168" t="inlineStr">
        <is>
          <t>EA</t>
        </is>
      </c>
      <c r="R168" t="inlineStr">
        <is>
          <t>Д</t>
        </is>
      </c>
      <c r="S168" s="2">
        <f>HYPERLINK("https://yandex.ru/maps/?&amp;text=52.993109, 31.955347", "52.993109, 31.955347")</f>
        <v/>
      </c>
      <c r="T168" s="8">
        <f>HYPERLINK("D:\venv_torgi\env\cache\objs_in_district/52.993109_31.955347.json", "52.993109_31.955347.json")</f>
        <v/>
      </c>
      <c r="V168" t="n">
        <v>2</v>
      </c>
      <c r="Y168" t="n">
        <v>0</v>
      </c>
      <c r="AA168" t="n">
        <v>0</v>
      </c>
      <c r="AB168" t="n">
        <v>1</v>
      </c>
    </row>
    <row r="169">
      <c r="A169" s="7" t="n">
        <v>167</v>
      </c>
      <c r="B169" t="n">
        <v>32</v>
      </c>
      <c r="C169" s="1" t="n">
        <v>90.7</v>
      </c>
      <c r="D169" s="2">
        <f>HYPERLINK("https://torgi.gov.ru/new/public/lots/lot/22000041200000000003_1/(lotInfo:info)", "22000041200000000003_1")</f>
        <v/>
      </c>
      <c r="E169" t="inlineStr">
        <is>
          <t>нежилое здание, общей площадью 90,7 кв.м. с кадастровым номером 32:15:0140101:296 и земельный участок, общей площадью 1500 кв.м. с кадастровым номером 32:15:0140101:295, категория земель: земли населенных пунктов, расположенные по адресу: Брянская область, Красногорский район, с. Колюды, ул. Центральная д.36, категория земель: земли населенных пунктов, разрешенное использование: для ведения личного подсобного хозяйства</t>
        </is>
      </c>
      <c r="F169" s="3" t="inlineStr">
        <is>
          <t>13.05.22 13:00</t>
        </is>
      </c>
      <c r="G169" t="inlineStr">
        <is>
          <t>Брянская обл, Красногорский р-н, село Колюды, ул Центральная, двлд 36</t>
        </is>
      </c>
      <c r="H169" s="4" t="n">
        <v>167000</v>
      </c>
      <c r="I169" s="4" t="n">
        <v>1841.234840132304</v>
      </c>
      <c r="J169" t="inlineStr">
        <is>
          <t>жилое здание</t>
        </is>
      </c>
      <c r="K169" s="5" t="n">
        <v>27.48</v>
      </c>
      <c r="M169" t="n">
        <v>67</v>
      </c>
      <c r="N169" s="6" t="n">
        <v>350</v>
      </c>
      <c r="Q169" t="inlineStr">
        <is>
          <t>EA</t>
        </is>
      </c>
      <c r="R169" t="inlineStr">
        <is>
          <t>М</t>
        </is>
      </c>
      <c r="S169" s="2">
        <f>HYPERLINK("https://yandex.ru/maps/?&amp;text=53.085826, 31.418119", "53.085826, 31.418119")</f>
        <v/>
      </c>
      <c r="U169" t="inlineStr">
        <is>
          <t xml:space="preserve">32:15:0140101:296 </t>
        </is>
      </c>
      <c r="V169" t="n">
        <v>1</v>
      </c>
      <c r="Y169" t="n">
        <v>0</v>
      </c>
      <c r="AA169" t="n">
        <v>0</v>
      </c>
      <c r="AB169" t="n">
        <v>1</v>
      </c>
    </row>
    <row r="170">
      <c r="A170" s="7" t="n">
        <v>168</v>
      </c>
      <c r="B170" t="n">
        <v>32</v>
      </c>
      <c r="C170" s="1" t="n">
        <v>87.5</v>
      </c>
      <c r="D170" s="2">
        <f>HYPERLINK("https://torgi.gov.ru/new/public/lots/lot/22000080200000000001_1/(lotInfo:info)", "22000080200000000001_1")</f>
        <v/>
      </c>
      <c r="E170" t="inlineStr">
        <is>
          <t>Нежилое здание (в т.ч.земельный участок)с.Лопатни пе.2-й Луговой д.5а</t>
        </is>
      </c>
      <c r="F170" s="3" t="inlineStr">
        <is>
          <t>02.05.22 11:00</t>
        </is>
      </c>
      <c r="G170" t="inlineStr">
        <is>
          <t>Брянская обл, Клинцовский р-н, село Лопатни, 2-й Луговой пер, д 5а</t>
        </is>
      </c>
      <c r="H170" s="4" t="n">
        <v>183750</v>
      </c>
      <c r="I170" s="4" t="n">
        <v>2100</v>
      </c>
      <c r="J170" t="inlineStr">
        <is>
          <t>жилое здание</t>
        </is>
      </c>
      <c r="K170" s="5" t="n">
        <v>7.19</v>
      </c>
      <c r="M170" t="n">
        <v>292</v>
      </c>
      <c r="N170" s="6" t="n">
        <v>685</v>
      </c>
      <c r="Q170" t="inlineStr">
        <is>
          <t>EA</t>
        </is>
      </c>
      <c r="R170" t="inlineStr">
        <is>
          <t>М</t>
        </is>
      </c>
      <c r="S170" s="2">
        <f>HYPERLINK("https://yandex.ru/maps/?&amp;text=52.828349, 32.139322", "52.828349, 32.139322")</f>
        <v/>
      </c>
      <c r="U170" t="inlineStr">
        <is>
          <t>32:13:0030101:1173</t>
        </is>
      </c>
      <c r="V170" t="n">
        <v>1</v>
      </c>
      <c r="Y170" t="n">
        <v>0</v>
      </c>
      <c r="AA170" t="n">
        <v>0</v>
      </c>
      <c r="AB170" t="n">
        <v>1</v>
      </c>
    </row>
    <row r="171">
      <c r="A171" s="7" t="n">
        <v>169</v>
      </c>
      <c r="B171" t="n">
        <v>32</v>
      </c>
      <c r="C171" s="1" t="n">
        <v>50</v>
      </c>
      <c r="D171" s="2">
        <f>HYPERLINK("https://torgi.gov.ru/new/public/lots/lot/22000084300000000001_1/(lotInfo:info)", "22000084300000000001_1")</f>
        <v/>
      </c>
      <c r="E171" t="inlineStr">
        <is>
          <t>Нежилое здание по адресу: 243114 Российская Федерация, Брянская область Клинцовский район с. Киваи ул. Ворошилова д.16А, площадь здания 50,0 м2, кадастровый номер 32:13:0160101:760</t>
        </is>
      </c>
      <c r="F171" s="3" t="inlineStr">
        <is>
          <t>11.05.22 06:55</t>
        </is>
      </c>
      <c r="G171" t="inlineStr">
        <is>
          <t>Брянская обл, Клинцовский р-н, село Киваи, ул Ворошилова, двлд 16А</t>
        </is>
      </c>
      <c r="H171" s="4" t="n">
        <v>131000</v>
      </c>
      <c r="I171" s="4" t="n">
        <v>2620</v>
      </c>
      <c r="J171" t="inlineStr">
        <is>
          <t>жилое здание</t>
        </is>
      </c>
      <c r="K171" s="5" t="n">
        <v>36.9</v>
      </c>
      <c r="M171" t="n">
        <v>71</v>
      </c>
      <c r="N171" s="6" t="n">
        <v>461</v>
      </c>
      <c r="Q171" t="inlineStr">
        <is>
          <t>EA</t>
        </is>
      </c>
      <c r="R171" t="inlineStr">
        <is>
          <t>М</t>
        </is>
      </c>
      <c r="S171" s="2">
        <f>HYPERLINK("https://yandex.ru/maps/?&amp;text=52.596963, 32.362338", "52.596963, 32.362338")</f>
        <v/>
      </c>
      <c r="U171" t="inlineStr">
        <is>
          <t>32:13:0160101:760</t>
        </is>
      </c>
      <c r="V171" t="n">
        <v>0</v>
      </c>
      <c r="Y171" t="n">
        <v>0</v>
      </c>
      <c r="AA171" t="n">
        <v>0</v>
      </c>
      <c r="AB171" t="n">
        <v>0</v>
      </c>
    </row>
    <row r="172">
      <c r="A172" s="7" t="n">
        <v>170</v>
      </c>
      <c r="B172" t="n">
        <v>32</v>
      </c>
      <c r="C172" s="1" t="n">
        <v>87.8</v>
      </c>
      <c r="D172" s="2">
        <f>HYPERLINK("https://torgi.gov.ru/new/public/lots/lot/22000041200000000004_1/(lotInfo:info)", "22000041200000000004_1")</f>
        <v/>
      </c>
      <c r="E172" t="inlineStr">
        <is>
          <t>нежилое здание, общей площадью 87,8кв.м. с кадастровым номером 32:15:0150101:354 и земельный участок, общей площадью 600 кв.м. с кадастровым номером 32:15:0150101:499, категория земель: земли населенных пунктов, расположенные по адресу: Брянская область, Красногорский район, с. Колюды, ул. Колхозная д.5, категория земель: земли населенных пунктов, разрешенное использование: для ведения личного подсобного хозяйства</t>
        </is>
      </c>
      <c r="F172" s="3" t="inlineStr">
        <is>
          <t>18.08.22 13:00</t>
        </is>
      </c>
      <c r="G172" t="inlineStr">
        <is>
          <t>Брянская обл, Красногорский р-н, село Колюды, ул Колхозная, двлд 5</t>
        </is>
      </c>
      <c r="H172" s="4" t="n">
        <v>232000</v>
      </c>
      <c r="I172" s="4" t="n">
        <v>2642.369020501139</v>
      </c>
      <c r="J172" t="inlineStr">
        <is>
          <t>жилое здание</t>
        </is>
      </c>
      <c r="K172" s="5" t="n">
        <v>23.8</v>
      </c>
      <c r="M172" t="n">
        <v>111</v>
      </c>
      <c r="N172" s="6" t="n">
        <v>350</v>
      </c>
      <c r="Q172" t="inlineStr">
        <is>
          <t>EA</t>
        </is>
      </c>
      <c r="R172" t="inlineStr">
        <is>
          <t>М</t>
        </is>
      </c>
      <c r="S172" s="2">
        <f>HYPERLINK("https://yandex.ru/maps/?&amp;text=53.079697, 31.423392", "53.079697, 31.423392")</f>
        <v/>
      </c>
      <c r="U172" t="inlineStr">
        <is>
          <t xml:space="preserve">32:15:0150101:354 </t>
        </is>
      </c>
      <c r="V172" t="n">
        <v>1</v>
      </c>
      <c r="Y172" t="n">
        <v>0</v>
      </c>
      <c r="AA172" t="n">
        <v>0</v>
      </c>
      <c r="AB172" t="n">
        <v>1</v>
      </c>
    </row>
    <row r="173">
      <c r="A173" s="7" t="n">
        <v>171</v>
      </c>
      <c r="B173" t="n">
        <v>32</v>
      </c>
      <c r="C173" s="1" t="n">
        <v>95.90000000000001</v>
      </c>
      <c r="D173" s="2">
        <f>HYPERLINK("https://torgi.gov.ru/new/public/lots/lot/22000017210000000002_1/(lotInfo:info)", "22000017210000000002_1")</f>
        <v/>
      </c>
      <c r="E173" t="inlineStr">
        <is>
          <t>Нежилое здание общей площадью 95,9 кв.м, расположенное по адресу : Брянская область, Красногорский район, с.Перелазы , пер.Восточный, д. 6 , кадастровый номер 32:15:0240101:795, с земельным участком, общей площадью 400 кв.м ,расположенный по адресу: Брянская область, Красногорский район, с.Перелазы , пер.Восточный, д. 6 , кадастровым номером 32:15:0240101:899, категория земель: земли населенных пунктов, разрешенное использование: для ведения личного подсобного хозяйства</t>
        </is>
      </c>
      <c r="F173" s="3" t="inlineStr">
        <is>
          <t>29.03.22 13:00</t>
        </is>
      </c>
      <c r="G173" t="inlineStr">
        <is>
          <t>Брянская обл, Красногорский р-н, село Перелазы, Восточный пер, д 6</t>
        </is>
      </c>
      <c r="H173" s="4" t="n">
        <v>270800</v>
      </c>
      <c r="I173" s="4" t="n">
        <v>2823.774765380605</v>
      </c>
      <c r="J173" t="inlineStr">
        <is>
          <t>жилое здание</t>
        </is>
      </c>
      <c r="K173" s="5" t="n">
        <v>29.1</v>
      </c>
      <c r="M173" t="n">
        <v>97</v>
      </c>
      <c r="N173" s="6" t="n">
        <v>715</v>
      </c>
      <c r="Q173" t="inlineStr">
        <is>
          <t>EA</t>
        </is>
      </c>
      <c r="R173" t="inlineStr">
        <is>
          <t>М</t>
        </is>
      </c>
      <c r="S173" s="2">
        <f>HYPERLINK("https://yandex.ru/maps/?&amp;text=53.039568, 31.47951", "53.039568, 31.47951")</f>
        <v/>
      </c>
      <c r="U173" t="inlineStr">
        <is>
          <t xml:space="preserve">32:15:0240101:795, </t>
        </is>
      </c>
      <c r="V173" t="n">
        <v>1</v>
      </c>
      <c r="Y173" t="n">
        <v>0</v>
      </c>
      <c r="AA173" t="n">
        <v>0</v>
      </c>
      <c r="AB173" t="n">
        <v>1</v>
      </c>
    </row>
    <row r="174">
      <c r="A174" s="7" t="n">
        <v>172</v>
      </c>
      <c r="B174" t="n">
        <v>32</v>
      </c>
      <c r="C174" s="1" t="n">
        <v>77.09999999999999</v>
      </c>
      <c r="D174" s="2">
        <f>HYPERLINK("https://torgi.gov.ru/new/public/lots/lot/22000017210000000005_1/(lotInfo:info)", "22000017210000000005_1")</f>
        <v/>
      </c>
      <c r="E174" t="inlineStr">
        <is>
          <t>Нежилое здание общей площадью 77,1 кв. м, расположенное по адресу : Брянская область, Красногорский район, с.Перелазы , пер.Зеленый , д. 4 , кадастровый номер 32:15:0240101:778, с земельным участком, общей площадью 2579кв. м ,расположенный по адресу: Брянская область, Красногорский район, с.Перелазы , пер.Зеленый, д. 4 , кадастровым номером 32:15:0240101:327, категория земель: земли населенных пунктов, разрешенное использование: для ведения личного подсобного хозяйства</t>
        </is>
      </c>
      <c r="F174" s="3" t="inlineStr">
        <is>
          <t>19.05.22 13:00</t>
        </is>
      </c>
      <c r="G174" t="inlineStr">
        <is>
          <t>Брянская обл, Красногорский р-н, село Перелазы, Зеленый пер, д 4</t>
        </is>
      </c>
      <c r="H174" s="4" t="n">
        <v>231735</v>
      </c>
      <c r="I174" s="4" t="n">
        <v>3005.642023346304</v>
      </c>
      <c r="J174" t="inlineStr">
        <is>
          <t>жилое здание</t>
        </is>
      </c>
      <c r="K174" s="5" t="n">
        <v>14.11</v>
      </c>
      <c r="M174" t="n">
        <v>213</v>
      </c>
      <c r="N174" s="6" t="n">
        <v>715</v>
      </c>
      <c r="Q174" t="inlineStr">
        <is>
          <t>EA</t>
        </is>
      </c>
      <c r="R174" t="inlineStr">
        <is>
          <t>М</t>
        </is>
      </c>
      <c r="S174" s="2">
        <f>HYPERLINK("https://yandex.ru/maps/?&amp;text=53.031451, 31.466089", "53.031451, 31.466089")</f>
        <v/>
      </c>
      <c r="U174" t="inlineStr">
        <is>
          <t xml:space="preserve">32:15:0240101:778, </t>
        </is>
      </c>
      <c r="V174" t="n">
        <v>1</v>
      </c>
      <c r="Y174" t="n">
        <v>0</v>
      </c>
      <c r="AA174" t="n">
        <v>0</v>
      </c>
      <c r="AB174" t="n">
        <v>1</v>
      </c>
    </row>
    <row r="175">
      <c r="A175" s="7" t="n">
        <v>173</v>
      </c>
      <c r="B175" t="n">
        <v>32</v>
      </c>
      <c r="C175" s="1" t="n">
        <v>33</v>
      </c>
      <c r="D175" s="2">
        <f>HYPERLINK("https://torgi.gov.ru/new/public/lots/lot/22000017210000000003_1/(lotInfo:info)", "22000017210000000003_1")</f>
        <v/>
      </c>
      <c r="E175" t="inlineStr">
        <is>
          <t>Нежилое здание общей площадью 33,0 кв. м, расположенное по адресу : Брянская область, Красногорский район, с.Перелазы , ул. Школьная, д. 23 , кадастровый номер 32:15:0240101:646, с земельным участком, общей площадью 1757 кв. м ,расположенный по адресу: Брянская область, Красногорский район, с.Перелазы , ул. Школьная , д. 23 , кадастровым номером 32:15:0240101:13, категория земель: земли населенных пунктов, разрешенное использование: для ведения личного подсобного хозяйства</t>
        </is>
      </c>
      <c r="F175" s="3" t="inlineStr">
        <is>
          <t>10.05.22 13:00</t>
        </is>
      </c>
      <c r="G175" t="inlineStr">
        <is>
          <t>Брянская обл, Красногорский р-н, село Перелазы, ул Школьная, д 23</t>
        </is>
      </c>
      <c r="H175" s="4" t="n">
        <v>101850</v>
      </c>
      <c r="I175" s="4" t="n">
        <v>3086.363636363636</v>
      </c>
      <c r="J175" t="inlineStr">
        <is>
          <t>жилое здание</t>
        </is>
      </c>
      <c r="K175" s="5" t="n">
        <v>20.17</v>
      </c>
      <c r="M175" t="n">
        <v>153</v>
      </c>
      <c r="N175" s="6" t="n">
        <v>715</v>
      </c>
      <c r="Q175" t="inlineStr">
        <is>
          <t>EA</t>
        </is>
      </c>
      <c r="R175" t="inlineStr">
        <is>
          <t>М</t>
        </is>
      </c>
      <c r="S175" s="2">
        <f>HYPERLINK("https://yandex.ru/maps/?&amp;text=53.034489, 31.470051", "53.034489, 31.470051")</f>
        <v/>
      </c>
      <c r="U175" t="inlineStr">
        <is>
          <t xml:space="preserve">32:15:0240101:646, </t>
        </is>
      </c>
      <c r="V175" t="n">
        <v>1</v>
      </c>
      <c r="Y175" t="n">
        <v>0</v>
      </c>
      <c r="AA175" t="n">
        <v>0</v>
      </c>
      <c r="AB175" t="n">
        <v>1</v>
      </c>
    </row>
    <row r="176">
      <c r="A176" s="7" t="n">
        <v>174</v>
      </c>
      <c r="B176" t="n">
        <v>32</v>
      </c>
      <c r="C176" s="1" t="n">
        <v>224</v>
      </c>
      <c r="D176" s="2">
        <f>HYPERLINK("https://torgi.gov.ru/new/public/lots/lot/21000013350000000010_1/(lotInfo:info)", "21000013350000000010_1")</f>
        <v/>
      </c>
      <c r="E176" t="inlineStr">
        <is>
          <t>нежилое помещение общей площадью 224 кв.м, расположенное по адресу: Брянская область, Красногорский район, пгт.Красная Гора, ул. Тамбовская, д.2, кадастровый номер: 32:15:0260303:12, с земельным участком общей площадью 2973 кв.м, расположенным по адресу: Брянская область, Красногорский район, пгт Красная Гора, ул. Тамбовская, д.2, кадастровый номер: 32:15:0260401:2, категория земель: земли населенных пунктов, разрешенное использование: под жилую застройку - индивидуальную</t>
        </is>
      </c>
      <c r="F176" s="3" t="inlineStr">
        <is>
          <t>28.02.22 13:00</t>
        </is>
      </c>
      <c r="G176" t="inlineStr">
        <is>
          <t>Брянская обл, пгт Красная Гора, ул Тамбовская, д 2</t>
        </is>
      </c>
      <c r="H176" s="4" t="n">
        <v>895000</v>
      </c>
      <c r="I176" s="4" t="n">
        <v>3995.535714285714</v>
      </c>
      <c r="J176" t="inlineStr">
        <is>
          <t>Нежилое помещение</t>
        </is>
      </c>
      <c r="K176" s="5" t="n">
        <v>11.48</v>
      </c>
      <c r="L176" s="4" t="inlineStr"/>
      <c r="M176" t="n">
        <v>348</v>
      </c>
      <c r="N176" s="6" t="n">
        <v>6392</v>
      </c>
      <c r="O176" t="inlineStr"/>
      <c r="Q176" t="inlineStr">
        <is>
          <t>EA</t>
        </is>
      </c>
      <c r="R176" t="inlineStr">
        <is>
          <t>М</t>
        </is>
      </c>
      <c r="S176" s="2">
        <f>HYPERLINK("https://yandex.ru/maps/?&amp;text=53.012044, 31.58048", "53.012044, 31.58048")</f>
        <v/>
      </c>
      <c r="T176" s="8">
        <f>HYPERLINK("D:\venv_torgi\env\cache\objs_in_district/53.012044_31.58048.json", "53.012044_31.58048.json")</f>
        <v/>
      </c>
      <c r="U176" t="inlineStr">
        <is>
          <t xml:space="preserve">32:15:0260303:12, </t>
        </is>
      </c>
      <c r="V176" t="n">
        <v>1</v>
      </c>
      <c r="Y176" t="n">
        <v>0</v>
      </c>
      <c r="AA176" t="n">
        <v>0</v>
      </c>
      <c r="AB176" t="n">
        <v>1</v>
      </c>
    </row>
    <row r="177">
      <c r="A177" s="7" t="n">
        <v>175</v>
      </c>
      <c r="B177" t="n">
        <v>32</v>
      </c>
      <c r="C177" s="1" t="n">
        <v>125.6</v>
      </c>
      <c r="D177" s="2">
        <f>HYPERLINK("https://torgi.gov.ru/new/public/lots/lot/21000013350000000020_1/(lotInfo:info)", "21000013350000000020_1")</f>
        <v/>
      </c>
      <c r="E177" t="inlineStr">
        <is>
          <t>Нежилое здание общей площадью 125,6 кв.м., расположенное по адресу: Брянская область, Красногорский район, пгт Красная Гора, ул. 8 Марта, д.15, кадастровый (условный) номер 32:15:0262009:44, с земельным участком общей площадью 783 кв.м, категория земель: земли населенных пунктов, разрешенное использование: для ведения личного подсобного хозяйства, кадастровый номер – 32:15:0262009:4</t>
        </is>
      </c>
      <c r="F177" s="3" t="inlineStr">
        <is>
          <t>22.07.22 13:00</t>
        </is>
      </c>
      <c r="G177" t="inlineStr">
        <is>
          <t>Брянская обл, пгт Красная Гора, ул 8 Марта, д 15</t>
        </is>
      </c>
      <c r="H177" s="4" t="n">
        <v>519000</v>
      </c>
      <c r="I177" s="4" t="n">
        <v>4132.165605095542</v>
      </c>
      <c r="J177" t="inlineStr">
        <is>
          <t>жилое здание</t>
        </is>
      </c>
      <c r="K177" s="5" t="n">
        <v>19.31</v>
      </c>
      <c r="L177" s="4" t="inlineStr"/>
      <c r="M177" t="n">
        <v>214</v>
      </c>
      <c r="N177" s="6" t="n">
        <v>6392</v>
      </c>
      <c r="O177" t="inlineStr"/>
      <c r="Q177" t="inlineStr">
        <is>
          <t>EA</t>
        </is>
      </c>
      <c r="R177" t="inlineStr">
        <is>
          <t>М</t>
        </is>
      </c>
      <c r="S177" s="2">
        <f>HYPERLINK("https://yandex.ru/maps/?&amp;text=52.990291, 31.621938", "52.990291, 31.621938")</f>
        <v/>
      </c>
      <c r="T177" s="8">
        <f>HYPERLINK("D:\venv_torgi\env\cache\objs_in_district/52.990291_31.621938.json", "52.990291_31.621938.json")</f>
        <v/>
      </c>
      <c r="U177" t="inlineStr">
        <is>
          <t xml:space="preserve">32:15:0262009:44, </t>
        </is>
      </c>
      <c r="V177" t="n">
        <v>1</v>
      </c>
      <c r="Y177" t="n">
        <v>0</v>
      </c>
      <c r="AA177" t="n">
        <v>0</v>
      </c>
      <c r="AB177" t="n">
        <v>1</v>
      </c>
    </row>
    <row r="178">
      <c r="A178" s="7" t="n">
        <v>176</v>
      </c>
      <c r="B178" t="n">
        <v>32</v>
      </c>
      <c r="C178" s="1" t="n">
        <v>45.5</v>
      </c>
      <c r="D178" s="2">
        <f>HYPERLINK("https://torgi.gov.ru/new/public/lots/lot/22000017210000000001_1/(lotInfo:info)", "22000017210000000001_1")</f>
        <v/>
      </c>
      <c r="E178" t="inlineStr">
        <is>
          <t>Нежилое здание общей площадью 45.5 кв.м, расположенное по адресу : Брянская область, Красногорский район, с.Перелазы , ул. Победы, д. 8 , кадастровый номер 32:15:0240101:774, с земельным участком, общей площадью 600 кв.м ,расположенный по адресу: Брянская область, Красногорский район, с.Перелазы , ул. Победы, д. 8, кадастровым номером 32:15:0240101:926, категория земель: земли населенных пунктов, разрешенное использование: для ведения личного подсобного хозяйства</t>
        </is>
      </c>
      <c r="F178" s="3" t="inlineStr">
        <is>
          <t>29.03.22 13:00</t>
        </is>
      </c>
      <c r="G178" t="inlineStr">
        <is>
          <t>Брянская обл, Красногорский р-н, село Перелазы, ул Победы, д 8</t>
        </is>
      </c>
      <c r="H178" s="4" t="n">
        <v>188100</v>
      </c>
      <c r="I178" s="4" t="n">
        <v>4134.065934065934</v>
      </c>
      <c r="J178" t="inlineStr">
        <is>
          <t>жилое здание</t>
        </is>
      </c>
      <c r="K178" s="5" t="n">
        <v>42.18</v>
      </c>
      <c r="M178" t="n">
        <v>98</v>
      </c>
      <c r="N178" s="6" t="n">
        <v>715</v>
      </c>
      <c r="Q178" t="inlineStr">
        <is>
          <t>EA</t>
        </is>
      </c>
      <c r="R178" t="inlineStr">
        <is>
          <t>М</t>
        </is>
      </c>
      <c r="S178" s="2">
        <f>HYPERLINK("https://yandex.ru/maps/?&amp;text=53.04175, 31.47262", "53.04175, 31.47262")</f>
        <v/>
      </c>
      <c r="U178" t="inlineStr">
        <is>
          <t xml:space="preserve">32:15:0240101:774, </t>
        </is>
      </c>
      <c r="V178" t="n">
        <v>1</v>
      </c>
      <c r="Y178" t="n">
        <v>0</v>
      </c>
      <c r="AA178" t="n">
        <v>0</v>
      </c>
      <c r="AB178" t="n">
        <v>1</v>
      </c>
    </row>
    <row r="179">
      <c r="A179" s="7" t="n">
        <v>177</v>
      </c>
      <c r="B179" t="n">
        <v>32</v>
      </c>
      <c r="C179" s="1" t="n">
        <v>77</v>
      </c>
      <c r="D179" s="2">
        <f>HYPERLINK("https://torgi.gov.ru/new/public/lots/lot/21000013350000000009_1/(lotInfo:info)", "21000013350000000009_1")</f>
        <v/>
      </c>
      <c r="E179" t="inlineStr">
        <is>
          <t>. нежилое помещение общей площадью 76,8 кв.м, расположенное по адресу: Брянская область, Красногорский район, пгт.Красная Гора, ул. Мелиоративная, д.3, кв.1 кадастровый номер: 32:15:0260906:68</t>
        </is>
      </c>
      <c r="F179" s="3" t="inlineStr">
        <is>
          <t>28.02.22 13:00</t>
        </is>
      </c>
      <c r="G179" t="inlineStr">
        <is>
          <t>Брянская обл, пгт Красная Гора, ул Мелиоративная, д 3</t>
        </is>
      </c>
      <c r="H179" s="4" t="n">
        <v>355000</v>
      </c>
      <c r="I179" s="4" t="n">
        <v>4610.38961038961</v>
      </c>
      <c r="J179" t="inlineStr">
        <is>
          <t>Нежилое помещение</t>
        </is>
      </c>
      <c r="K179" s="5" t="n">
        <v>82.31999999999999</v>
      </c>
      <c r="M179" t="n">
        <v>56</v>
      </c>
      <c r="N179" s="6" t="n">
        <v>6392</v>
      </c>
      <c r="Q179" t="inlineStr">
        <is>
          <t>EA</t>
        </is>
      </c>
      <c r="R179" t="inlineStr">
        <is>
          <t>М</t>
        </is>
      </c>
      <c r="S179" s="2">
        <f>HYPERLINK("https://yandex.ru/maps/?&amp;text=53.003965, 31.573168", "53.003965, 31.573168")</f>
        <v/>
      </c>
      <c r="U179" t="inlineStr">
        <is>
          <t>32:15:0260906:68</t>
        </is>
      </c>
      <c r="V179" t="n">
        <v>0</v>
      </c>
      <c r="Y179" t="n">
        <v>0</v>
      </c>
      <c r="AA179" t="n">
        <v>0</v>
      </c>
      <c r="AB179" t="n">
        <v>0</v>
      </c>
    </row>
    <row r="180">
      <c r="A180" s="7" t="n">
        <v>178</v>
      </c>
      <c r="B180" t="n">
        <v>32</v>
      </c>
      <c r="C180" s="1" t="n">
        <v>51</v>
      </c>
      <c r="D180" s="2">
        <f>HYPERLINK("https://torgi.gov.ru/new/public/lots/lot/21000013350000000012_1/(lotInfo:info)", "21000013350000000012_1")</f>
        <v/>
      </c>
      <c r="E180" t="inlineStr">
        <is>
          <t>нежилое помещение общей площадью 50,7 кв.м, расположенное по адресу: Брянская область, Красногорский район, пгт.Красная Гора, ул. Восточная, д.19, кадастровый номер: 32:15:0261406:122, с земельным участком общей площадью 1173 кв.м, расположенным по адресу: Брянская область, Красногорский район, пгт Красная Гора, ул. Восточная, д.19, кадастровый номер: 32:15:0261406:76, категория земель: земли населенных пунктов, разрешенное использование: для ведения личного подсобного хозяйства</t>
        </is>
      </c>
      <c r="F180" s="3" t="inlineStr">
        <is>
          <t>08.04.22 13:00</t>
        </is>
      </c>
      <c r="G180" t="inlineStr">
        <is>
          <t>Брянская обл, пгт Красная Гора, ул Восточная, д 19</t>
        </is>
      </c>
      <c r="H180" s="4" t="n">
        <v>246000</v>
      </c>
      <c r="I180" s="4" t="n">
        <v>4823.529411764706</v>
      </c>
      <c r="J180" t="inlineStr">
        <is>
          <t>Нежилое помещение</t>
        </is>
      </c>
      <c r="K180" s="5" t="n">
        <v>14.79</v>
      </c>
      <c r="M180" t="n">
        <v>326</v>
      </c>
      <c r="N180" s="6" t="n">
        <v>6392</v>
      </c>
      <c r="Q180" t="inlineStr">
        <is>
          <t>EA</t>
        </is>
      </c>
      <c r="R180" t="inlineStr">
        <is>
          <t>М</t>
        </is>
      </c>
      <c r="S180" s="2">
        <f>HYPERLINK("https://yandex.ru/maps/?&amp;text=53.001304, 31.613395", "53.001304, 31.613395")</f>
        <v/>
      </c>
      <c r="U180" t="inlineStr">
        <is>
          <t xml:space="preserve">32:15:0261406:122, </t>
        </is>
      </c>
      <c r="V180" t="n">
        <v>1</v>
      </c>
      <c r="Y180" t="n">
        <v>0</v>
      </c>
      <c r="AA180" t="n">
        <v>0</v>
      </c>
      <c r="AB180" t="n">
        <v>1</v>
      </c>
    </row>
    <row r="181">
      <c r="A181" s="7" t="n">
        <v>179</v>
      </c>
      <c r="B181" t="n">
        <v>32</v>
      </c>
      <c r="C181" s="1" t="n">
        <v>126.7</v>
      </c>
      <c r="D181" s="2">
        <f>HYPERLINK("https://torgi.gov.ru/new/public/lots/lot/21000013350000000014_1/(lotInfo:info)", "21000013350000000014_1")</f>
        <v/>
      </c>
      <c r="E181" t="inlineStr">
        <is>
          <t>. нежилое здание общей площадью 126,7 кв.м, расположенное по адресу: Брянская область, Красногорский район, пгт.Красная Гора, ул. им.Лысенко, д.35, кадастровый номер: 32:15:0260403:53, с земельным участком общей площадью 1883 кв.м, расположенным по адресу: Брянская область, Красногорский район, пгт Красная Гора, им.Лысенко, д.35, кадастровый номер: 32:15:0260203:18, категория земель: земли населенных пунктов, разрешенное использование: для ведения личного подсобного хозяйства</t>
        </is>
      </c>
      <c r="F181" s="3" t="inlineStr">
        <is>
          <t>19.05.22 13:00</t>
        </is>
      </c>
      <c r="G181" t="inlineStr">
        <is>
          <t>Брянская обл, пгт Красная Гора, ул им. Лысенко, д 35</t>
        </is>
      </c>
      <c r="H181" s="4" t="n">
        <v>650000</v>
      </c>
      <c r="I181" s="4" t="n">
        <v>5130.228887134965</v>
      </c>
      <c r="J181" t="inlineStr">
        <is>
          <t>жилое здание</t>
        </is>
      </c>
      <c r="K181" s="5" t="n">
        <v>11.5</v>
      </c>
      <c r="L181" s="4" t="inlineStr"/>
      <c r="M181" t="n">
        <v>446</v>
      </c>
      <c r="N181" s="6" t="n">
        <v>6392</v>
      </c>
      <c r="O181" t="inlineStr"/>
      <c r="Q181" t="inlineStr">
        <is>
          <t>EA</t>
        </is>
      </c>
      <c r="R181" t="inlineStr">
        <is>
          <t>М</t>
        </is>
      </c>
      <c r="S181" s="2">
        <f>HYPERLINK("https://yandex.ru/maps/?&amp;text=53.013468, 31.58578", "53.013468, 31.58578")</f>
        <v/>
      </c>
      <c r="T181" s="8">
        <f>HYPERLINK("D:\venv_torgi\env\cache\objs_in_district/53.013468_31.58578.json", "53.013468_31.58578.json")</f>
        <v/>
      </c>
      <c r="U181" t="inlineStr">
        <is>
          <t xml:space="preserve">32:15:0260403:53, </t>
        </is>
      </c>
      <c r="V181" t="n">
        <v>1</v>
      </c>
      <c r="Y181" t="n">
        <v>0</v>
      </c>
      <c r="AA181" t="n">
        <v>0</v>
      </c>
      <c r="AB181" t="n">
        <v>1</v>
      </c>
    </row>
    <row r="182">
      <c r="A182" s="7" t="n">
        <v>180</v>
      </c>
      <c r="B182" t="n">
        <v>32</v>
      </c>
      <c r="C182" s="1" t="n">
        <v>59</v>
      </c>
      <c r="D182" s="2">
        <f>HYPERLINK("https://torgi.gov.ru/new/public/lots/lot/21000013350000000007_1/(lotInfo:info)", "21000013350000000007_1")</f>
        <v/>
      </c>
      <c r="E182" t="inlineStr">
        <is>
          <t>нежилое помещение общей площадью 59,1 кв.м, расположенное по адресу: Брянская область, Красногорский район, пгт.Красная Гора, ул. Брянская, д.12, кадастровый номер: 32:15:0261411:74, с земельным участком общей площадью 840 кв.м, расположенным по адресу: Брянская область, Красногорский район, пгт Красная Гора, ул. Брянская, д.12, кадастровый номер: 32:15:0261411:28, категория земель: земли населенных пунктов, разрешенное использование: для ведения личного подсобного хозяйства</t>
        </is>
      </c>
      <c r="F182" s="3" t="inlineStr">
        <is>
          <t>28.02.22 13:00</t>
        </is>
      </c>
      <c r="G182" t="inlineStr">
        <is>
          <t>Брянская обл, пгт Красная Гора, ул Брянская, д 12</t>
        </is>
      </c>
      <c r="H182" s="4" t="n">
        <v>401100</v>
      </c>
      <c r="I182" s="4" t="n">
        <v>6798.305084745763</v>
      </c>
      <c r="J182" t="inlineStr">
        <is>
          <t>Нежилое помещение</t>
        </is>
      </c>
      <c r="K182" s="5" t="n">
        <v>11.72</v>
      </c>
      <c r="M182" t="n">
        <v>580</v>
      </c>
      <c r="N182" s="6" t="n">
        <v>6392</v>
      </c>
      <c r="Q182" t="inlineStr">
        <is>
          <t>EA</t>
        </is>
      </c>
      <c r="R182" t="inlineStr">
        <is>
          <t>М</t>
        </is>
      </c>
      <c r="S182" s="2">
        <f>HYPERLINK("https://yandex.ru/maps/?&amp;text=52.996779, 31.606684", "52.996779, 31.606684")</f>
        <v/>
      </c>
      <c r="U182" t="inlineStr">
        <is>
          <t xml:space="preserve">32:15:0261411:74, </t>
        </is>
      </c>
      <c r="V182" t="n">
        <v>1</v>
      </c>
      <c r="Y182" t="n">
        <v>0</v>
      </c>
      <c r="AA182" t="n">
        <v>0</v>
      </c>
      <c r="AB182" t="n">
        <v>1</v>
      </c>
    </row>
    <row r="183">
      <c r="A183" s="7" t="n">
        <v>181</v>
      </c>
      <c r="B183" t="n">
        <v>32</v>
      </c>
      <c r="C183" s="1" t="n">
        <v>33.7</v>
      </c>
      <c r="D183" s="2">
        <f>HYPERLINK("https://torgi.gov.ru/new/public/lots/lot/21000018780000000001_9/(lotInfo:info)", "21000018780000000001_9")</f>
        <v/>
      </c>
      <c r="E183" t="inlineStr">
        <is>
          <t>Нежилое помещение площадью 33,7 кв.м. с кадастровым номером 32:30:0020501:221 и земельный участок под ним площадью 367 кв.м. из категории земель населенных пунктов с видом разрешенного использования – под индивидуальное жилищное строительство с кадастровым номером 32:30:0020204:77</t>
        </is>
      </c>
      <c r="F183" s="3" t="inlineStr">
        <is>
          <t>18.04.22 20:59</t>
        </is>
      </c>
      <c r="G183" t="inlineStr">
        <is>
          <t>Брянская обл, г Клинцы, Вьюнковский пер, д 3, кв 1</t>
        </is>
      </c>
      <c r="H183" s="4" t="n">
        <v>310000</v>
      </c>
      <c r="I183" s="4" t="n">
        <v>9198.81305637982</v>
      </c>
      <c r="J183" t="inlineStr">
        <is>
          <t>Нежилое помещение</t>
        </is>
      </c>
      <c r="K183" s="5" t="n">
        <v>4.52</v>
      </c>
      <c r="M183" t="n">
        <v>2034</v>
      </c>
      <c r="N183" s="6" t="n">
        <v>70089</v>
      </c>
      <c r="Q183" t="inlineStr">
        <is>
          <t>EA</t>
        </is>
      </c>
      <c r="R183" t="inlineStr">
        <is>
          <t>М</t>
        </is>
      </c>
      <c r="S183" s="2">
        <f>HYPERLINK("https://yandex.ru/maps/?&amp;text=52.77318, 32.220835", "52.77318, 32.220835")</f>
        <v/>
      </c>
      <c r="U183" t="inlineStr">
        <is>
          <t xml:space="preserve">32:30:0020501:221 </t>
        </is>
      </c>
      <c r="V183" t="n">
        <v>1</v>
      </c>
      <c r="Y183" t="n">
        <v>0</v>
      </c>
      <c r="AA183" t="n">
        <v>0</v>
      </c>
      <c r="AB183" t="n">
        <v>1</v>
      </c>
    </row>
    <row r="184">
      <c r="A184" s="7" t="n">
        <v>182</v>
      </c>
      <c r="B184" t="n">
        <v>32</v>
      </c>
      <c r="C184" s="1" t="n">
        <v>27.7</v>
      </c>
      <c r="D184" s="2">
        <f>HYPERLINK("https://torgi.gov.ru/new/public/lots/lot/21000008500000000048_1/(lotInfo:info)", "21000008500000000048_1")</f>
        <v/>
      </c>
      <c r="E184" t="inlineStr">
        <is>
          <t>Находящееся в муниципальной собственности нежилое помещение площадью 27,7 кв.м. (этаж № 1), расположенное по адресу: Брянская область, г.Брянск, ул. Спартаковская, д.58, пом.II, кадастровый номер 32:28:0032932:61</t>
        </is>
      </c>
      <c r="F184" s="3" t="inlineStr">
        <is>
          <t>20.06.22 10:00</t>
        </is>
      </c>
      <c r="G184" t="inlineStr">
        <is>
          <t>г Брянск, ул Спартаковская, д 58</t>
        </is>
      </c>
      <c r="H184" s="4" t="n">
        <v>370000</v>
      </c>
      <c r="I184" s="4" t="n">
        <v>13357.40072202166</v>
      </c>
      <c r="J184" t="inlineStr">
        <is>
          <t>Нежилое помещение</t>
        </is>
      </c>
      <c r="K184" s="5" t="n">
        <v>5.89</v>
      </c>
      <c r="M184" t="n">
        <v>2266</v>
      </c>
      <c r="N184" s="6" t="n">
        <v>418062</v>
      </c>
      <c r="Q184" t="inlineStr">
        <is>
          <t>EA</t>
        </is>
      </c>
      <c r="R184" t="inlineStr">
        <is>
          <t>М</t>
        </is>
      </c>
      <c r="S184" s="2">
        <f>HYPERLINK("https://yandex.ru/maps/?&amp;text=53.226627, 34.345701", "53.226627, 34.345701")</f>
        <v/>
      </c>
      <c r="U184" t="inlineStr">
        <is>
          <t>32:28:0032932:61</t>
        </is>
      </c>
      <c r="V184" t="n">
        <v>1</v>
      </c>
      <c r="Y184" t="n">
        <v>0</v>
      </c>
      <c r="AA184" t="n">
        <v>0</v>
      </c>
      <c r="AB184" t="n">
        <v>0</v>
      </c>
    </row>
    <row r="185">
      <c r="A185" s="7" t="n">
        <v>183</v>
      </c>
      <c r="B185" t="n">
        <v>32</v>
      </c>
      <c r="C185" s="1" t="n">
        <v>100.9</v>
      </c>
      <c r="D185" s="2">
        <f>HYPERLINK("https://torgi.gov.ru/new/public/lots/lot/21000008500000000009_1/(lotInfo:info)", "21000008500000000009_1")</f>
        <v/>
      </c>
      <c r="E185" t="inlineStr">
        <is>
          <t>Находящееся в муниципальной собственности нежилое помещение площадью 100,9 кв.м. (этаж № 1), расположенное по адресу: Брянская область, г.Брянск, ул.Есенина, д.14, кадастровый номер 32:28:0020932:1515</t>
        </is>
      </c>
      <c r="F185" s="3" t="inlineStr">
        <is>
          <t>05.05.22 10:00</t>
        </is>
      </c>
      <c r="G185" t="inlineStr">
        <is>
          <t>г Брянск, ул Есенина, д 14</t>
        </is>
      </c>
      <c r="H185" s="4" t="n">
        <v>1440000</v>
      </c>
      <c r="I185" s="4" t="n">
        <v>14271.55599603568</v>
      </c>
      <c r="J185" t="inlineStr">
        <is>
          <t>Нежилое помещение</t>
        </is>
      </c>
      <c r="K185" s="5" t="n">
        <v>5.77</v>
      </c>
      <c r="L185" s="4" t="n">
        <v>648.6799999999999</v>
      </c>
      <c r="M185" t="n">
        <v>2472</v>
      </c>
      <c r="N185" s="6" t="n">
        <v>418062</v>
      </c>
      <c r="O185" t="n">
        <v>22</v>
      </c>
      <c r="Q185" t="inlineStr">
        <is>
          <t>EA</t>
        </is>
      </c>
      <c r="R185" t="inlineStr">
        <is>
          <t>М</t>
        </is>
      </c>
      <c r="S185" s="2">
        <f>HYPERLINK("https://yandex.ru/maps/?&amp;text=53.25897, 34.442783", "53.25897, 34.442783")</f>
        <v/>
      </c>
      <c r="T185" s="2">
        <f>HYPERLINK("D:\venv_torgi\env\cache\objs_in_district/53.25897_34.442783.json", "53.25897_34.442783.json")</f>
        <v/>
      </c>
      <c r="U185" t="inlineStr">
        <is>
          <t>32:28:0020932:1515</t>
        </is>
      </c>
      <c r="V185" t="n">
        <v>1</v>
      </c>
      <c r="Y185" t="n">
        <v>0</v>
      </c>
      <c r="AA185" t="n">
        <v>0</v>
      </c>
      <c r="AB185" t="n">
        <v>0</v>
      </c>
    </row>
    <row r="186">
      <c r="A186" s="7" t="n">
        <v>184</v>
      </c>
      <c r="B186" t="n">
        <v>32</v>
      </c>
      <c r="C186" s="1" t="n">
        <v>105.3</v>
      </c>
      <c r="D186" s="2">
        <f>HYPERLINK("https://torgi.gov.ru/new/public/lots/lot/21000008500000000063_1/(lotInfo:info)", "21000008500000000063_1")</f>
        <v/>
      </c>
      <c r="E186" t="inlineStr">
        <is>
          <t>Находящееся в муниципальной собственности нежилое помещение площадью 105,3 кв.м. (этаж № 1), расположенное по адресу: Брянская область, г.Брянск, ул.Орловская, д.16, кадастровый номер 32:28:0015002:2753</t>
        </is>
      </c>
      <c r="F186" s="3" t="inlineStr">
        <is>
          <t>21.06.22 10:00</t>
        </is>
      </c>
      <c r="G186" t="inlineStr">
        <is>
          <t>г Брянск, ул Орловская, д 16</t>
        </is>
      </c>
      <c r="H186" s="4" t="n">
        <v>1650000</v>
      </c>
      <c r="I186" s="4" t="n">
        <v>15669.51566951567</v>
      </c>
      <c r="J186" t="inlineStr">
        <is>
          <t>Нежилое помещение</t>
        </is>
      </c>
      <c r="K186" s="5" t="n">
        <v>2.27</v>
      </c>
      <c r="L186" s="4" t="n">
        <v>1205.31</v>
      </c>
      <c r="M186" t="n">
        <v>6891</v>
      </c>
      <c r="N186" s="6" t="n">
        <v>418062</v>
      </c>
      <c r="O186" t="n">
        <v>13</v>
      </c>
      <c r="Q186" t="inlineStr">
        <is>
          <t>EA</t>
        </is>
      </c>
      <c r="R186" t="inlineStr">
        <is>
          <t>М</t>
        </is>
      </c>
      <c r="S186" s="2">
        <f>HYPERLINK("https://yandex.ru/maps/?&amp;text=53.304996, 34.2944", "53.304996, 34.2944")</f>
        <v/>
      </c>
      <c r="T186" s="2">
        <f>HYPERLINK("D:\venv_torgi\env\cache\objs_in_district/53.304996_34.2944.json", "53.304996_34.2944.json")</f>
        <v/>
      </c>
      <c r="U186" t="inlineStr">
        <is>
          <t>32:28:0015002:2753</t>
        </is>
      </c>
      <c r="V186" t="n">
        <v>1</v>
      </c>
      <c r="Y186" t="n">
        <v>0</v>
      </c>
      <c r="AA186" t="n">
        <v>0</v>
      </c>
      <c r="AB186" t="n">
        <v>0</v>
      </c>
    </row>
    <row r="187">
      <c r="A187" s="7" t="n">
        <v>185</v>
      </c>
      <c r="B187" t="n">
        <v>32</v>
      </c>
      <c r="C187" s="1" t="n">
        <v>13.9</v>
      </c>
      <c r="D187" s="2">
        <f>HYPERLINK("https://torgi.gov.ru/new/public/lots/lot/21000008500000000137_1/(lotInfo:info)", "21000008500000000137_1")</f>
        <v/>
      </c>
      <c r="E187" t="inlineStr">
        <is>
          <t>Находящееся в муниципальной собственности нежилое помещение площадью 13,9 кв.м. (этаж № 1), расположенное по адресу: Брянская область, г. Брянск, ул.Спартаковская, д.120А, пом.13, кадастровый номер 32:28:0032806:922</t>
        </is>
      </c>
      <c r="F187" s="3" t="inlineStr">
        <is>
          <t>15.08.22 10:00</t>
        </is>
      </c>
      <c r="G187" t="inlineStr">
        <is>
          <t>г Брянск, ул Спартаковская, д 120А</t>
        </is>
      </c>
      <c r="H187" s="4" t="n">
        <v>256500</v>
      </c>
      <c r="I187" s="4" t="n">
        <v>18453.23741007194</v>
      </c>
      <c r="J187" t="inlineStr">
        <is>
          <t>Нежилое помещение</t>
        </is>
      </c>
      <c r="K187" s="5" t="n">
        <v>50.56</v>
      </c>
      <c r="M187" t="n">
        <v>365</v>
      </c>
      <c r="N187" s="6" t="n">
        <v>418062</v>
      </c>
      <c r="Q187" t="inlineStr">
        <is>
          <t>EA</t>
        </is>
      </c>
      <c r="R187" t="inlineStr">
        <is>
          <t>М</t>
        </is>
      </c>
      <c r="S187" s="2">
        <f>HYPERLINK("https://yandex.ru/maps/?&amp;text=53.230362, 34.329315", "53.230362, 34.329315")</f>
        <v/>
      </c>
      <c r="U187" t="inlineStr">
        <is>
          <t>32:28:0032806:922</t>
        </is>
      </c>
      <c r="V187" t="n">
        <v>1</v>
      </c>
      <c r="Y187" t="n">
        <v>0</v>
      </c>
      <c r="AA187" t="n">
        <v>0</v>
      </c>
      <c r="AB187" t="n">
        <v>0</v>
      </c>
    </row>
    <row r="188">
      <c r="A188" s="7" t="n">
        <v>186</v>
      </c>
      <c r="B188" t="n">
        <v>32</v>
      </c>
      <c r="C188" s="1" t="n">
        <v>54</v>
      </c>
      <c r="D188" s="2">
        <f>HYPERLINK("https://torgi.gov.ru/new/public/lots/lot/21000008500000000043_1/(lotInfo:info)", "21000008500000000043_1")</f>
        <v/>
      </c>
      <c r="E188" t="inlineStr">
        <is>
          <t>Находящееся в муниципальной собственности нежилое помещение площадью 54,0 кв.м. (этаж № 1), расположенное по адресу: Брянская область, г.Брянск, ул. Фосфоритная, д.11, корп.2, кадастровый номер 32:28:0021603:1104</t>
        </is>
      </c>
      <c r="F188" s="3" t="inlineStr">
        <is>
          <t>14.06.22 10:00</t>
        </is>
      </c>
      <c r="G188" t="inlineStr">
        <is>
          <t>г Брянск, ул Фосфоритная, д 11 к 2</t>
        </is>
      </c>
      <c r="H188" s="4" t="n">
        <v>1344000</v>
      </c>
      <c r="I188" s="4" t="n">
        <v>24888.88888888889</v>
      </c>
      <c r="J188" t="inlineStr">
        <is>
          <t>Нежилое помещение</t>
        </is>
      </c>
      <c r="K188" s="5" t="n">
        <v>6.86</v>
      </c>
      <c r="L188" s="4" t="n">
        <v>1082.09</v>
      </c>
      <c r="M188" t="n">
        <v>3630</v>
      </c>
      <c r="N188" s="6" t="n">
        <v>418062</v>
      </c>
      <c r="O188" t="n">
        <v>23</v>
      </c>
      <c r="Q188" t="inlineStr">
        <is>
          <t>EA</t>
        </is>
      </c>
      <c r="R188" t="inlineStr">
        <is>
          <t>М</t>
        </is>
      </c>
      <c r="S188" s="2">
        <f>HYPERLINK("https://yandex.ru/maps/?&amp;text=53.248675, 34.448226", "53.248675, 34.448226")</f>
        <v/>
      </c>
      <c r="T188" s="2">
        <f>HYPERLINK("D:\venv_torgi\env\cache\objs_in_district/53.248675_34.448226.json", "53.248675_34.448226.json")</f>
        <v/>
      </c>
      <c r="U188" t="inlineStr">
        <is>
          <t>32:28:0021603:1104</t>
        </is>
      </c>
      <c r="V188" t="n">
        <v>1</v>
      </c>
      <c r="Y188" t="n">
        <v>0</v>
      </c>
      <c r="AA188" t="n">
        <v>0</v>
      </c>
      <c r="AB188" t="n">
        <v>0</v>
      </c>
    </row>
    <row r="189">
      <c r="A189" s="7" t="n">
        <v>187</v>
      </c>
      <c r="B189" t="n">
        <v>32</v>
      </c>
      <c r="C189" s="1" t="n">
        <v>37.6</v>
      </c>
      <c r="D189" s="2">
        <f>HYPERLINK("https://torgi.gov.ru/new/public/lots/lot/21000008500000000083_1/(lotInfo:info)", "21000008500000000083_1")</f>
        <v/>
      </c>
      <c r="E189" t="inlineStr">
        <is>
          <t>Находящаяся в муниципальной собственности лифтерная площадью 37,6 кв.м. (этаж № 1), расположенная по адресу: Брянская область, г.Брянск, ул.Камозина, д.38, кадастровый номер 32:28:0015006:609</t>
        </is>
      </c>
      <c r="F189" s="3" t="inlineStr">
        <is>
          <t>30.06.22 10:00</t>
        </is>
      </c>
      <c r="G189" t="inlineStr">
        <is>
          <t>г Брянск, ул Камозина, д 38</t>
        </is>
      </c>
      <c r="H189" s="4" t="n">
        <v>980000</v>
      </c>
      <c r="I189" s="4" t="n">
        <v>26063.82978723404</v>
      </c>
      <c r="J189" t="inlineStr">
        <is>
          <t>Нежилое помещение</t>
        </is>
      </c>
      <c r="K189" s="5" t="n">
        <v>2.68</v>
      </c>
      <c r="L189" s="4" t="n">
        <v>1737.53</v>
      </c>
      <c r="M189" t="n">
        <v>9737</v>
      </c>
      <c r="N189" s="6" t="n">
        <v>418062</v>
      </c>
      <c r="O189" t="n">
        <v>15</v>
      </c>
      <c r="Q189" t="inlineStr">
        <is>
          <t>EA</t>
        </is>
      </c>
      <c r="R189" t="inlineStr">
        <is>
          <t>М</t>
        </is>
      </c>
      <c r="S189" s="2">
        <f>HYPERLINK("https://yandex.ru/maps/?&amp;text=53.301632, 34.29324", "53.301632, 34.29324")</f>
        <v/>
      </c>
      <c r="T189" s="2">
        <f>HYPERLINK("D:\venv_torgi\env\cache\objs_in_district/53.301632_34.29324.json", "53.301632_34.29324.json")</f>
        <v/>
      </c>
      <c r="U189" t="inlineStr">
        <is>
          <t>32:28:0015006:609</t>
        </is>
      </c>
      <c r="V189" t="n">
        <v>1</v>
      </c>
      <c r="Y189" t="n">
        <v>0</v>
      </c>
      <c r="AA189" t="n">
        <v>0</v>
      </c>
      <c r="AB189" t="n">
        <v>0</v>
      </c>
    </row>
    <row r="190">
      <c r="A190" s="7" t="n">
        <v>188</v>
      </c>
      <c r="B190" t="n">
        <v>32</v>
      </c>
      <c r="C190" s="1" t="n">
        <v>69</v>
      </c>
      <c r="D190" s="2">
        <f>HYPERLINK("https://torgi.gov.ru/new/public/lots/lot/21000008500000000006_1/(lotInfo:info)", "21000008500000000006_1")</f>
        <v/>
      </c>
      <c r="E190" t="inlineStr">
        <is>
          <t>Находящееся в муниципальной собственности нежилое помещение площадью 69,0 кв.м. (этаж № 1), расположенное по адресу: Брянская область, г.Брянск, ул.Тельмана, д.66, корп.4, кадастровый номер 32:28:0021603:3084</t>
        </is>
      </c>
      <c r="F190" s="3" t="inlineStr">
        <is>
          <t>05.05.22 10:00</t>
        </is>
      </c>
      <c r="G190" t="inlineStr">
        <is>
          <t>г Брянск, ул Тельмана, д 66 к 4</t>
        </is>
      </c>
      <c r="H190" s="4" t="n">
        <v>2577000</v>
      </c>
      <c r="I190" s="4" t="n">
        <v>37347.82608695652</v>
      </c>
      <c r="J190" t="inlineStr">
        <is>
          <t>Нежилое помещение</t>
        </is>
      </c>
      <c r="K190" s="5" t="n">
        <v>6.64</v>
      </c>
      <c r="L190" s="4" t="n">
        <v>1204.74</v>
      </c>
      <c r="M190" t="n">
        <v>5625</v>
      </c>
      <c r="N190" s="6" t="n">
        <v>418062</v>
      </c>
      <c r="O190" t="n">
        <v>31</v>
      </c>
      <c r="Q190" t="inlineStr">
        <is>
          <t>EA</t>
        </is>
      </c>
      <c r="R190" t="inlineStr">
        <is>
          <t>М</t>
        </is>
      </c>
      <c r="S190" s="2">
        <f>HYPERLINK("https://yandex.ru/maps/?&amp;text=53.2517967, 34.4422385", "53.2517967, 34.4422385")</f>
        <v/>
      </c>
      <c r="T190" s="2">
        <f>HYPERLINK("D:\venv_torgi\env\cache\objs_in_district/53.2517967_34.4422385.json", "53.2517967_34.4422385.json")</f>
        <v/>
      </c>
      <c r="U190" t="inlineStr">
        <is>
          <t>32:28:0021603:3084</t>
        </is>
      </c>
      <c r="V190" t="n">
        <v>1</v>
      </c>
      <c r="Y190" t="n">
        <v>0</v>
      </c>
      <c r="AA190" t="n">
        <v>0</v>
      </c>
      <c r="AB190" t="n">
        <v>0</v>
      </c>
    </row>
    <row r="191">
      <c r="A191" s="7" t="n">
        <v>189</v>
      </c>
      <c r="B191" t="n">
        <v>33</v>
      </c>
      <c r="C191" s="1" t="n">
        <v>758.4</v>
      </c>
      <c r="D191" s="2">
        <f>HYPERLINK("https://torgi.gov.ru/new/public/lots/lot/21000001470000000002_1/(lotInfo:info)", "21000001470000000002_1")</f>
        <v/>
      </c>
      <c r="E191" t="inlineStr">
        <is>
          <t>Представляет собой нежилое помещение с отдельным входом в нежилом трехэтажном здании, расположенное на 1,2 и 3 этажах здания и в надстроенном этаже, общей площадью 758,4 кв.м., кадастровый номер: 33:18:000538:2266, оснащено системами отопления, водоснабжения, электроснабжения (в настоящее время отключены</t>
        </is>
      </c>
      <c r="F191" s="3" t="inlineStr">
        <is>
          <t>18.04.22 14:15</t>
        </is>
      </c>
      <c r="G191" t="inlineStr">
        <is>
          <t>Владимирская обл, г Кольчугино, ул Ленина, д 15</t>
        </is>
      </c>
      <c r="H191" s="4" t="n">
        <v>2002500</v>
      </c>
      <c r="I191" s="4" t="n">
        <v>2640.427215189874</v>
      </c>
      <c r="J191" t="inlineStr">
        <is>
          <t>Нежилое помещение</t>
        </is>
      </c>
      <c r="K191" s="5" t="n">
        <v>1.92</v>
      </c>
      <c r="L191" s="4" t="n">
        <v>64.39</v>
      </c>
      <c r="M191" t="n">
        <v>1377</v>
      </c>
      <c r="N191" s="6" t="n">
        <v>43543</v>
      </c>
      <c r="O191" t="n">
        <v>41</v>
      </c>
      <c r="Q191" t="inlineStr">
        <is>
          <t>PP</t>
        </is>
      </c>
      <c r="R191" t="inlineStr">
        <is>
          <t>М</t>
        </is>
      </c>
      <c r="S191" s="2">
        <f>HYPERLINK("https://yandex.ru/maps/?&amp;text=56.29895, 39.37774", "56.29895, 39.37774")</f>
        <v/>
      </c>
      <c r="T191" s="2">
        <f>HYPERLINK("D:\venv_torgi\env\cache\objs_in_district/56.29895_39.37774.json", "56.29895_39.37774.json")</f>
        <v/>
      </c>
      <c r="U191" t="inlineStr">
        <is>
          <t xml:space="preserve">33:18:000538:2266, </t>
        </is>
      </c>
      <c r="V191" t="n">
        <v>0</v>
      </c>
      <c r="Y191" t="n">
        <v>1</v>
      </c>
      <c r="AA191" t="n">
        <v>0</v>
      </c>
      <c r="AB191" t="n">
        <v>0</v>
      </c>
    </row>
    <row r="192">
      <c r="A192" s="7" t="n">
        <v>190</v>
      </c>
      <c r="B192" t="n">
        <v>33</v>
      </c>
      <c r="C192" s="1" t="n">
        <v>97.2</v>
      </c>
      <c r="D192" s="2">
        <f>HYPERLINK("https://torgi.gov.ru/new/public/lots/lot/22000058400000000001_1/(lotInfo:info)", "22000058400000000001_1")</f>
        <v/>
      </c>
      <c r="E192" t="inlineStr">
        <is>
          <t>Продажа помещения, назначение: нежилое, площадью 97,2 кв. м, кадастровый номер 33:11:080203:814, адрес (местонахождение) объекта: Владимирская область, м. р-н Судогодский, с.п. Головинское, п. Головино, ул. Советская, д. 23А, пом. № 5-12, с земельным участком, категория земель: земли населенных пунктов, вид разрешенного использования: коммунальное обслуживание, площадью 164 кв. м, кадастровый номер 33:11:080203:822, адрес (местонахождение) объекта:Владимирская область, Судогодский район, МО Головинское сельское поселение, п. Головино, ул. Советская, д. 23А.</t>
        </is>
      </c>
      <c r="F192" s="3" t="inlineStr">
        <is>
          <t>11.04.22 13:00</t>
        </is>
      </c>
      <c r="G192" t="inlineStr">
        <is>
          <t>Владимирская обл, Судогодский р-н, поселок Головино, ул Советская, зд 23а</t>
        </is>
      </c>
      <c r="H192" s="4" t="n">
        <v>303000</v>
      </c>
      <c r="I192" s="4" t="n">
        <v>3117.283950617284</v>
      </c>
      <c r="J192" t="inlineStr">
        <is>
          <t>Нежилое помещение</t>
        </is>
      </c>
      <c r="K192" s="5" t="n">
        <v>9.09</v>
      </c>
      <c r="M192" t="n">
        <v>343</v>
      </c>
      <c r="N192" s="6" t="n">
        <v>4173</v>
      </c>
      <c r="Q192" t="inlineStr">
        <is>
          <t>EA</t>
        </is>
      </c>
      <c r="R192" t="inlineStr">
        <is>
          <t>М</t>
        </is>
      </c>
      <c r="S192" s="2">
        <f>HYPERLINK("https://yandex.ru/maps/?&amp;text=55.952118, 40.43246", "55.952118, 40.43246")</f>
        <v/>
      </c>
      <c r="U192" t="inlineStr">
        <is>
          <t xml:space="preserve">33:11:080203:814, </t>
        </is>
      </c>
      <c r="V192" t="n">
        <v>1</v>
      </c>
      <c r="Y192" t="n">
        <v>0</v>
      </c>
      <c r="AA192" t="n">
        <v>0</v>
      </c>
      <c r="AB192" t="n">
        <v>1</v>
      </c>
    </row>
    <row r="193">
      <c r="A193" s="7" t="n">
        <v>191</v>
      </c>
      <c r="B193" t="n">
        <v>33</v>
      </c>
      <c r="C193" s="1" t="n">
        <v>467.8</v>
      </c>
      <c r="D193" s="2">
        <f>HYPERLINK("https://torgi.gov.ru/new/public/lots/lot/22000112030000000001_1/(lotInfo:info)", "22000112030000000001_1")</f>
        <v/>
      </c>
      <c r="E193" t="inlineStr">
        <is>
          <t>нежилое помещение, расположенное по адресу: Владимирская область, г. Ковров, ул. Запольная 2-я, д. 4, площадью 467,8 кв.м.</t>
        </is>
      </c>
      <c r="F193" s="3" t="inlineStr">
        <is>
          <t>04.07.22 14:00</t>
        </is>
      </c>
      <c r="G193" t="inlineStr">
        <is>
          <t>Владимирская обл, г Ковров, ул Запольная 2-я, д 4</t>
        </is>
      </c>
      <c r="H193" s="4" t="n">
        <v>1600000</v>
      </c>
      <c r="I193" s="4" t="n">
        <v>3420.265070542967</v>
      </c>
      <c r="J193" t="inlineStr">
        <is>
          <t>Нежилое помещение</t>
        </is>
      </c>
      <c r="K193" s="5" t="n">
        <v>1</v>
      </c>
      <c r="L193" s="4" t="n">
        <v>190</v>
      </c>
      <c r="M193" t="n">
        <v>3414</v>
      </c>
      <c r="N193" s="6" t="n">
        <v>138552</v>
      </c>
      <c r="O193" t="n">
        <v>18</v>
      </c>
      <c r="Q193" t="inlineStr">
        <is>
          <t>EA</t>
        </is>
      </c>
      <c r="R193" t="inlineStr">
        <is>
          <t>М</t>
        </is>
      </c>
      <c r="S193" s="2">
        <f>HYPERLINK("https://yandex.ru/maps/?&amp;text=56.34432, 41.295544", "56.34432, 41.295544")</f>
        <v/>
      </c>
      <c r="T193" s="2">
        <f>HYPERLINK("D:\venv_torgi\env\cache\objs_in_district/56.34432_41.295544.json", "56.34432_41.295544.json")</f>
        <v/>
      </c>
      <c r="U193" t="inlineStr">
        <is>
          <t>33:20:014728:41</t>
        </is>
      </c>
      <c r="V193" t="n">
        <v>0</v>
      </c>
      <c r="Y193" t="n">
        <v>0</v>
      </c>
      <c r="AA193" t="n">
        <v>0</v>
      </c>
      <c r="AB193" t="n">
        <v>0</v>
      </c>
    </row>
    <row r="194">
      <c r="A194" s="7" t="n">
        <v>192</v>
      </c>
      <c r="B194" t="n">
        <v>33</v>
      </c>
      <c r="C194" s="1" t="n">
        <v>92.8</v>
      </c>
      <c r="D194" s="2">
        <f>HYPERLINK("https://torgi.gov.ru/new/public/lots/lot/21000003690000000007_1/(lotInfo:info)", "21000003690000000007_1")</f>
        <v/>
      </c>
      <c r="E194" t="inlineStr">
        <is>
          <t>нежилое помещение с кадастровым номером 33:21:010112:916, общей площадью 92,8 кв. м, расположенное по адресу: Владимирская область, Вязниковский район, город Вязники, 2-й Кутузовский проезд, д. 5</t>
        </is>
      </c>
      <c r="F194" s="3" t="inlineStr">
        <is>
          <t>20.08.22 14:00</t>
        </is>
      </c>
      <c r="G194" t="inlineStr">
        <is>
          <t>Владимирская обл, г Вязники, 2-й Кутузовский пр-д, д 5</t>
        </is>
      </c>
      <c r="H194" s="4" t="n">
        <v>608304</v>
      </c>
      <c r="I194" s="4" t="n">
        <v>6555</v>
      </c>
      <c r="J194" t="inlineStr">
        <is>
          <t>Нежилое помещение</t>
        </is>
      </c>
      <c r="K194" s="5" t="n">
        <v>5.48</v>
      </c>
      <c r="M194" t="n">
        <v>1196</v>
      </c>
      <c r="N194" s="6" t="n">
        <v>36635</v>
      </c>
      <c r="Q194" t="inlineStr">
        <is>
          <t>EA</t>
        </is>
      </c>
      <c r="R194" t="inlineStr">
        <is>
          <t>М</t>
        </is>
      </c>
      <c r="S194" s="2">
        <f>HYPERLINK("https://yandex.ru/maps/?&amp;text=56.240944, 42.103165", "56.240944, 42.103165")</f>
        <v/>
      </c>
      <c r="U194" t="inlineStr">
        <is>
          <t xml:space="preserve">33:21:010112:916, </t>
        </is>
      </c>
      <c r="V194" t="n">
        <v>0</v>
      </c>
      <c r="Y194" t="n">
        <v>0</v>
      </c>
      <c r="AA194" t="n">
        <v>0</v>
      </c>
      <c r="AB194" t="n">
        <v>0</v>
      </c>
    </row>
    <row r="195">
      <c r="A195" s="7" t="n">
        <v>193</v>
      </c>
      <c r="B195" t="n">
        <v>33</v>
      </c>
      <c r="C195" s="1" t="n">
        <v>48.8</v>
      </c>
      <c r="D195" s="2">
        <f>HYPERLINK("https://torgi.gov.ru/new/public/lots/lot/21000003210000000004_1/(lotInfo:info)", "21000003210000000004_1")</f>
        <v/>
      </c>
      <c r="E195" t="inlineStr">
        <is>
          <t>общая площадь 48,8 кв.м, расположенное на 1 этаже 2-х этажного жилого дома по адресу: Владимирская область, Гусь-Хрустальный район, пос. Добрятино, ул. 60 лет Октября, д. 8, пом. 1-7.</t>
        </is>
      </c>
      <c r="F195" s="3" t="inlineStr">
        <is>
          <t>12.04.22 13:00</t>
        </is>
      </c>
      <c r="G195" t="inlineStr">
        <is>
          <t>Владимирская обл, Гусь-Хрустальный р-н, поселок Добрятино, ул 60 лет Октября, д 8</t>
        </is>
      </c>
      <c r="H195" s="4" t="n">
        <v>355425</v>
      </c>
      <c r="I195" s="4" t="n">
        <v>7283.299180327869</v>
      </c>
      <c r="J195" t="inlineStr">
        <is>
          <t>Нежилое помещение</t>
        </is>
      </c>
      <c r="K195" s="5" t="n">
        <v>17.26</v>
      </c>
      <c r="M195" t="n">
        <v>422</v>
      </c>
      <c r="N195" s="6" t="n">
        <v>1504</v>
      </c>
      <c r="Q195" t="inlineStr">
        <is>
          <t>EA</t>
        </is>
      </c>
      <c r="R195" t="inlineStr">
        <is>
          <t>М</t>
        </is>
      </c>
      <c r="S195" s="2">
        <f>HYPERLINK("https://yandex.ru/maps/?&amp;text=55.508804, 41.3106", "55.508804, 41.3106")</f>
        <v/>
      </c>
      <c r="U195" t="inlineStr">
        <is>
          <t>33:14:002801:59</t>
        </is>
      </c>
      <c r="V195" t="n">
        <v>1</v>
      </c>
      <c r="Y195" t="n">
        <v>0</v>
      </c>
      <c r="AA195" t="n">
        <v>0</v>
      </c>
      <c r="AB195" t="n">
        <v>0</v>
      </c>
    </row>
    <row r="196">
      <c r="A196" s="7" t="n">
        <v>194</v>
      </c>
      <c r="B196" t="n">
        <v>33</v>
      </c>
      <c r="C196" s="1" t="n">
        <v>34.4</v>
      </c>
      <c r="D196" s="2">
        <f>HYPERLINK("https://torgi.gov.ru/new/public/lots/lot/21000019300000000005_1/(lotInfo:info)", "21000019300000000005_1")</f>
        <v/>
      </c>
      <c r="E196" t="inlineStr">
        <is>
          <t>Нежилое помещение, общая площадь 19,4 кв.м.,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7, кадастровый номер 33:24:010108:3229 и нежилое помещение, общая площадь 15,0 кв.м.,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7, кадастровый номер 33:24:010108:3226. Нежилые помещения являются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входящего в состав объекта культурного наследия регионального значения «Ансамбль сооружений прядильно-ткацкой фабрики», сер. XIX в. – нач. ХХ в., регистрационный номер 331510317900035.</t>
        </is>
      </c>
      <c r="F196" s="3" t="inlineStr">
        <is>
          <t>28.06.22 13:00</t>
        </is>
      </c>
      <c r="G196" t="inlineStr">
        <is>
          <t>Владимирская обл, г Собинка, ул Димитрова, д 7</t>
        </is>
      </c>
      <c r="H196" s="4" t="n">
        <v>405500</v>
      </c>
      <c r="I196" s="4" t="n">
        <v>11787.79069767442</v>
      </c>
      <c r="J196" t="inlineStr">
        <is>
          <t>Здание рабочих казарм</t>
        </is>
      </c>
      <c r="K196" s="5" t="n">
        <v>7.7</v>
      </c>
      <c r="M196" t="n">
        <v>1531</v>
      </c>
      <c r="N196" s="6" t="n">
        <v>18059</v>
      </c>
      <c r="Q196" t="inlineStr">
        <is>
          <t>EK</t>
        </is>
      </c>
      <c r="R196" t="inlineStr">
        <is>
          <t>М</t>
        </is>
      </c>
      <c r="S196" s="2">
        <f>HYPERLINK("https://yandex.ru/maps/?&amp;text=55.991688, 40.019794", "55.991688, 40.019794")</f>
        <v/>
      </c>
      <c r="U196" t="inlineStr">
        <is>
          <t xml:space="preserve">33:24:010108:3229 </t>
        </is>
      </c>
      <c r="V196" t="n">
        <v>1</v>
      </c>
      <c r="Y196" t="n">
        <v>0</v>
      </c>
      <c r="Z196" t="n">
        <v>1</v>
      </c>
      <c r="AA196" t="n">
        <v>0</v>
      </c>
      <c r="AB196" t="n">
        <v>0</v>
      </c>
    </row>
    <row r="197">
      <c r="A197" s="7" t="n">
        <v>195</v>
      </c>
      <c r="B197" t="n">
        <v>33</v>
      </c>
      <c r="C197" s="1" t="n">
        <v>271.6</v>
      </c>
      <c r="D197" s="2">
        <f>HYPERLINK("https://torgi.gov.ru/new/public/lots/lot/22000010510000000002_1/(lotInfo:info)", "22000010510000000002_1")</f>
        <v/>
      </c>
      <c r="E197" t="inlineStr">
        <is>
          <t>Помещение, назначение нежилое, адрес (местоположение): Российская Федерация, Владимирская область, м.р-н Петушинский, г.п. город Покров, г Покров, проезд Больничный, д. 2, пом. 21-22;28-43, общей площадью 271,6 м2, с кадастровым номером 33:13:030223:1376</t>
        </is>
      </c>
      <c r="F197" s="3" t="inlineStr">
        <is>
          <t>13.05.22 14:00</t>
        </is>
      </c>
      <c r="G197" t="inlineStr">
        <is>
          <t>Владимирская обл, Петушинский р-н, г Покров, Больничный проезд, д 2</t>
        </is>
      </c>
      <c r="H197" s="4" t="n">
        <v>3290957</v>
      </c>
      <c r="I197" s="4" t="n">
        <v>12116.92562592047</v>
      </c>
      <c r="J197" t="inlineStr">
        <is>
          <t>Нежилое помещение</t>
        </is>
      </c>
      <c r="K197" s="5" t="n">
        <v>13.26</v>
      </c>
      <c r="L197" s="4" t="n">
        <v>1009.67</v>
      </c>
      <c r="M197" t="n">
        <v>914</v>
      </c>
      <c r="N197" s="6" t="n">
        <v>17308</v>
      </c>
      <c r="O197" t="n">
        <v>12</v>
      </c>
      <c r="Q197" t="inlineStr">
        <is>
          <t>EA</t>
        </is>
      </c>
      <c r="R197" t="inlineStr">
        <is>
          <t>М</t>
        </is>
      </c>
      <c r="S197" s="2">
        <f>HYPERLINK("https://yandex.ru/maps/?&amp;text=55.911198, 39.177982", "55.911198, 39.177982")</f>
        <v/>
      </c>
      <c r="T197" s="2">
        <f>HYPERLINK("D:\venv_torgi\env\cache\objs_in_district/55.911198_39.177982.json", "55.911198_39.177982.json")</f>
        <v/>
      </c>
      <c r="U197" t="inlineStr">
        <is>
          <t>33:13:030223:1376</t>
        </is>
      </c>
      <c r="V197" t="n">
        <v>1</v>
      </c>
      <c r="Y197" t="n">
        <v>0</v>
      </c>
      <c r="AA197" t="n">
        <v>0</v>
      </c>
      <c r="AB197" t="n">
        <v>0</v>
      </c>
    </row>
    <row r="198">
      <c r="A198" s="7" t="n">
        <v>196</v>
      </c>
      <c r="B198" t="n">
        <v>33</v>
      </c>
      <c r="C198" s="1" t="n">
        <v>168</v>
      </c>
      <c r="D198" s="2">
        <f>HYPERLINK("https://torgi.gov.ru/new/public/lots/lot/21000019300000000008_1/(lotInfo:info)", "21000019300000000008_1")</f>
        <v/>
      </c>
      <c r="E198" t="inlineStr">
        <is>
          <t>Нежилое помещение, общая площадь 168,0 кв.м., расположенное на первом этаже 3-этажного кирпичного дома, адрес объекта: Владимирская обл., Собинский район, МО город Собинка, г. Собинка, ул. Димитрова, д. 9, кадастровый номер 33:24:010109:4850. Нежилое помещение является частью объекта культурного наследия регионального назначения, включенного в единый государственный реестр объектов культурного наследия (памятников истории и культуры) народов Российской Федерации – «Здание рабочих казарм» XIX в., регистрационный номер 331510317900045. Данный объект признан аварийным и подлежащим реконструкции постановлением Главы муниципального образования город Собинка Собинского района Владимирской области от 20.06.2019 № 408.</t>
        </is>
      </c>
      <c r="F198" s="3" t="inlineStr">
        <is>
          <t>28.07.22 13:00</t>
        </is>
      </c>
      <c r="G198" t="inlineStr">
        <is>
          <t>Владимирская обл, г Собинка, ул Димитрова, д 9</t>
        </is>
      </c>
      <c r="H198" s="4" t="n">
        <v>4911065.8</v>
      </c>
      <c r="I198" s="4" t="n">
        <v>29232.53452380952</v>
      </c>
      <c r="J198" t="inlineStr">
        <is>
          <t>Здание рабочих казарм</t>
        </is>
      </c>
      <c r="K198" s="5" t="n">
        <v>10.74</v>
      </c>
      <c r="L198" s="4" t="n">
        <v>635.48</v>
      </c>
      <c r="M198" t="n">
        <v>2721</v>
      </c>
      <c r="N198" s="6" t="n">
        <v>18059</v>
      </c>
      <c r="O198" t="n">
        <v>46</v>
      </c>
      <c r="Q198" t="inlineStr">
        <is>
          <t>PP</t>
        </is>
      </c>
      <c r="R198" t="inlineStr">
        <is>
          <t>М</t>
        </is>
      </c>
      <c r="S198" s="2">
        <f>HYPERLINK("https://yandex.ru/maps/?&amp;text=55.99076, 40.020449", "55.99076, 40.020449")</f>
        <v/>
      </c>
      <c r="T198" s="2">
        <f>HYPERLINK("D:\venv_torgi\env\cache\objs_in_district/55.99076_40.020449.json", "55.99076_40.020449.json")</f>
        <v/>
      </c>
      <c r="U198" t="inlineStr">
        <is>
          <t>33:24:010109:4850</t>
        </is>
      </c>
      <c r="V198" t="n">
        <v>1</v>
      </c>
      <c r="Y198" t="n">
        <v>0</v>
      </c>
      <c r="Z198" t="n">
        <v>1</v>
      </c>
      <c r="AA198" t="n">
        <v>-2</v>
      </c>
      <c r="AB198" t="n">
        <v>0</v>
      </c>
    </row>
    <row r="199">
      <c r="A199" s="7" t="n">
        <v>197</v>
      </c>
      <c r="B199" t="n">
        <v>33</v>
      </c>
      <c r="C199" s="1" t="n">
        <v>21.3</v>
      </c>
      <c r="D199" s="2">
        <f>HYPERLINK("https://torgi.gov.ru/new/public/lots/lot/21000004310000000145_4/(lotInfo:info)", "21000004310000000145_4")</f>
        <v/>
      </c>
      <c r="E199" t="inlineStr">
        <is>
          <t>Нежилое помещение (место на подземной парковке), пл. 16,8 кв.м, к.н. 33:22:000000:4854, адрес: Владимирская обл., г. Владимир, ул. Стрелецкая, д.2. Собственник: Курышев С.В.</t>
        </is>
      </c>
      <c r="F199" s="3" t="inlineStr">
        <is>
          <t>15.06.22 20:59</t>
        </is>
      </c>
      <c r="G199" t="inlineStr">
        <is>
          <t>г Владимир, ул Стрелецкая, д 2</t>
        </is>
      </c>
      <c r="H199" s="4" t="n">
        <v>665162</v>
      </c>
      <c r="I199" s="4" t="n">
        <v>31228.26291079812</v>
      </c>
      <c r="J199" t="inlineStr">
        <is>
          <t>Нежилое помещение</t>
        </is>
      </c>
      <c r="K199" s="5" t="n">
        <v>6.68</v>
      </c>
      <c r="L199" s="4" t="n">
        <v>946.3</v>
      </c>
      <c r="M199" t="n">
        <v>4673</v>
      </c>
      <c r="N199" s="6" t="n">
        <v>358388</v>
      </c>
      <c r="O199" t="n">
        <v>33</v>
      </c>
      <c r="Q199" t="inlineStr">
        <is>
          <t>EA</t>
        </is>
      </c>
      <c r="R199" t="inlineStr">
        <is>
          <t>Д</t>
        </is>
      </c>
      <c r="S199" s="2">
        <f>HYPERLINK("https://yandex.ru/maps/?&amp;text=56.132138, 40.389944", "56.132138, 40.389944")</f>
        <v/>
      </c>
      <c r="T199" s="2">
        <f>HYPERLINK("D:\venv_torgi\env\cache\objs_in_district/56.132138_40.389944.json", "56.132138_40.389944.json")</f>
        <v/>
      </c>
      <c r="U199" t="inlineStr">
        <is>
          <t>33:22:000000:4854</t>
        </is>
      </c>
      <c r="V199" t="n">
        <v>0</v>
      </c>
      <c r="Y199" t="n">
        <v>0</v>
      </c>
      <c r="AA199" t="n">
        <v>0</v>
      </c>
      <c r="AB199" t="n">
        <v>0</v>
      </c>
    </row>
    <row r="200">
      <c r="A200" s="7" t="n">
        <v>198</v>
      </c>
      <c r="B200" t="n">
        <v>34</v>
      </c>
      <c r="C200" s="1" t="n">
        <v>110.7</v>
      </c>
      <c r="D200" s="2">
        <f>HYPERLINK("https://torgi.gov.ru/new/public/lots/lot/21000007070000000017_1/(lotInfo:info)", "21000007070000000017_1")</f>
        <v/>
      </c>
      <c r="E200" t="inlineStr">
        <is>
          <t>Нежилое помещение, общей площадью 110,7 кв.м., кадастровый номер 34:36:000013:4229, расположенное по адресу: Волгоградская область, г Камышин, 11-й кв-л, 3 д, 37 пом.</t>
        </is>
      </c>
      <c r="F200" s="3" t="inlineStr">
        <is>
          <t>25.07.22 05:30</t>
        </is>
      </c>
      <c r="G200" t="inlineStr">
        <is>
          <t>Волгоградская область,  г Камышин, 11-й кв-л,  3 д, 37 пом.</t>
        </is>
      </c>
      <c r="H200" s="4" t="n">
        <v>266000</v>
      </c>
      <c r="I200" s="4" t="n">
        <v>2402.890695573622</v>
      </c>
      <c r="J200" t="inlineStr">
        <is>
          <t>Нежилое помещение</t>
        </is>
      </c>
      <c r="Q200" t="inlineStr">
        <is>
          <t>BOC</t>
        </is>
      </c>
      <c r="R200" t="inlineStr">
        <is>
          <t>М</t>
        </is>
      </c>
      <c r="U200" t="inlineStr">
        <is>
          <t xml:space="preserve">34:36:000013:4229, </t>
        </is>
      </c>
      <c r="V200" t="n">
        <v>1</v>
      </c>
      <c r="Y200" t="n">
        <v>0</v>
      </c>
      <c r="AA200" t="n">
        <v>0</v>
      </c>
      <c r="AB200" t="n">
        <v>0</v>
      </c>
    </row>
    <row r="201">
      <c r="A201" s="7" t="n">
        <v>199</v>
      </c>
      <c r="B201" t="n">
        <v>34</v>
      </c>
      <c r="C201" s="1" t="n">
        <v>575.6</v>
      </c>
      <c r="D201" s="2">
        <f>HYPERLINK("https://torgi.gov.ru/new/public/lots/lot/21000003300000000042_3/(lotInfo:info)", "21000003300000000042_3")</f>
        <v/>
      </c>
      <c r="E201" t="inlineStr">
        <is>
          <t>Нежилое помещение площадью 575,6 кв.м (цокольный этаж), кадастровый номер 34:34:030028:879. Цокольный этаж -575,6 кв.м. Волгоград, Дзержинский район, ул. им. Савкина, д. 13. Полная информация приведена в файле с Информационным сообщением.</t>
        </is>
      </c>
      <c r="F201" s="3" t="inlineStr">
        <is>
          <t>21.08.22 14:30</t>
        </is>
      </c>
      <c r="G201" t="inlineStr">
        <is>
          <t>г Волгоград, ул им. Савкина, влд 13</t>
        </is>
      </c>
      <c r="H201" s="4" t="n">
        <v>1572000</v>
      </c>
      <c r="I201" s="4" t="n">
        <v>2731.063238359972</v>
      </c>
      <c r="J201" t="inlineStr">
        <is>
          <t>Нежилое помещение</t>
        </is>
      </c>
      <c r="K201" s="5" t="n">
        <v>0.55</v>
      </c>
      <c r="L201" s="4" t="n">
        <v>113.79</v>
      </c>
      <c r="M201" t="n">
        <v>4992</v>
      </c>
      <c r="N201" s="6" t="n">
        <v>1030400</v>
      </c>
      <c r="O201" t="n">
        <v>24</v>
      </c>
      <c r="Q201" t="inlineStr">
        <is>
          <t>PP</t>
        </is>
      </c>
      <c r="R201" t="inlineStr">
        <is>
          <t>М</t>
        </is>
      </c>
      <c r="S201" s="2">
        <f>HYPERLINK("https://yandex.ru/maps/?&amp;text=48.773001, 44.488319", "48.773001, 44.488319")</f>
        <v/>
      </c>
      <c r="T201" s="2">
        <f>HYPERLINK("D:\venv_torgi\env\cache\objs_in_district/48.773001_44.488319.json", "48.773001_44.488319.json")</f>
        <v/>
      </c>
      <c r="U201" t="inlineStr">
        <is>
          <t>34:34:030028:879</t>
        </is>
      </c>
      <c r="V201" t="n">
        <v>0</v>
      </c>
      <c r="Y201" t="n">
        <v>0</v>
      </c>
      <c r="AA201" t="n">
        <v>0</v>
      </c>
      <c r="AB201" t="n">
        <v>0</v>
      </c>
    </row>
    <row r="202">
      <c r="A202" s="7" t="n">
        <v>200</v>
      </c>
      <c r="B202" t="n">
        <v>34</v>
      </c>
      <c r="C202" s="1" t="n">
        <v>863.72</v>
      </c>
      <c r="D202" s="2">
        <f>HYPERLINK("https://torgi.gov.ru/new/public/lots/lot/21000004930000000009_1/(lotInfo:info)", "21000004930000000009_1")</f>
        <v/>
      </c>
      <c r="E202" t="inlineStr">
        <is>
          <t>Комплекс объектов недвижимого имущества: склад общей площадью 863,7 кв. метра, кадастровый номер 34:05:000000:704, отдельно стоящее здание (склад № 2) общей площадью 762,3 кв. метра, кадастровый номер 34:05:010107:35, асфальтобетонное покрытие общей площадью 4765,6 кв. метра, кадастровый номер 34:05:000000:714, забор ж/бетонный протяженностью 812 метров, реестровый номер 3412000000018805, расположенный по адресу: Волгоградская область, Дубовский р-н, г. Дубовка, ул. Рабочая, д. 7</t>
        </is>
      </c>
      <c r="F202" s="3" t="inlineStr">
        <is>
          <t>23.05.22 05:30</t>
        </is>
      </c>
      <c r="G202" t="inlineStr">
        <is>
          <t>Волгоградская обл, г Дубовка, ул Рабочая, д 7</t>
        </is>
      </c>
      <c r="H202" s="4" t="n">
        <v>2700000</v>
      </c>
      <c r="I202" s="4" t="n">
        <v>3126.013059787894</v>
      </c>
      <c r="J202" t="inlineStr">
        <is>
          <t>здание</t>
        </is>
      </c>
      <c r="K202" s="5" t="n">
        <v>4.4</v>
      </c>
      <c r="L202" s="4" t="n">
        <v>347.33</v>
      </c>
      <c r="M202" t="n">
        <v>711</v>
      </c>
      <c r="N202" s="6" t="n">
        <v>13805</v>
      </c>
      <c r="O202" t="n">
        <v>9</v>
      </c>
      <c r="Q202" t="inlineStr">
        <is>
          <t>BOC</t>
        </is>
      </c>
      <c r="R202" t="inlineStr">
        <is>
          <t>М</t>
        </is>
      </c>
      <c r="S202" s="2">
        <f>HYPERLINK("https://yandex.ru/maps/?&amp;text=49.066343, 44.817911", "49.066343, 44.817911")</f>
        <v/>
      </c>
      <c r="T202" s="2">
        <f>HYPERLINK("D:\venv_torgi\env\cache\objs_in_district/49.066343_44.817911.json", "49.066343_44.817911.json")</f>
        <v/>
      </c>
      <c r="U202" t="inlineStr">
        <is>
          <t xml:space="preserve">34:05:000000:704, </t>
        </is>
      </c>
      <c r="V202" t="n">
        <v>0</v>
      </c>
      <c r="Y202" t="n">
        <v>0</v>
      </c>
      <c r="AA202" t="n">
        <v>0</v>
      </c>
      <c r="AB202" t="n">
        <v>0</v>
      </c>
    </row>
    <row r="203">
      <c r="A203" s="7" t="n">
        <v>201</v>
      </c>
      <c r="B203" t="n">
        <v>34</v>
      </c>
      <c r="C203" s="1" t="n">
        <v>606.5</v>
      </c>
      <c r="D203" s="2">
        <f>HYPERLINK("https://torgi.gov.ru/new/public/lots/lot/21000004930000000003_1/(lotInfo:info)", "21000004930000000003_1")</f>
        <v/>
      </c>
      <c r="E203" t="inlineStr">
        <is>
          <t>объекты недвижимости, в составе: нежилое помещение общей площадью 379,8 кв.метра, кадастровый номер 34:34:010052:2883, расположенное по адресу: г. Волгоград, ул. им. Дегтярева, д. 45, помещение II; нежилое помещение общей площадью 226,7 кв.метра, кадастровый номер 34:34:010052:2929, расположенное по адресу: г. Волгоград, ул. им. Дегтярева, д. 45, помещение I.</t>
        </is>
      </c>
      <c r="F203" s="3" t="inlineStr">
        <is>
          <t>16.03.22 05:30</t>
        </is>
      </c>
      <c r="G203" t="inlineStr">
        <is>
          <t>г Волгоград, ул им. Дегтярева, влд 45</t>
        </is>
      </c>
      <c r="H203" s="4" t="n">
        <v>2111111.11</v>
      </c>
      <c r="I203" s="4" t="n">
        <v>3480.809744435284</v>
      </c>
      <c r="J203" t="inlineStr">
        <is>
          <t>Нежилое помещение</t>
        </is>
      </c>
      <c r="K203" s="5" t="n">
        <v>0.75</v>
      </c>
      <c r="L203" s="4" t="n">
        <v>204.71</v>
      </c>
      <c r="M203" t="n">
        <v>4665</v>
      </c>
      <c r="N203" s="6" t="n">
        <v>1030400</v>
      </c>
      <c r="O203" t="n">
        <v>17</v>
      </c>
      <c r="Q203" t="inlineStr">
        <is>
          <t>BOC</t>
        </is>
      </c>
      <c r="R203" t="inlineStr">
        <is>
          <t>М</t>
        </is>
      </c>
      <c r="S203" s="2">
        <f>HYPERLINK("https://yandex.ru/maps/?&amp;text=48.807931, 44.590008", "48.807931, 44.590008")</f>
        <v/>
      </c>
      <c r="T203" s="2">
        <f>HYPERLINK("D:\venv_torgi\env\cache\objs_in_district/48.807931_44.590008.json", "48.807931_44.590008.json")</f>
        <v/>
      </c>
      <c r="U203" t="inlineStr">
        <is>
          <t xml:space="preserve">34:34:010052:2883, </t>
        </is>
      </c>
      <c r="V203" t="n">
        <v>0</v>
      </c>
      <c r="Y203" t="n">
        <v>0</v>
      </c>
      <c r="AA203" t="n">
        <v>0</v>
      </c>
      <c r="AB203" t="n">
        <v>0</v>
      </c>
    </row>
    <row r="204">
      <c r="A204" s="7" t="n">
        <v>202</v>
      </c>
      <c r="B204" t="n">
        <v>34</v>
      </c>
      <c r="C204" s="1" t="n">
        <v>30.3</v>
      </c>
      <c r="D204" s="2">
        <f>HYPERLINK("https://torgi.gov.ru/new/public/lots/lot/21000003300000000039_6/(lotInfo:info)", "21000003300000000039_6")</f>
        <v/>
      </c>
      <c r="E204" t="inlineStr">
        <is>
          <t>Нежилое помещение площадью 30,3 кв. м.  (2 этаж), кадастровый номер 34:34:010047:158. 2-й этаж - 30,3 кв. м. Волгоград, Тракторозаводский район, ул. им адмирала Ушакова, д 14. Полная информация приведена в файле с Информационным сообщением.</t>
        </is>
      </c>
      <c r="F204" s="3" t="inlineStr">
        <is>
          <t>09.08.22 14:30</t>
        </is>
      </c>
      <c r="G204" t="inlineStr">
        <is>
          <t>г Волгоград, ул им. адмирала Ушакова, д 14</t>
        </is>
      </c>
      <c r="H204" s="4" t="n">
        <v>166950</v>
      </c>
      <c r="I204" s="4" t="n">
        <v>5509.90099009901</v>
      </c>
      <c r="J204" t="inlineStr">
        <is>
          <t>Нежилое помещение</t>
        </is>
      </c>
      <c r="K204" s="5" t="n">
        <v>3.95</v>
      </c>
      <c r="M204" t="n">
        <v>1393</v>
      </c>
      <c r="N204" s="6" t="n">
        <v>1030400</v>
      </c>
      <c r="Q204" t="inlineStr">
        <is>
          <t>PP</t>
        </is>
      </c>
      <c r="R204" t="inlineStr">
        <is>
          <t>М</t>
        </is>
      </c>
      <c r="S204" s="2">
        <f>HYPERLINK("https://yandex.ru/maps/?&amp;text=48.798348, 44.618098", "48.798348, 44.618098")</f>
        <v/>
      </c>
      <c r="U204" t="inlineStr">
        <is>
          <t>34:34:010047:158</t>
        </is>
      </c>
      <c r="V204" t="n">
        <v>2</v>
      </c>
      <c r="Y204" t="n">
        <v>0</v>
      </c>
      <c r="AA204" t="n">
        <v>0</v>
      </c>
      <c r="AB204" t="n">
        <v>0</v>
      </c>
    </row>
    <row r="205">
      <c r="A205" s="7" t="n">
        <v>203</v>
      </c>
      <c r="B205" t="n">
        <v>34</v>
      </c>
      <c r="C205" s="1" t="n">
        <v>19.8</v>
      </c>
      <c r="D205" s="2">
        <f>HYPERLINK("https://torgi.gov.ru/new/public/lots/lot/21000003300000000039_4/(lotInfo:info)", "21000003300000000039_4")</f>
        <v/>
      </c>
      <c r="E205" t="inlineStr">
        <is>
          <t>Нежилое помещение площадью 19,8 кв. м.  (2 этаж), кадастровый номер 34:34:010047:157. 2-й этаж - 19,8 кв. м. Волгоград, Тракторозаводский район, ул. им адмирала Ушакова, д 14.  Полная информация приведена в файле с Информационным сообщением.</t>
        </is>
      </c>
      <c r="F205" s="3" t="inlineStr">
        <is>
          <t>09.08.22 14:30</t>
        </is>
      </c>
      <c r="G205" t="inlineStr">
        <is>
          <t>г Волгоград, ул им. адмирала Ушакова, д 14</t>
        </is>
      </c>
      <c r="H205" s="4" t="n">
        <v>109200</v>
      </c>
      <c r="I205" s="4" t="n">
        <v>5515.151515151515</v>
      </c>
      <c r="J205" t="inlineStr">
        <is>
          <t>Нежилое помещение</t>
        </is>
      </c>
      <c r="K205" s="5" t="n">
        <v>3.96</v>
      </c>
      <c r="M205" t="n">
        <v>1393</v>
      </c>
      <c r="N205" s="6" t="n">
        <v>1030400</v>
      </c>
      <c r="Q205" t="inlineStr">
        <is>
          <t>PP</t>
        </is>
      </c>
      <c r="R205" t="inlineStr">
        <is>
          <t>М</t>
        </is>
      </c>
      <c r="S205" s="2">
        <f>HYPERLINK("https://yandex.ru/maps/?&amp;text=48.798348, 44.618098", "48.798348, 44.618098")</f>
        <v/>
      </c>
      <c r="U205" t="inlineStr">
        <is>
          <t>34:34:010047:157</t>
        </is>
      </c>
      <c r="V205" t="n">
        <v>2</v>
      </c>
      <c r="Y205" t="n">
        <v>0</v>
      </c>
      <c r="AA205" t="n">
        <v>0</v>
      </c>
      <c r="AB205" t="n">
        <v>0</v>
      </c>
    </row>
    <row r="206">
      <c r="A206" s="7" t="n">
        <v>204</v>
      </c>
      <c r="B206" t="n">
        <v>34</v>
      </c>
      <c r="C206" s="1" t="n">
        <v>296.7</v>
      </c>
      <c r="D206" s="2">
        <f>HYPERLINK("https://torgi.gov.ru/new/public/lots/lot/21000003300000000039_3/(lotInfo:info)", "21000003300000000039_3")</f>
        <v/>
      </c>
      <c r="E206" t="inlineStr">
        <is>
          <t>Нежилое помещение площадью 296,7 кв. м. (цокольный этаж), кадастровый номер 34:34:030026:1314. Цокольный этаж -296,7 кв. м. Волгоград, Дзержинский район, ул. 51-й Гвардейской, 19А. Полная информация приведена в файле с Информационным сообщением.</t>
        </is>
      </c>
      <c r="F206" s="3" t="inlineStr">
        <is>
          <t>09.08.22 14:30</t>
        </is>
      </c>
      <c r="G206" t="inlineStr">
        <is>
          <t>г Волгоград, ул 51-й Гвардейской, д 19а</t>
        </is>
      </c>
      <c r="H206" s="4" t="n">
        <v>2888800</v>
      </c>
      <c r="I206" s="4" t="n">
        <v>9736.434108527132</v>
      </c>
      <c r="J206" t="inlineStr">
        <is>
          <t>Нежилое помещение</t>
        </is>
      </c>
      <c r="K206" s="5" t="n">
        <v>1.07</v>
      </c>
      <c r="L206" s="4" t="n">
        <v>237.46</v>
      </c>
      <c r="M206" t="n">
        <v>9130</v>
      </c>
      <c r="N206" s="6" t="n">
        <v>1030400</v>
      </c>
      <c r="O206" t="n">
        <v>41</v>
      </c>
      <c r="Q206" t="inlineStr">
        <is>
          <t>PP</t>
        </is>
      </c>
      <c r="R206" t="inlineStr">
        <is>
          <t>М</t>
        </is>
      </c>
      <c r="S206" s="2">
        <f>HYPERLINK("https://yandex.ru/maps/?&amp;text=48.76918, 44.48468", "48.76918, 44.48468")</f>
        <v/>
      </c>
      <c r="T206" s="2">
        <f>HYPERLINK("D:\venv_torgi\env\cache\objs_in_district/48.76918_44.48468.json", "48.76918_44.48468.json")</f>
        <v/>
      </c>
      <c r="U206" t="inlineStr">
        <is>
          <t>34:34:030026:1314</t>
        </is>
      </c>
      <c r="V206" t="n">
        <v>0</v>
      </c>
      <c r="Y206" t="n">
        <v>0</v>
      </c>
      <c r="AA206" t="n">
        <v>0</v>
      </c>
      <c r="AB206" t="n">
        <v>0</v>
      </c>
    </row>
    <row r="207">
      <c r="A207" s="7" t="n">
        <v>205</v>
      </c>
      <c r="B207" t="n">
        <v>34</v>
      </c>
      <c r="C207" s="1" t="n">
        <v>21.9</v>
      </c>
      <c r="D207" s="2">
        <f>HYPERLINK("https://torgi.gov.ru/new/public/lots/lot/22000003530000000016_1/(lotInfo:info)", "22000003530000000016_1")</f>
        <v/>
      </c>
      <c r="E207" t="inlineStr">
        <is>
          <t>нежилое помещение, площадью 21,9 кв.м., кадастровый номер 34:38:010001:1289, расположенное по адресу: Волгоградская обл., г.Урюпинск, пр. Ленина, д.80.</t>
        </is>
      </c>
      <c r="F207" s="3" t="inlineStr">
        <is>
          <t>13.07.22 07:00</t>
        </is>
      </c>
      <c r="G207" t="inlineStr">
        <is>
          <t>Волгоградская обл, г Урюпинск, пр-кт Ленина, д 80</t>
        </is>
      </c>
      <c r="H207" s="4" t="n">
        <v>221000</v>
      </c>
      <c r="I207" s="4" t="n">
        <v>10091.32420091324</v>
      </c>
      <c r="J207" t="inlineStr">
        <is>
          <t>Нежилое помещение</t>
        </is>
      </c>
      <c r="K207" s="5" t="n">
        <v>3.75</v>
      </c>
      <c r="M207" t="n">
        <v>2690</v>
      </c>
      <c r="N207" s="6" t="n">
        <v>39844</v>
      </c>
      <c r="Q207" t="inlineStr">
        <is>
          <t>EA</t>
        </is>
      </c>
      <c r="R207" t="inlineStr">
        <is>
          <t>М</t>
        </is>
      </c>
      <c r="S207" s="2">
        <f>HYPERLINK("https://yandex.ru/maps/?&amp;text=50.796055, 41.999023", "50.796055, 41.999023")</f>
        <v/>
      </c>
      <c r="U207" t="inlineStr">
        <is>
          <t xml:space="preserve">34:38:010001:1289, </t>
        </is>
      </c>
      <c r="V207" t="n">
        <v>0</v>
      </c>
      <c r="Y207" t="n">
        <v>0</v>
      </c>
      <c r="AA207" t="n">
        <v>0</v>
      </c>
      <c r="AB207" t="n">
        <v>0</v>
      </c>
    </row>
    <row r="208">
      <c r="A208" s="7" t="n">
        <v>206</v>
      </c>
      <c r="B208" t="n">
        <v>34</v>
      </c>
      <c r="C208" s="1" t="n">
        <v>12.9</v>
      </c>
      <c r="D208" s="2">
        <f>HYPERLINK("https://torgi.gov.ru/new/public/lots/lot/21000010850000000007_1/(lotInfo:info)", "21000010850000000007_1")</f>
        <v/>
      </c>
      <c r="E208" t="inlineStr">
        <is>
          <t>Нежилое помещение общей площадью 12,9 м2, с кадастровым номером 34:14:090002:18033, расположенное на первом этаже пятиэтажного кирпичного жилого здания, 1969 г. постройки по адресу: Волгоградская область, г. Котово, ул. Мира, д. 155.</t>
        </is>
      </c>
      <c r="F208" s="3" t="inlineStr">
        <is>
          <t>18.08.22 14:00</t>
        </is>
      </c>
      <c r="G208" t="inlineStr">
        <is>
          <t>Волгоградская обл, г Котово, ул Мира, д 155</t>
        </is>
      </c>
      <c r="H208" s="4" t="n">
        <v>140926.01</v>
      </c>
      <c r="I208" s="4" t="n">
        <v>10924.49689922481</v>
      </c>
      <c r="J208" t="inlineStr">
        <is>
          <t>Нежилое помещение</t>
        </is>
      </c>
      <c r="K208" s="5" t="n">
        <v>25.4</v>
      </c>
      <c r="M208" t="n">
        <v>430</v>
      </c>
      <c r="N208" s="6" t="n">
        <v>21990</v>
      </c>
      <c r="Q208" t="inlineStr">
        <is>
          <t>EA</t>
        </is>
      </c>
      <c r="R208" t="inlineStr">
        <is>
          <t>М</t>
        </is>
      </c>
      <c r="S208" s="2">
        <f>HYPERLINK("https://yandex.ru/maps/?&amp;text=50.316544, 44.80738", "50.316544, 44.80738")</f>
        <v/>
      </c>
      <c r="U208" t="inlineStr">
        <is>
          <t xml:space="preserve">34:14:090002:18033, </t>
        </is>
      </c>
      <c r="V208" t="n">
        <v>1</v>
      </c>
      <c r="Y208" t="n">
        <v>0</v>
      </c>
      <c r="AA208" t="n">
        <v>0</v>
      </c>
      <c r="AB208" t="n">
        <v>0</v>
      </c>
    </row>
    <row r="209">
      <c r="A209" s="7" t="n">
        <v>207</v>
      </c>
      <c r="B209" t="n">
        <v>34</v>
      </c>
      <c r="C209" s="1" t="n">
        <v>15.6</v>
      </c>
      <c r="D209" s="2">
        <f>HYPERLINK("https://torgi.gov.ru/new/public/lots/lot/21000007070000000008_1/(lotInfo:info)", "21000007070000000008_1")</f>
        <v/>
      </c>
      <c r="E209" t="inlineStr">
        <is>
          <t>- нежилое помещение, расположенное по адресу: обл. Волгоградская, г. Камышин, ул. Пролетарская, д. 18, пом. 1.</t>
        </is>
      </c>
      <c r="F209" s="3" t="inlineStr">
        <is>
          <t>25.04.22 05:30</t>
        </is>
      </c>
      <c r="G209" t="inlineStr">
        <is>
          <t>Волгоградская обл, г Камышин, ул Пролетарская, д 18</t>
        </is>
      </c>
      <c r="H209" s="4" t="n">
        <v>190100</v>
      </c>
      <c r="I209" s="4" t="n">
        <v>12185.89743589744</v>
      </c>
      <c r="J209" t="inlineStr">
        <is>
          <t>Нежилое помещение</t>
        </is>
      </c>
      <c r="K209" s="5" t="n">
        <v>3.65</v>
      </c>
      <c r="M209" t="n">
        <v>3341</v>
      </c>
      <c r="N209" s="6" t="n">
        <v>115070</v>
      </c>
      <c r="Q209" t="inlineStr">
        <is>
          <t>EA</t>
        </is>
      </c>
      <c r="R209" t="inlineStr">
        <is>
          <t>М</t>
        </is>
      </c>
      <c r="S209" s="2">
        <f>HYPERLINK("https://yandex.ru/maps/?&amp;text=50.082993, 45.406128", "50.082993, 45.406128")</f>
        <v/>
      </c>
      <c r="U209" t="inlineStr">
        <is>
          <t>34:36:000016:3601</t>
        </is>
      </c>
      <c r="V209" t="n">
        <v>2</v>
      </c>
      <c r="Y209" t="n">
        <v>0</v>
      </c>
      <c r="AA209" t="n">
        <v>0</v>
      </c>
      <c r="AB209" t="n">
        <v>0</v>
      </c>
    </row>
    <row r="210">
      <c r="A210" s="7" t="n">
        <v>208</v>
      </c>
      <c r="B210" t="n">
        <v>34</v>
      </c>
      <c r="C210" s="1" t="n">
        <v>65.40000000000001</v>
      </c>
      <c r="D210" s="2">
        <f>HYPERLINK("https://torgi.gov.ru/new/public/lots/lot/21000029410000000004_1/(lotInfo:info)", "21000029410000000004_1")</f>
        <v/>
      </c>
      <c r="E210" t="inlineStr">
        <is>
          <t>нежилое здание, кадастровый номер 34:37:010268:263, общей площадью 65,4 кв.м., расположенное на земельном участке площадью 133,0 кв.м., кадастровый номер 34:37:010268:7, по адресу: Волгоградская область, г. Михайловка, ул. Ленина, 92</t>
        </is>
      </c>
      <c r="F210" s="3" t="inlineStr">
        <is>
          <t>10.06.22 14:00</t>
        </is>
      </c>
      <c r="G210" t="inlineStr">
        <is>
          <t>Волгоградская обл, г Михайловка, ул Ленина, д 92</t>
        </is>
      </c>
      <c r="H210" s="4" t="n">
        <v>881000</v>
      </c>
      <c r="I210" s="4" t="n">
        <v>13470.94801223241</v>
      </c>
      <c r="J210" t="inlineStr">
        <is>
          <t>жилое здание</t>
        </is>
      </c>
      <c r="K210" s="5" t="n">
        <v>7.63</v>
      </c>
      <c r="L210" s="4" t="n">
        <v>4490</v>
      </c>
      <c r="M210" t="n">
        <v>1766</v>
      </c>
      <c r="N210" s="6" t="n">
        <v>87599</v>
      </c>
      <c r="O210" t="n">
        <v>3</v>
      </c>
      <c r="Q210" t="inlineStr">
        <is>
          <t>EA</t>
        </is>
      </c>
      <c r="R210" t="inlineStr">
        <is>
          <t>М</t>
        </is>
      </c>
      <c r="S210" s="2">
        <f>HYPERLINK("https://yandex.ru/maps/?&amp;text=50.049374, 43.224488", "50.049374, 43.224488")</f>
        <v/>
      </c>
      <c r="T210" s="2">
        <f>HYPERLINK("D:\venv_torgi\env\cache\objs_in_district/50.049374_43.224488.json", "50.049374_43.224488.json")</f>
        <v/>
      </c>
      <c r="U210" t="inlineStr">
        <is>
          <t xml:space="preserve">34:37:010268:263, </t>
        </is>
      </c>
      <c r="V210" t="n">
        <v>1</v>
      </c>
      <c r="Y210" t="n">
        <v>0</v>
      </c>
      <c r="AA210" t="n">
        <v>0</v>
      </c>
      <c r="AB210" t="n">
        <v>1</v>
      </c>
    </row>
    <row r="211">
      <c r="A211" s="7" t="n">
        <v>209</v>
      </c>
      <c r="B211" t="n">
        <v>34</v>
      </c>
      <c r="C211" s="1" t="n">
        <v>259.1</v>
      </c>
      <c r="D211" s="2">
        <f>HYPERLINK("https://torgi.gov.ru/new/public/lots/lot/21000014370000000004_1/(lotInfo:info)", "21000014370000000004_1")</f>
        <v/>
      </c>
      <c r="E211" t="inlineStr">
        <is>
          <t>Нежилое помещение общей площадью 259,1 кв. м (кадастровый номер 34:35:030216:3490), расположенное на цокольном этаже жилого дома по адресу: ул. Дружбы, 88, пом. I, г. Волжский, Волгоградская область.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      </is>
      </c>
      <c r="F211" s="3" t="inlineStr">
        <is>
          <t>05.03.22 14:30</t>
        </is>
      </c>
      <c r="G211" t="inlineStr">
        <is>
          <t>г Омск, ул Дружбы, д 88</t>
        </is>
      </c>
      <c r="H211" s="4" t="n">
        <v>3511800</v>
      </c>
      <c r="I211" s="4" t="n">
        <v>13553.84021613277</v>
      </c>
      <c r="J211" t="inlineStr">
        <is>
          <t>Нежилое помещение</t>
        </is>
      </c>
      <c r="K211" s="5" t="n">
        <v>3.22</v>
      </c>
      <c r="L211" s="4" t="inlineStr"/>
      <c r="M211" t="n">
        <v>4205</v>
      </c>
      <c r="N211" s="6" t="n">
        <v>1178391</v>
      </c>
      <c r="O211" t="inlineStr"/>
      <c r="Q211" t="inlineStr">
        <is>
          <t>PP</t>
        </is>
      </c>
      <c r="R211" t="inlineStr">
        <is>
          <t>М</t>
        </is>
      </c>
      <c r="S211" s="2">
        <f>HYPERLINK("https://yandex.ru/maps/?&amp;text=55.039093, 73.24173", "55.039093, 73.24173")</f>
        <v/>
      </c>
      <c r="T211" s="8">
        <f>HYPERLINK("D:\venv_torgi\env\cache\objs_in_district/55.039093_73.24173.json", "55.039093_73.24173.json")</f>
        <v/>
      </c>
      <c r="U211" t="inlineStr">
        <is>
          <t>34:35:030216:3490</t>
        </is>
      </c>
      <c r="V211" t="n">
        <v>0</v>
      </c>
      <c r="Y211" t="n">
        <v>1</v>
      </c>
      <c r="AA211" t="n">
        <v>0</v>
      </c>
      <c r="AB211" t="n">
        <v>0</v>
      </c>
    </row>
    <row r="212">
      <c r="A212" s="7" t="n">
        <v>210</v>
      </c>
      <c r="B212" t="n">
        <v>34</v>
      </c>
      <c r="C212" s="1" t="n">
        <v>61.6</v>
      </c>
      <c r="D212" s="2">
        <f>HYPERLINK("https://torgi.gov.ru/new/public/lots/lot/21000003300000000015_9/(lotInfo:info)", "21000003300000000015_9")</f>
        <v/>
      </c>
      <c r="E212" t="inlineStr">
        <is>
          <t>Нежилое помещение площадью 61,6 кв. м. (1-й этаж), кадастровый номер 34:34:080074:1334. Волгоград, Красноармейский район, ул. Пролетарская, д. 27. Полная информация приведена в файле с Информационным сообщением.</t>
        </is>
      </c>
      <c r="F212" s="3" t="inlineStr">
        <is>
          <t>11.05.22 14:30</t>
        </is>
      </c>
      <c r="G212" t="inlineStr">
        <is>
          <t>г Волгоград, ул Пролетарская, д 27</t>
        </is>
      </c>
      <c r="H212" s="4" t="n">
        <v>2207500</v>
      </c>
      <c r="I212" s="4" t="n">
        <v>35836.03896103896</v>
      </c>
      <c r="J212" t="inlineStr">
        <is>
          <t>Нежилое помещение</t>
        </is>
      </c>
      <c r="K212" s="5" t="n">
        <v>6.17</v>
      </c>
      <c r="L212" s="4" t="n">
        <v>1706.48</v>
      </c>
      <c r="M212" t="n">
        <v>5805</v>
      </c>
      <c r="N212" s="6" t="n">
        <v>1030400</v>
      </c>
      <c r="O212" t="n">
        <v>21</v>
      </c>
      <c r="Q212" t="inlineStr">
        <is>
          <t>EA</t>
        </is>
      </c>
      <c r="R212" t="inlineStr">
        <is>
          <t>М</t>
        </is>
      </c>
      <c r="S212" s="2">
        <f>HYPERLINK("https://yandex.ru/maps/?&amp;text=48.518396, 44.538849", "48.518396, 44.538849")</f>
        <v/>
      </c>
      <c r="T212" s="2">
        <f>HYPERLINK("D:\venv_torgi\env\cache\objs_in_district/48.518396_44.538849.json", "48.518396_44.538849.json")</f>
        <v/>
      </c>
      <c r="U212" t="inlineStr">
        <is>
          <t>34:34:080074:1334</t>
        </is>
      </c>
      <c r="V212" t="n">
        <v>1</v>
      </c>
      <c r="Y212" t="n">
        <v>0</v>
      </c>
      <c r="AA212" t="n">
        <v>0</v>
      </c>
      <c r="AB212" t="n">
        <v>0</v>
      </c>
    </row>
    <row r="213">
      <c r="A213" s="7" t="n">
        <v>211</v>
      </c>
      <c r="B213" t="n">
        <v>34</v>
      </c>
      <c r="C213" s="1" t="n">
        <v>45.3</v>
      </c>
      <c r="D213" s="2">
        <f>HYPERLINK("https://torgi.gov.ru/new/public/lots/lot/21000028510000000004_1/(lotInfo:info)", "21000028510000000004_1")</f>
        <v/>
      </c>
      <c r="E213" t="inlineStr">
        <is>
          <t>нежилое помещение, площадью 45,3 кв.м., с кадастровым номером 34:39:000023:2596, расположенное по адресу: Волгоградская область, г. Фролово, ул.Фроловская,16/2а</t>
        </is>
      </c>
      <c r="F213" s="3" t="inlineStr">
        <is>
          <t>12.06.22 21:00</t>
        </is>
      </c>
      <c r="G213" t="inlineStr">
        <is>
          <t>Волгоградская обл, г Фролово, ул Фроловская, д 16/2а</t>
        </is>
      </c>
      <c r="H213" s="4" t="n">
        <v>1850349.16</v>
      </c>
      <c r="I213" s="4" t="n">
        <v>40846.55982339956</v>
      </c>
      <c r="J213" t="inlineStr">
        <is>
          <t>Нежилое помещение</t>
        </is>
      </c>
      <c r="K213" s="5" t="n">
        <v>12.4</v>
      </c>
      <c r="L213" s="4" t="n">
        <v>949.91</v>
      </c>
      <c r="M213" t="n">
        <v>3293</v>
      </c>
      <c r="N213" s="6" t="n">
        <v>43326</v>
      </c>
      <c r="O213" t="n">
        <v>43</v>
      </c>
      <c r="Q213" t="inlineStr">
        <is>
          <t>EA</t>
        </is>
      </c>
      <c r="R213" t="inlineStr">
        <is>
          <t>М</t>
        </is>
      </c>
      <c r="S213" s="2">
        <f>HYPERLINK("https://yandex.ru/maps/?&amp;text=49.767542, 43.640022", "49.767542, 43.640022")</f>
        <v/>
      </c>
      <c r="T213" s="2">
        <f>HYPERLINK("D:\venv_torgi\env\cache\objs_in_district/49.767542_43.640022.json", "49.767542_43.640022.json")</f>
        <v/>
      </c>
      <c r="U213" t="inlineStr">
        <is>
          <t xml:space="preserve">34:39:000023:2596, </t>
        </is>
      </c>
      <c r="V213" t="n">
        <v>0</v>
      </c>
      <c r="Y213" t="n">
        <v>0</v>
      </c>
      <c r="AA213" t="n">
        <v>0</v>
      </c>
      <c r="AB213" t="n">
        <v>0</v>
      </c>
    </row>
    <row r="214">
      <c r="A214" s="7" t="n">
        <v>212</v>
      </c>
      <c r="B214" t="n">
        <v>34</v>
      </c>
      <c r="C214" s="1" t="n">
        <v>10.9</v>
      </c>
      <c r="D214" s="2">
        <f>HYPERLINK("https://torgi.gov.ru/new/public/lots/lot/21000003300000000015_8/(lotInfo:info)", "21000003300000000015_8")</f>
        <v/>
      </c>
      <c r="E214" t="inlineStr">
        <is>
          <t>Нежилое помещение площадью 10,9 кв. м. (1-й этаж), кадастровый номер 34:34:080062:2439. Волгоград, Красноармейский район, ул. Пролетарская, д. 41. Полная информация приведена в файле с Информационным сообщением.</t>
        </is>
      </c>
      <c r="F214" s="3" t="inlineStr">
        <is>
          <t>11.05.22 14:30</t>
        </is>
      </c>
      <c r="G214" t="inlineStr">
        <is>
          <t>г Волгоград, ул Пролетарская, д 41</t>
        </is>
      </c>
      <c r="H214" s="4" t="n">
        <v>612000</v>
      </c>
      <c r="I214" s="4" t="n">
        <v>56146.78899082568</v>
      </c>
      <c r="J214" t="inlineStr">
        <is>
          <t>Нежилое помещение</t>
        </is>
      </c>
      <c r="K214" s="5" t="n">
        <v>7.39</v>
      </c>
      <c r="L214" s="4" t="n">
        <v>1604.17</v>
      </c>
      <c r="M214" t="n">
        <v>7599</v>
      </c>
      <c r="N214" s="6" t="n">
        <v>1030400</v>
      </c>
      <c r="O214" t="n">
        <v>35</v>
      </c>
      <c r="Q214" t="inlineStr">
        <is>
          <t>EA</t>
        </is>
      </c>
      <c r="R214" t="inlineStr">
        <is>
          <t>М</t>
        </is>
      </c>
      <c r="S214" s="2">
        <f>HYPERLINK("https://yandex.ru/maps/?&amp;text=48.51631, 44.53751", "48.51631, 44.53751")</f>
        <v/>
      </c>
      <c r="T214" s="2">
        <f>HYPERLINK("D:\venv_torgi\env\cache\objs_in_district/48.51631_44.53751.json", "48.51631_44.53751.json")</f>
        <v/>
      </c>
      <c r="U214" t="inlineStr">
        <is>
          <t>34:34:080062:2439</t>
        </is>
      </c>
      <c r="V214" t="n">
        <v>1</v>
      </c>
      <c r="Y214" t="n">
        <v>0</v>
      </c>
      <c r="AA214" t="n">
        <v>0</v>
      </c>
      <c r="AB214" t="n">
        <v>0</v>
      </c>
    </row>
    <row r="215">
      <c r="A215" s="7" t="n">
        <v>213</v>
      </c>
      <c r="B215" t="n">
        <v>35</v>
      </c>
      <c r="C215" s="1" t="n">
        <v>71.90000000000001</v>
      </c>
      <c r="D215" s="2">
        <f>HYPERLINK("https://torgi.gov.ru/new/public/lots/lot/22000086830000000005_1/(lotInfo:info)", "22000086830000000005_1")</f>
        <v/>
      </c>
      <c r="E215" t="inlineStr">
        <is>
          <t>Здание одноэтажное в деревянном исполнении, общей площадью 71,9 кв.м. Коммуникации отсутствуют. Год постройки – 1969. Кадастровый номер 35:10:0202001:58. Земельный участок общей площадью 548 кв.м. Категория земель: земли населенных пунктов, разрешенное использование: для ведения личного подсобного хозяйства. Кадастровый номер 35:10:0511004:281.</t>
        </is>
      </c>
      <c r="F215" s="3" t="inlineStr">
        <is>
          <t>13.08.22 21:00</t>
        </is>
      </c>
      <c r="G215" t="inlineStr">
        <is>
          <t>Вологодская обл, Великоустюгский р-н, деревня Красавино, д 10</t>
        </is>
      </c>
      <c r="H215" s="4" t="n">
        <v>174700</v>
      </c>
      <c r="I215" s="4" t="n">
        <v>2429.763560500695</v>
      </c>
      <c r="J215" t="inlineStr">
        <is>
          <t>Здание</t>
        </is>
      </c>
      <c r="K215" s="5" t="n">
        <v>86.75</v>
      </c>
      <c r="M215" t="n">
        <v>28</v>
      </c>
      <c r="N215" s="6" t="n">
        <v>6084</v>
      </c>
      <c r="Q215" t="inlineStr">
        <is>
          <t>EA</t>
        </is>
      </c>
      <c r="R215" t="inlineStr">
        <is>
          <t>М</t>
        </is>
      </c>
      <c r="S215" s="2">
        <f>HYPERLINK("https://yandex.ru/maps/?&amp;text=60.667915, 45.871688", "60.667915, 45.871688")</f>
        <v/>
      </c>
      <c r="U215" t="inlineStr">
        <is>
          <t>35:10:0202001:58</t>
        </is>
      </c>
      <c r="V215" t="n">
        <v>0</v>
      </c>
      <c r="Y215" t="n">
        <v>0</v>
      </c>
      <c r="AA215" t="n">
        <v>0</v>
      </c>
      <c r="AB215" t="n">
        <v>1</v>
      </c>
    </row>
    <row r="216">
      <c r="A216" s="7" t="n">
        <v>214</v>
      </c>
      <c r="B216" t="n">
        <v>35</v>
      </c>
      <c r="C216" s="1" t="n">
        <v>52.1</v>
      </c>
      <c r="D216" s="2">
        <f>HYPERLINK("https://torgi.gov.ru/new/public/lots/lot/22000086300000000007_1/(lotInfo:info)", "22000086300000000007_1")</f>
        <v/>
      </c>
      <c r="E216" t="inlineStr">
        <is>
          <t>кровля шифер, полы дощатые и ДВП, перекрытия деревянные имеют разрушения, провисы; окна деревянные значительно разрушены, водоснабжение, водоотведение, теплоснабжение отсутствуют</t>
        </is>
      </c>
      <c r="F216" s="3" t="inlineStr">
        <is>
          <t>02.08.22 13:15</t>
        </is>
      </c>
      <c r="G216" t="inlineStr">
        <is>
          <t>Вологодская обл, Усть-Кубинский р-н, поселок Высокое, ул Красноармейская, д 1</t>
        </is>
      </c>
      <c r="H216" s="4" t="n">
        <v>130000</v>
      </c>
      <c r="I216" s="4" t="n">
        <v>2495.201535508637</v>
      </c>
      <c r="J216" t="inlineStr">
        <is>
          <t>Нежилое помещение</t>
        </is>
      </c>
      <c r="K216" s="5" t="n">
        <v>9.07</v>
      </c>
      <c r="M216" t="n">
        <v>275</v>
      </c>
      <c r="N216" s="6" t="n">
        <v>412</v>
      </c>
      <c r="Q216" t="inlineStr">
        <is>
          <t>BOC</t>
        </is>
      </c>
      <c r="R216" t="inlineStr">
        <is>
          <t>М</t>
        </is>
      </c>
      <c r="S216" s="2">
        <f>HYPERLINK("https://yandex.ru/maps/?&amp;text=59.629117, 39.844379", "59.629117, 39.844379")</f>
        <v/>
      </c>
      <c r="U216" t="inlineStr">
        <is>
          <t>35:11:0303004:1127</t>
        </is>
      </c>
      <c r="V216" t="n">
        <v>1</v>
      </c>
      <c r="Y216" t="n">
        <v>0</v>
      </c>
      <c r="AA216" t="n">
        <v>0</v>
      </c>
      <c r="AB216" t="n">
        <v>0</v>
      </c>
    </row>
    <row r="217">
      <c r="A217" s="7" t="n">
        <v>215</v>
      </c>
      <c r="B217" t="n">
        <v>35</v>
      </c>
      <c r="C217" s="1" t="n">
        <v>32.7</v>
      </c>
      <c r="D217" s="2">
        <f>HYPERLINK("https://torgi.gov.ru/new/public/lots/lot/22000117350000000002_1/(lotInfo:info)", "22000117350000000002_1")</f>
        <v/>
      </c>
      <c r="E217" t="inlineStr">
        <is>
          <t>Нежилое помещение кадастровый № 35:19:0102004:301 площадью 32,7 кв. м.,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3.</t>
        </is>
      </c>
      <c r="F217" s="3" t="inlineStr">
        <is>
          <t>25.07.22 20:30</t>
        </is>
      </c>
      <c r="G217" t="inlineStr">
        <is>
          <t>Вологодская обл, г Устюжна, Торговая пл, д 13</t>
        </is>
      </c>
      <c r="H217" s="4" t="n">
        <v>142000</v>
      </c>
      <c r="I217" s="4" t="n">
        <v>4342.507645259939</v>
      </c>
      <c r="J217" t="inlineStr">
        <is>
          <t>Торговая, дом</t>
        </is>
      </c>
      <c r="K217" s="5" t="n">
        <v>4.51</v>
      </c>
      <c r="L217" s="4" t="n">
        <v>271.38</v>
      </c>
      <c r="M217" t="n">
        <v>963</v>
      </c>
      <c r="N217" s="6" t="n">
        <v>8712</v>
      </c>
      <c r="O217" t="n">
        <v>16</v>
      </c>
      <c r="Q217" t="inlineStr">
        <is>
          <t>EA</t>
        </is>
      </c>
      <c r="R217" t="inlineStr">
        <is>
          <t>М</t>
        </is>
      </c>
      <c r="S217" s="2">
        <f>HYPERLINK("https://yandex.ru/maps/?&amp;text=58.842931, 36.428517", "58.842931, 36.428517")</f>
        <v/>
      </c>
      <c r="T217" s="2">
        <f>HYPERLINK("D:\venv_torgi\env\cache\objs_in_district/58.842931_36.428517.json", "58.842931_36.428517.json")</f>
        <v/>
      </c>
      <c r="U217" t="inlineStr">
        <is>
          <t xml:space="preserve">35:19:0102004:301 </t>
        </is>
      </c>
      <c r="V217" t="n">
        <v>1</v>
      </c>
      <c r="Y217" t="n">
        <v>0</v>
      </c>
      <c r="AA217" t="n">
        <v>0</v>
      </c>
      <c r="AB217" t="n">
        <v>0</v>
      </c>
    </row>
    <row r="218">
      <c r="A218" s="7" t="n">
        <v>216</v>
      </c>
      <c r="B218" t="n">
        <v>35</v>
      </c>
      <c r="C218" s="1" t="n">
        <v>213.7</v>
      </c>
      <c r="D218" s="2">
        <f>HYPERLINK("https://torgi.gov.ru/new/public/lots/lot/22000117350000000001_1/(lotInfo:info)", "22000117350000000001_1")</f>
        <v/>
      </c>
      <c r="E218" t="inlineStr">
        <is>
          <t>Нежилое помещение с кадастровым номером 35:19:0102004:300, площадью 213,7 кв. м., назначение: нежилое помещение, этаж - 1, расположенное по адресу: Российская Федерация, Вологодская область, Устюженский муниципальный район,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      </is>
      </c>
      <c r="F218" s="3" t="inlineStr">
        <is>
          <t>25.07.22 20:30</t>
        </is>
      </c>
      <c r="G218" t="inlineStr">
        <is>
          <t>Вологодская обл, г Устюжна, Торговая пл, д 13</t>
        </is>
      </c>
      <c r="H218" s="4" t="n">
        <v>930000</v>
      </c>
      <c r="I218" s="4" t="n">
        <v>4351.895180159102</v>
      </c>
      <c r="J218" t="inlineStr">
        <is>
          <t>Торговая, дом</t>
        </is>
      </c>
      <c r="K218" s="5" t="n">
        <v>4.52</v>
      </c>
      <c r="L218" s="4" t="n">
        <v>271.94</v>
      </c>
      <c r="M218" t="n">
        <v>963</v>
      </c>
      <c r="N218" s="6" t="n">
        <v>8712</v>
      </c>
      <c r="O218" t="n">
        <v>16</v>
      </c>
      <c r="Q218" t="inlineStr">
        <is>
          <t>EA</t>
        </is>
      </c>
      <c r="R218" t="inlineStr">
        <is>
          <t>М</t>
        </is>
      </c>
      <c r="S218" s="2">
        <f>HYPERLINK("https://yandex.ru/maps/?&amp;text=58.842931, 36.428517", "58.842931, 36.428517")</f>
        <v/>
      </c>
      <c r="T218" s="2">
        <f>HYPERLINK("D:\venv_torgi\env\cache\objs_in_district/58.842931_36.428517.json", "58.842931_36.428517.json")</f>
        <v/>
      </c>
      <c r="U218" t="inlineStr">
        <is>
          <t xml:space="preserve">35:19:0102004:300, </t>
        </is>
      </c>
      <c r="V218" t="n">
        <v>1</v>
      </c>
      <c r="Y218" t="n">
        <v>0</v>
      </c>
      <c r="AA218" t="n">
        <v>0</v>
      </c>
      <c r="AB218" t="n">
        <v>0</v>
      </c>
    </row>
    <row r="219">
      <c r="A219" s="7" t="n">
        <v>217</v>
      </c>
      <c r="B219" t="n">
        <v>35</v>
      </c>
      <c r="C219" s="1" t="n">
        <v>989</v>
      </c>
      <c r="D219" s="2">
        <f>HYPERLINK("https://torgi.gov.ru/new/public/lots/lot/22000003620000000002_1/(lotInfo:info)", "22000003620000000002_1")</f>
        <v/>
      </c>
      <c r="E219" t="inlineStr">
        <is>
          <t>Нежилое помещение общей площадью 989 кв.м., состоящее из 3-х помещений (частей):- помещение площадью 809,1 кв.м., помещение площадью 67,4 кв.м., и помещение площадью 112,5 кв.</t>
        </is>
      </c>
      <c r="F219" s="3" t="inlineStr">
        <is>
          <t>01.07.22 21:00</t>
        </is>
      </c>
      <c r="G219" t="inlineStr">
        <is>
          <t>Вологодская обл, г Бабаево, ул Ухтомского, д 21А, помещ 2</t>
        </is>
      </c>
      <c r="H219" s="4" t="n">
        <v>4570000</v>
      </c>
      <c r="I219" s="4" t="n">
        <v>4620.829120323559</v>
      </c>
      <c r="J219" t="inlineStr">
        <is>
          <t>Нежилое помещение</t>
        </is>
      </c>
      <c r="K219" s="5" t="n">
        <v>7.37</v>
      </c>
      <c r="L219" s="4" t="n">
        <v>210</v>
      </c>
      <c r="M219" t="n">
        <v>627</v>
      </c>
      <c r="N219" s="6" t="n">
        <v>11493</v>
      </c>
      <c r="O219" t="n">
        <v>22</v>
      </c>
      <c r="Q219" t="inlineStr">
        <is>
          <t>EA</t>
        </is>
      </c>
      <c r="R219" t="inlineStr">
        <is>
          <t>М</t>
        </is>
      </c>
      <c r="S219" s="2">
        <f>HYPERLINK("https://yandex.ru/maps/?&amp;text=59.386623, 35.951523", "59.386623, 35.951523")</f>
        <v/>
      </c>
      <c r="T219" s="2">
        <f>HYPERLINK("D:\venv_torgi\env\cache\objs_in_district/59.386623_35.951523.json", "59.386623_35.951523.json")</f>
        <v/>
      </c>
      <c r="U219" t="inlineStr">
        <is>
          <t xml:space="preserve">35:02:0103024:84, </t>
        </is>
      </c>
      <c r="V219" t="n">
        <v>1</v>
      </c>
      <c r="Y219" t="n">
        <v>0</v>
      </c>
      <c r="AA219" t="n">
        <v>0</v>
      </c>
      <c r="AB219" t="n">
        <v>0</v>
      </c>
    </row>
    <row r="220">
      <c r="A220" s="7" t="n">
        <v>218</v>
      </c>
      <c r="B220" t="n">
        <v>35</v>
      </c>
      <c r="C220" s="1" t="n">
        <v>53.1</v>
      </c>
      <c r="D220" s="2">
        <f>HYPERLINK("https://torgi.gov.ru/new/public/lots/lot/22000014030000000002_1/(lotInfo:info)", "22000014030000000002_1")</f>
        <v/>
      </c>
      <c r="E220" t="inlineStr">
        <is>
          <t>Проходная, назначение: нежилое, общая площадь 53,1 кв.м., этаж 1, номер на поэтажном плане 1 H, кадастровый номер: 35:04:0301011:345 (запись регистрации в Едином государственном реестре недвижимости от  05 июня 2012 года № 35-35-15/003/2012-104),  адрес объекта: Вологодская область, Вашкинский район, с. Липин Бор, ул. Ухтомского, д. 55.</t>
        </is>
      </c>
      <c r="F220" s="3" t="inlineStr">
        <is>
          <t>05.08.22 14:00</t>
        </is>
      </c>
      <c r="G220" t="inlineStr">
        <is>
          <t>Вологодская обл, село Липин Бор, ул Ухтомского, д 55а</t>
        </is>
      </c>
      <c r="H220" s="4" t="n">
        <v>264000</v>
      </c>
      <c r="I220" s="4" t="n">
        <v>4971.751412429378</v>
      </c>
      <c r="J220" t="inlineStr">
        <is>
          <t>Проходная</t>
        </is>
      </c>
      <c r="K220" s="5" t="n">
        <v>13.51</v>
      </c>
      <c r="M220" t="n">
        <v>368</v>
      </c>
      <c r="N220" s="6" t="n">
        <v>3286</v>
      </c>
      <c r="Q220" t="inlineStr">
        <is>
          <t>EA</t>
        </is>
      </c>
      <c r="R220" t="inlineStr">
        <is>
          <t>М</t>
        </is>
      </c>
      <c r="S220" s="2">
        <f>HYPERLINK("https://yandex.ru/maps/?&amp;text=60.258332, 37.977114", "60.258332, 37.977114")</f>
        <v/>
      </c>
      <c r="U220" t="inlineStr">
        <is>
          <t xml:space="preserve">35:04:0301011:345 </t>
        </is>
      </c>
      <c r="V220" t="n">
        <v>1</v>
      </c>
      <c r="Y220" t="n">
        <v>0</v>
      </c>
      <c r="AA220" t="n">
        <v>0</v>
      </c>
      <c r="AB220" t="n">
        <v>0</v>
      </c>
    </row>
    <row r="221">
      <c r="A221" s="7" t="n">
        <v>219</v>
      </c>
      <c r="B221" t="n">
        <v>35</v>
      </c>
      <c r="C221" s="1" t="n">
        <v>47.7</v>
      </c>
      <c r="D221" s="2">
        <f>HYPERLINK("https://torgi.gov.ru/new/public/lots/lot/22000054520000000002_9/(lotInfo:info)", "22000054520000000002_9")</f>
        <v/>
      </c>
      <c r="E221" t="inlineStr">
        <is>
          <t>Помещение, назначение: нежилое, 2 этаж, общая площадь 47,7 кв.м., кадастровый № 35:26:0201027:774 адрес (местонахождение) объекта: Вологодская область, Сокольский р-н, г Кадников, ул. Карла Маркса, 25 помещение 9</t>
        </is>
      </c>
      <c r="F221" s="3" t="inlineStr">
        <is>
          <t>18.04.22 14:00</t>
        </is>
      </c>
      <c r="G221" t="inlineStr">
        <is>
          <t>Вологодская обл, Сокольский р-н, г Кадников, ул Карла Маркса, д 25</t>
        </is>
      </c>
      <c r="H221" s="4" t="n">
        <v>244200</v>
      </c>
      <c r="I221" s="4" t="n">
        <v>5119.496855345912</v>
      </c>
      <c r="J221" t="inlineStr">
        <is>
          <t>Нежилое помещение</t>
        </is>
      </c>
      <c r="K221" s="5" t="n">
        <v>12.89</v>
      </c>
      <c r="M221" t="n">
        <v>397</v>
      </c>
      <c r="N221" s="6" t="n">
        <v>5186</v>
      </c>
      <c r="Q221" t="inlineStr">
        <is>
          <t>EA</t>
        </is>
      </c>
      <c r="R221" t="inlineStr">
        <is>
          <t>М</t>
        </is>
      </c>
      <c r="S221" s="2">
        <f>HYPERLINK("https://yandex.ru/maps/?&amp;text=59.5017289, 40.3428172", "59.5017289, 40.3428172")</f>
        <v/>
      </c>
      <c r="U221" t="inlineStr">
        <is>
          <t xml:space="preserve">35:26:0201027:774 </t>
        </is>
      </c>
      <c r="V221" t="n">
        <v>2</v>
      </c>
      <c r="Y221" t="n">
        <v>0</v>
      </c>
      <c r="AA221" t="n">
        <v>0</v>
      </c>
      <c r="AB221" t="n">
        <v>0</v>
      </c>
    </row>
    <row r="222">
      <c r="A222" s="7" t="n">
        <v>220</v>
      </c>
      <c r="B222" t="n">
        <v>35</v>
      </c>
      <c r="C222" s="1" t="n">
        <v>23.4</v>
      </c>
      <c r="D222" s="2">
        <f>HYPERLINK("https://torgi.gov.ru/new/public/lots/lot/22000054520000000002_8/(lotInfo:info)", "22000054520000000002_8")</f>
        <v/>
      </c>
      <c r="E222" t="inlineStr">
        <is>
          <t>Помещение, назначение: нежилое, 2 этаж, общая площадь 23,4 кв.м., кадастровый № 35:26:0201027:773 адрес (местонахождение) объекта: Вологодская область, Сокольский р-н, г Кадников, ул. Карла Маркса, 25 помещение 8</t>
        </is>
      </c>
      <c r="F222" s="3" t="inlineStr">
        <is>
          <t>18.04.22 14:00</t>
        </is>
      </c>
      <c r="G222" t="inlineStr">
        <is>
          <t>Вологодская обл, Сокольский р-н, г Кадников, ул Карла Маркса, д 25</t>
        </is>
      </c>
      <c r="H222" s="4" t="n">
        <v>120450</v>
      </c>
      <c r="I222" s="4" t="n">
        <v>5147.435897435897</v>
      </c>
      <c r="J222" t="inlineStr">
        <is>
          <t>Нежилое помещение</t>
        </is>
      </c>
      <c r="K222" s="5" t="n">
        <v>12.96</v>
      </c>
      <c r="M222" t="n">
        <v>397</v>
      </c>
      <c r="N222" s="6" t="n">
        <v>5186</v>
      </c>
      <c r="Q222" t="inlineStr">
        <is>
          <t>EA</t>
        </is>
      </c>
      <c r="R222" t="inlineStr">
        <is>
          <t>М</t>
        </is>
      </c>
      <c r="S222" s="2">
        <f>HYPERLINK("https://yandex.ru/maps/?&amp;text=59.5017289, 40.3428172", "59.5017289, 40.3428172")</f>
        <v/>
      </c>
      <c r="U222" t="inlineStr">
        <is>
          <t xml:space="preserve">35:26:0201027:773 </t>
        </is>
      </c>
      <c r="V222" t="n">
        <v>2</v>
      </c>
      <c r="Y222" t="n">
        <v>0</v>
      </c>
      <c r="AA222" t="n">
        <v>0</v>
      </c>
      <c r="AB222" t="n">
        <v>0</v>
      </c>
    </row>
    <row r="223">
      <c r="A223" s="7" t="n">
        <v>221</v>
      </c>
      <c r="B223" t="n">
        <v>35</v>
      </c>
      <c r="C223" s="1" t="n">
        <v>622.1</v>
      </c>
      <c r="D223" s="2">
        <f>HYPERLINK("https://torgi.gov.ru/new/public/lots/lot/22000036740000000002_1/(lotInfo:info)", "22000036740000000002_1")</f>
        <v/>
      </c>
      <c r="E223" t="inlineStr">
        <is>
          <t>Нежилое помещение с кад.№ 35:26:0202015:656, общей площадью 622,1 м2 , расположенного по адресу: Вологодская область, Сокольский район, г. Сокол, ул. Суворова, д.22.Помещение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      </is>
      </c>
      <c r="F223" s="3" t="inlineStr">
        <is>
          <t>27.04.22 14:00</t>
        </is>
      </c>
      <c r="G223" t="inlineStr">
        <is>
          <t>г Москва, ул Маршала Соколовского</t>
        </is>
      </c>
      <c r="H223" s="4" t="n">
        <v>3910000</v>
      </c>
      <c r="I223" s="4" t="n">
        <v>6285.163157048706</v>
      </c>
      <c r="J223" t="inlineStr">
        <is>
          <t>Нежилое помещение</t>
        </is>
      </c>
      <c r="K223" s="5" t="n">
        <v>0.59</v>
      </c>
      <c r="L223" s="4" t="inlineStr"/>
      <c r="M223" t="n">
        <v>10742</v>
      </c>
      <c r="N223" s="6" t="n">
        <v>12380664</v>
      </c>
      <c r="O223" t="inlineStr"/>
      <c r="Q223" t="inlineStr">
        <is>
          <t>EA</t>
        </is>
      </c>
      <c r="R223" t="inlineStr">
        <is>
          <t>М</t>
        </is>
      </c>
      <c r="S223" s="2">
        <f>HYPERLINK("https://yandex.ru/maps/?&amp;text=55.793571, 37.489284", "55.793571, 37.489284")</f>
        <v/>
      </c>
      <c r="T223" s="8">
        <f>HYPERLINK("D:\venv_torgi\env\cache\objs_in_district/55.793571_37.489284.json", "55.793571_37.489284.json")</f>
        <v/>
      </c>
      <c r="U223" t="inlineStr">
        <is>
          <t xml:space="preserve">35:26:0202015:656, </t>
        </is>
      </c>
      <c r="V223" t="n">
        <v>1</v>
      </c>
      <c r="Y223" t="n">
        <v>0</v>
      </c>
      <c r="AA223" t="n">
        <v>0</v>
      </c>
      <c r="AB223" t="n">
        <v>0</v>
      </c>
    </row>
    <row r="224">
      <c r="A224" s="7" t="n">
        <v>222</v>
      </c>
      <c r="B224" t="n">
        <v>35</v>
      </c>
      <c r="C224" s="1" t="n">
        <v>14.9</v>
      </c>
      <c r="D224" s="2">
        <f>HYPERLINK("https://torgi.gov.ru/new/public/lots/lot/21000009740000000007_1/(lotInfo:info)", "21000009740000000007_1")</f>
        <v/>
      </c>
      <c r="E224" t="inlineStr">
        <is>
          <t>нежилое помещение, кадастровый номер 35:23:0304007:332, площадью 14,9 кв.м., расположенное по адресу: Вологодская область, Шекснинский район, п. Шексна, ул. Гагарина, д. 9, пом. 1</t>
        </is>
      </c>
      <c r="F224" s="3" t="inlineStr">
        <is>
          <t>15.05.22 21:00</t>
        </is>
      </c>
      <c r="G224" t="inlineStr">
        <is>
          <t>Вологодская обл, рп Шексна, ул Гагарина, д 9</t>
        </is>
      </c>
      <c r="H224" s="4" t="n">
        <v>200000</v>
      </c>
      <c r="I224" s="4" t="n">
        <v>13422.81879194631</v>
      </c>
      <c r="J224" t="inlineStr">
        <is>
          <t>Нежилое помещение</t>
        </is>
      </c>
      <c r="K224" s="5" t="n">
        <v>10.29</v>
      </c>
      <c r="M224" t="n">
        <v>1304</v>
      </c>
      <c r="N224" s="6" t="n">
        <v>15230</v>
      </c>
      <c r="Q224" t="inlineStr">
        <is>
          <t>EA</t>
        </is>
      </c>
      <c r="R224" t="inlineStr">
        <is>
          <t>М</t>
        </is>
      </c>
      <c r="S224" s="2">
        <f>HYPERLINK("https://yandex.ru/maps/?&amp;text=59.206388, 38.499655", "59.206388, 38.499655")</f>
        <v/>
      </c>
      <c r="U224" t="inlineStr">
        <is>
          <t xml:space="preserve">35:23:0304007:332, </t>
        </is>
      </c>
      <c r="V224" t="n">
        <v>0</v>
      </c>
      <c r="Y224" t="n">
        <v>0</v>
      </c>
      <c r="AA224" t="n">
        <v>0</v>
      </c>
      <c r="AB224" t="n">
        <v>0</v>
      </c>
    </row>
    <row r="225">
      <c r="A225" s="7" t="n">
        <v>223</v>
      </c>
      <c r="B225" t="n">
        <v>35</v>
      </c>
      <c r="C225" s="1" t="n">
        <v>15.6</v>
      </c>
      <c r="D225" s="2">
        <f>HYPERLINK("https://torgi.gov.ru/new/public/lots/lot/21000002750000000021_1/(lotInfo:info)", "21000002750000000021_1")</f>
        <v/>
      </c>
      <c r="E225" t="inlineStr">
        <is>
          <t>нежилое помещение с кадастровым номером 35:24:0305017:1569 площадью 15,6 кв. м по адресу: Вологодская область, г. Вологда, ул. Прокатова, д. 5.</t>
        </is>
      </c>
      <c r="F225" s="3" t="inlineStr">
        <is>
          <t>27.04.22 12:00</t>
        </is>
      </c>
      <c r="G225" t="inlineStr">
        <is>
          <t>г Вологда, ул Прокатова, д 5</t>
        </is>
      </c>
      <c r="H225" s="4" t="n">
        <v>347000</v>
      </c>
      <c r="I225" s="4" t="n">
        <v>22243.58974358974</v>
      </c>
      <c r="J225" t="inlineStr">
        <is>
          <t>Нежилое помещение</t>
        </is>
      </c>
      <c r="K225" s="5" t="n">
        <v>6.08</v>
      </c>
      <c r="M225" t="n">
        <v>3658</v>
      </c>
      <c r="N225" s="6" t="n">
        <v>319408</v>
      </c>
      <c r="Q225" t="inlineStr">
        <is>
          <t>EA</t>
        </is>
      </c>
      <c r="R225" t="inlineStr">
        <is>
          <t>М</t>
        </is>
      </c>
      <c r="S225" s="2">
        <f>HYPERLINK("https://yandex.ru/maps/?&amp;text=59.217678, 39.91478", "59.217678, 39.91478")</f>
        <v/>
      </c>
      <c r="U225" t="inlineStr">
        <is>
          <t xml:space="preserve">35:24:0305017:1569 </t>
        </is>
      </c>
      <c r="V225" t="n">
        <v>0</v>
      </c>
      <c r="Y225" t="n">
        <v>0</v>
      </c>
      <c r="AA225" t="n">
        <v>0</v>
      </c>
      <c r="AB225" t="n">
        <v>0</v>
      </c>
    </row>
    <row r="226">
      <c r="A226" s="7" t="n">
        <v>224</v>
      </c>
      <c r="B226" t="n">
        <v>35</v>
      </c>
      <c r="C226" s="1" t="n">
        <v>16.6</v>
      </c>
      <c r="D226" s="2">
        <f>HYPERLINK("https://torgi.gov.ru/new/public/lots/lot/22000020350000000004_1/(lotInfo:info)", "22000020350000000004_1")</f>
        <v/>
      </c>
      <c r="E226" t="inlineStr">
        <is>
          <t>Нежилое помещение с кадастровым номером 35:10:0103004:218, площадью 16,6 кв.м., адрес (местоположение) объекта: Вологодская область, р-н Великоустюгский, г. Великий Устюг, ул. Шильниковского, д.40, к.11</t>
        </is>
      </c>
      <c r="F226" s="3" t="inlineStr">
        <is>
          <t>29.03.22 13:00</t>
        </is>
      </c>
      <c r="G226" t="inlineStr">
        <is>
          <t>Вологодская обл, г Великий Устюг, ул Шильниковского, д 40 к 11</t>
        </is>
      </c>
      <c r="H226" s="4" t="n">
        <v>392350</v>
      </c>
      <c r="I226" s="4" t="n">
        <v>23635.5421686747</v>
      </c>
      <c r="J226" t="inlineStr">
        <is>
          <t>Нежилое помещение</t>
        </is>
      </c>
      <c r="K226" s="5" t="n">
        <v>14.76</v>
      </c>
      <c r="M226" t="n">
        <v>1601</v>
      </c>
      <c r="N226" s="6" t="n">
        <v>31475</v>
      </c>
      <c r="Q226" t="inlineStr">
        <is>
          <t>EA</t>
        </is>
      </c>
      <c r="R226" t="inlineStr">
        <is>
          <t>М</t>
        </is>
      </c>
      <c r="S226" s="2">
        <f>HYPERLINK("https://yandex.ru/maps/?&amp;text=60.771307, 46.290654", "60.771307, 46.290654")</f>
        <v/>
      </c>
      <c r="U226" t="inlineStr">
        <is>
          <t xml:space="preserve">35:10:0103004:218, </t>
        </is>
      </c>
      <c r="V226" t="n">
        <v>0</v>
      </c>
      <c r="Y226" t="n">
        <v>0</v>
      </c>
      <c r="AA226" t="n">
        <v>0</v>
      </c>
      <c r="AB226" t="n">
        <v>0</v>
      </c>
    </row>
    <row r="227">
      <c r="A227" s="7" t="n">
        <v>225</v>
      </c>
      <c r="B227" t="n">
        <v>35</v>
      </c>
      <c r="C227" s="1" t="n">
        <v>23.9</v>
      </c>
      <c r="D227" s="2">
        <f>HYPERLINK("https://torgi.gov.ru/new/public/lots/lot/21000002750000000019_1/(lotInfo:info)", "21000002750000000019_1")</f>
        <v/>
      </c>
      <c r="E227" t="inlineStr">
        <is>
          <t>нежилое помещение с кадастровым номером 35:24:0305021:4167 площадью 23,9 кв. м по адресу: Вологодская область, г. Вологда, ул. Фрязиновская, д. 37. Нежилое помещение с кадастровым номером 35:24:0305021:4167 используется третьими лицами без договорных отношений.</t>
        </is>
      </c>
      <c r="F227" s="3" t="inlineStr">
        <is>
          <t>26.04.22 12:00</t>
        </is>
      </c>
      <c r="G227" t="inlineStr">
        <is>
          <t>г Вологда, ул Фрязиновская, д 37</t>
        </is>
      </c>
      <c r="H227" s="4" t="n">
        <v>679800</v>
      </c>
      <c r="I227" s="4" t="n">
        <v>28443.51464435147</v>
      </c>
      <c r="J227" t="inlineStr">
        <is>
          <t>Нежилое помещение</t>
        </is>
      </c>
      <c r="K227" s="5" t="n">
        <v>4.18</v>
      </c>
      <c r="L227" s="4" t="n">
        <v>1580.17</v>
      </c>
      <c r="M227" t="n">
        <v>6804</v>
      </c>
      <c r="N227" s="6" t="n">
        <v>319408</v>
      </c>
      <c r="O227" t="n">
        <v>18</v>
      </c>
      <c r="Q227" t="inlineStr">
        <is>
          <t>EA</t>
        </is>
      </c>
      <c r="R227" t="inlineStr">
        <is>
          <t>М</t>
        </is>
      </c>
      <c r="S227" s="2">
        <f>HYPERLINK("https://yandex.ru/maps/?&amp;text=59.223835, 39.936528", "59.223835, 39.936528")</f>
        <v/>
      </c>
      <c r="T227" s="2">
        <f>HYPERLINK("D:\venv_torgi\env\cache\objs_in_district/59.223835_39.936528.json", "59.223835_39.936528.json")</f>
        <v/>
      </c>
      <c r="U227" t="inlineStr">
        <is>
          <t xml:space="preserve">35:24:0305021:4167 </t>
        </is>
      </c>
      <c r="V227" t="n">
        <v>0</v>
      </c>
      <c r="Y227" t="n">
        <v>0</v>
      </c>
      <c r="AA227" t="n">
        <v>0</v>
      </c>
      <c r="AB227" t="n">
        <v>0</v>
      </c>
    </row>
    <row r="228">
      <c r="A228" s="7" t="n">
        <v>226</v>
      </c>
      <c r="B228" t="n">
        <v>35</v>
      </c>
      <c r="C228" s="1" t="n">
        <v>32.9</v>
      </c>
      <c r="D228" s="2">
        <f>HYPERLINK("https://torgi.gov.ru/new/public/lots/lot/21000002750000000022_1/(lotInfo:info)", "21000002750000000022_1")</f>
        <v/>
      </c>
      <c r="E228" t="inlineStr">
        <is>
          <t>нежилое помещение с кадастровым номером 35:24:0402007:4089 площадью 32,9 кв. м по адресу: Вологодская обл., г. Вологда, ул. Новгородская, д. 3.</t>
        </is>
      </c>
      <c r="F228" s="3" t="inlineStr">
        <is>
          <t>27.04.22 11:30</t>
        </is>
      </c>
      <c r="G228" t="inlineStr">
        <is>
          <t>г Вологда, ул Новгородская, д 3</t>
        </is>
      </c>
      <c r="H228" s="4" t="n">
        <v>1854000</v>
      </c>
      <c r="I228" s="4" t="n">
        <v>56352.58358662614</v>
      </c>
      <c r="J228" t="inlineStr">
        <is>
          <t>Нежилое помещение</t>
        </is>
      </c>
      <c r="K228" s="5" t="n">
        <v>16.51</v>
      </c>
      <c r="L228" s="4" t="n">
        <v>3314.82</v>
      </c>
      <c r="M228" t="n">
        <v>3414</v>
      </c>
      <c r="N228" s="6" t="n">
        <v>319408</v>
      </c>
      <c r="O228" t="n">
        <v>17</v>
      </c>
      <c r="Q228" t="inlineStr">
        <is>
          <t>EA</t>
        </is>
      </c>
      <c r="R228" t="inlineStr">
        <is>
          <t>М</t>
        </is>
      </c>
      <c r="S228" s="2">
        <f>HYPERLINK("https://yandex.ru/maps/?&amp;text=59.204586, 39.843536", "59.204586, 39.843536")</f>
        <v/>
      </c>
      <c r="T228" s="2">
        <f>HYPERLINK("D:\venv_torgi\env\cache\objs_in_district/59.204586_39.843536.json", "59.204586_39.843536.json")</f>
        <v/>
      </c>
      <c r="U228" t="inlineStr">
        <is>
          <t xml:space="preserve">35:24:0402007:4089 </t>
        </is>
      </c>
      <c r="V228" t="n">
        <v>0</v>
      </c>
      <c r="Y228" t="n">
        <v>0</v>
      </c>
      <c r="AA228" t="n">
        <v>0</v>
      </c>
      <c r="AB228" t="n">
        <v>0</v>
      </c>
    </row>
    <row r="229">
      <c r="A229" s="7" t="n">
        <v>227</v>
      </c>
      <c r="B229" t="n">
        <v>36</v>
      </c>
      <c r="C229" s="1" t="n">
        <v>157</v>
      </c>
      <c r="D229" s="2">
        <f>HYPERLINK("https://torgi.gov.ru/new/public/lots/lot/22000022930000000035_2/(lotInfo:info)", "22000022930000000035_2")</f>
        <v/>
      </c>
      <c r="E229" t="inlineStr">
        <is>
          <t>Нежилое помещение 1, назначение: нежилое помещение, площадь 157,0 кв.м, этаж № 1, кадастровый номер: 36:34:0502004:276, расположенное по адресу: г. Воронеж, ул. Кемеровская, д. 50, пом.1. Свободное</t>
        </is>
      </c>
      <c r="F229" s="3" t="inlineStr">
        <is>
          <t>04.08.22 13:00</t>
        </is>
      </c>
      <c r="G229" t="inlineStr">
        <is>
          <t>г Воронеж, ул Кемеровская, д 50</t>
        </is>
      </c>
      <c r="H229" s="4" t="n">
        <v>375000</v>
      </c>
      <c r="I229" s="4" t="n">
        <v>2388.535031847134</v>
      </c>
      <c r="J229" t="inlineStr">
        <is>
          <t>Нежилое помещение</t>
        </is>
      </c>
      <c r="K229" s="5" t="n">
        <v>1.22</v>
      </c>
      <c r="M229" t="n">
        <v>1952</v>
      </c>
      <c r="N229" s="6" t="n">
        <v>1054111</v>
      </c>
      <c r="Q229" t="inlineStr">
        <is>
          <t>BOC</t>
        </is>
      </c>
      <c r="R229" t="inlineStr">
        <is>
          <t>М</t>
        </is>
      </c>
      <c r="S229" s="2">
        <f>HYPERLINK("https://yandex.ru/maps/?&amp;text=51.6789, 39.069942", "51.6789, 39.069942")</f>
        <v/>
      </c>
      <c r="U229" t="inlineStr">
        <is>
          <t xml:space="preserve">36:34:0502004:276, </t>
        </is>
      </c>
      <c r="V229" t="n">
        <v>1</v>
      </c>
      <c r="Y229" t="n">
        <v>0</v>
      </c>
      <c r="AA229" t="n">
        <v>0</v>
      </c>
      <c r="AB229" t="n">
        <v>0</v>
      </c>
    </row>
    <row r="230">
      <c r="A230" s="7" t="n">
        <v>228</v>
      </c>
      <c r="B230" t="n">
        <v>36</v>
      </c>
      <c r="C230" s="1" t="n">
        <v>58.9</v>
      </c>
      <c r="D230" s="2">
        <f>HYPERLINK("https://torgi.gov.ru/new/public/lots/lot/21000029510000000001_8/(lotInfo:info)", "21000029510000000001_8")</f>
        <v/>
      </c>
      <c r="E230" t="inlineStr">
        <is>
          <t>Встроенное помещение. Фундамент - Ж/Б блоки, стены (перегородки) - кирпичные, перекрытия - железобетонные, кровля - совмещенная, шиферная, внутренняя отделка - штукатурка, покраска, инженерное обеспечение - электроснабжение, местное отопление</t>
        </is>
      </c>
      <c r="F230" s="3" t="inlineStr">
        <is>
          <t>14.07.22 11:00</t>
        </is>
      </c>
      <c r="G230" t="inlineStr">
        <is>
          <t>Воронежская обл, Таловский р-н, село Синявка, ул Советская, зд 29</t>
        </is>
      </c>
      <c r="H230" s="4" t="n">
        <v>363710</v>
      </c>
      <c r="I230" s="4" t="n">
        <v>6175.042444821732</v>
      </c>
      <c r="J230" t="inlineStr">
        <is>
          <t>Нежилое помещение</t>
        </is>
      </c>
      <c r="K230" s="5" t="n">
        <v>42.88</v>
      </c>
      <c r="M230" t="n">
        <v>144</v>
      </c>
      <c r="N230" s="6" t="n">
        <v>795</v>
      </c>
      <c r="Q230" t="inlineStr">
        <is>
          <t>EA</t>
        </is>
      </c>
      <c r="R230" t="inlineStr">
        <is>
          <t>М</t>
        </is>
      </c>
      <c r="S230" s="2">
        <f>HYPERLINK("https://yandex.ru/maps/?&amp;text=51.2544504, 40.9894675", "51.2544504, 40.9894675")</f>
        <v/>
      </c>
      <c r="U230" t="inlineStr">
        <is>
          <t xml:space="preserve">36:29:7300012:230, </t>
        </is>
      </c>
      <c r="V230" t="n">
        <v>0</v>
      </c>
      <c r="Y230" t="n">
        <v>0</v>
      </c>
      <c r="AA230" t="n">
        <v>0</v>
      </c>
      <c r="AB230" t="n">
        <v>0</v>
      </c>
    </row>
    <row r="231">
      <c r="A231" s="7" t="n">
        <v>229</v>
      </c>
      <c r="B231" t="n">
        <v>36</v>
      </c>
      <c r="C231" s="1" t="n">
        <v>485</v>
      </c>
      <c r="D231" s="2">
        <f>HYPERLINK("https://torgi.gov.ru/new/public/lots/lot/22000022930000000009_1/(lotInfo:info)", "22000022930000000009_1")</f>
        <v/>
      </c>
      <c r="E231" t="inlineStr">
        <is>
          <t>Нежилое помещение 6, назначение: нежилое, площадь 485,0 кв.м, цокольный этаж, кадастровый номер: 36:34:0203008:9034, расположенное по адресу: г. Воронеж, ул. 60 Армии, д. 4, пом. 6. Свободное</t>
        </is>
      </c>
      <c r="F231" s="3" t="inlineStr">
        <is>
          <t>18.03.22 13:00</t>
        </is>
      </c>
      <c r="G231" t="inlineStr">
        <is>
          <t>г Воронеж, ул 60 Армии, д 4</t>
        </is>
      </c>
      <c r="H231" s="4" t="n">
        <v>3200000</v>
      </c>
      <c r="I231" s="4" t="n">
        <v>6597.938144329897</v>
      </c>
      <c r="J231" t="inlineStr">
        <is>
          <t>Нежилое помещение</t>
        </is>
      </c>
      <c r="K231" s="5" t="n">
        <v>0.87</v>
      </c>
      <c r="L231" s="4" t="n">
        <v>66.64</v>
      </c>
      <c r="M231" t="n">
        <v>7590</v>
      </c>
      <c r="N231" s="6" t="n">
        <v>1054111</v>
      </c>
      <c r="O231" t="n">
        <v>99</v>
      </c>
      <c r="Q231" t="inlineStr">
        <is>
          <t>BOC</t>
        </is>
      </c>
      <c r="R231" t="inlineStr">
        <is>
          <t>М</t>
        </is>
      </c>
      <c r="S231" s="2">
        <f>HYPERLINK("https://yandex.ru/maps/?&amp;text=51.703472, 39.161947", "51.703472, 39.161947")</f>
        <v/>
      </c>
      <c r="T231" s="2">
        <f>HYPERLINK("D:\venv_torgi\env\cache\objs_in_district/51.703472_39.161947.json", "51.703472_39.161947.json")</f>
        <v/>
      </c>
      <c r="U231" t="inlineStr">
        <is>
          <t xml:space="preserve">36:34:0203008:9034, </t>
        </is>
      </c>
      <c r="V231" t="n">
        <v>0</v>
      </c>
      <c r="Y231" t="n">
        <v>0</v>
      </c>
      <c r="AA231" t="n">
        <v>0</v>
      </c>
      <c r="AB231" t="n">
        <v>0</v>
      </c>
    </row>
    <row r="232">
      <c r="A232" s="7" t="n">
        <v>230</v>
      </c>
      <c r="B232" t="n">
        <v>36</v>
      </c>
      <c r="C232" s="1" t="n">
        <v>66.5</v>
      </c>
      <c r="D232" s="2">
        <f>HYPERLINK("https://torgi.gov.ru/new/public/lots/lot/21000031780000000003_1/(lotInfo:info)", "21000031780000000003_1")</f>
        <v/>
      </c>
      <c r="E232" t="inlineStr">
        <is>
          <t>нежилое помещение IV , кадастровый номер 36:11:0100017:78 общ. пл. 66,5 кв. м., расположенного по адресу: Воронежская область, Каменский район, пгт Каменка, ул. Ленина, д.4 пом. 4,</t>
        </is>
      </c>
      <c r="F232" s="3" t="inlineStr">
        <is>
          <t>20.04.22 13:00</t>
        </is>
      </c>
      <c r="G232" t="inlineStr">
        <is>
          <t>Воронежская обл, пгт Каменка, ул Ленина, д 4</t>
        </is>
      </c>
      <c r="H232" s="4" t="n">
        <v>612000</v>
      </c>
      <c r="I232" s="4" t="n">
        <v>9203.007518796992</v>
      </c>
      <c r="J232" t="inlineStr">
        <is>
          <t>Нежилое помещение</t>
        </is>
      </c>
      <c r="K232" s="5" t="n">
        <v>9.699999999999999</v>
      </c>
      <c r="L232" s="4" t="n">
        <v>184.06</v>
      </c>
      <c r="M232" t="n">
        <v>949</v>
      </c>
      <c r="N232" s="6" t="n">
        <v>43176</v>
      </c>
      <c r="O232" t="n">
        <v>50</v>
      </c>
      <c r="Q232" t="inlineStr">
        <is>
          <t>BOC</t>
        </is>
      </c>
      <c r="R232" t="inlineStr">
        <is>
          <t>М</t>
        </is>
      </c>
      <c r="S232" s="2">
        <f>HYPERLINK("https://yandex.ru/maps/?&amp;text=50.712498, 39.43391", "50.712498, 39.43391")</f>
        <v/>
      </c>
      <c r="T232" s="2">
        <f>HYPERLINK("D:\venv_torgi\env\cache\objs_in_district/50.712498_39.43391.json", "50.712498_39.43391.json")</f>
        <v/>
      </c>
      <c r="U232" t="inlineStr">
        <is>
          <t xml:space="preserve">36:11:0100017:78 </t>
        </is>
      </c>
      <c r="V232" t="n">
        <v>1</v>
      </c>
      <c r="Y232" t="n">
        <v>0</v>
      </c>
      <c r="AA232" t="n">
        <v>0</v>
      </c>
      <c r="AB232" t="n">
        <v>0</v>
      </c>
    </row>
    <row r="233">
      <c r="A233" s="7" t="n">
        <v>231</v>
      </c>
      <c r="B233" t="n">
        <v>36</v>
      </c>
      <c r="C233" s="1" t="n">
        <v>20.3</v>
      </c>
      <c r="D233" s="2">
        <f>HYPERLINK("https://torgi.gov.ru/new/public/lots/lot/21000031780000000022_11/(lotInfo:info)", "21000031780000000022_11")</f>
        <v/>
      </c>
      <c r="E233" t="inlineStr">
        <is>
          <t>ЛОТ №11: торги – нежилое здание, общ. пл. 20, 3 кв.м, кадастровый номер 36:34:0404041:62, расположенное по адресу: г. Воронеж, ул. Челюскинцев, д. 31 в пом. 32 – принадлежащее должнику Иншакову А.А.</t>
        </is>
      </c>
      <c r="F233" s="3" t="inlineStr">
        <is>
          <t>11.07.22 13:00</t>
        </is>
      </c>
      <c r="G233" t="inlineStr">
        <is>
          <t>г Воронеж, ул Челюскинцев, д 31В</t>
        </is>
      </c>
      <c r="H233" s="4" t="n">
        <v>243486</v>
      </c>
      <c r="I233" s="4" t="n">
        <v>11994.3842364532</v>
      </c>
      <c r="J233" t="inlineStr">
        <is>
          <t>жилое здание</t>
        </is>
      </c>
      <c r="K233" s="5" t="n">
        <v>2.23</v>
      </c>
      <c r="M233" t="n">
        <v>5388</v>
      </c>
      <c r="N233" s="6" t="n">
        <v>1054111</v>
      </c>
      <c r="Q233" t="inlineStr">
        <is>
          <t>EA</t>
        </is>
      </c>
      <c r="R233" t="inlineStr">
        <is>
          <t>Д</t>
        </is>
      </c>
      <c r="S233" s="2">
        <f>HYPERLINK("https://yandex.ru/maps/?&amp;text=51.6413994, 39.2002442", "51.6413994, 39.2002442")</f>
        <v/>
      </c>
      <c r="U233" t="inlineStr">
        <is>
          <t xml:space="preserve">36:34:0404041:62, </t>
        </is>
      </c>
      <c r="V233" t="n">
        <v>0</v>
      </c>
      <c r="Y233" t="n">
        <v>0</v>
      </c>
      <c r="AA233" t="n">
        <v>0</v>
      </c>
      <c r="AB233" t="n">
        <v>0</v>
      </c>
    </row>
    <row r="234">
      <c r="A234" s="7" t="n">
        <v>232</v>
      </c>
      <c r="B234" t="n">
        <v>36</v>
      </c>
      <c r="C234" s="1" t="n">
        <v>262.1</v>
      </c>
      <c r="D234" s="2">
        <f>HYPERLINK("https://torgi.gov.ru/new/public/lots/lot/21000023350000000002_1/(lotInfo:info)", "21000023350000000002_1")</f>
        <v/>
      </c>
      <c r="E234" t="inlineStr">
        <is>
          <t>Нежилое помещение, назначение: нежилое, этаж №2, площадь 262,1 кв.м, кадастровый номер 36:27:0011802:221, расположенное по адресу: Воронежская область, г. Россошь, ул. Белинского, д. 20к, пом. 1б</t>
        </is>
      </c>
      <c r="F234" s="3" t="inlineStr">
        <is>
          <t>11.03.22 07:00</t>
        </is>
      </c>
      <c r="G234" t="inlineStr">
        <is>
          <t>Воронежская обл, г Россошь, ул Белинского, д 20К</t>
        </is>
      </c>
      <c r="H234" s="4" t="n">
        <v>3802056.12</v>
      </c>
      <c r="I234" s="4" t="n">
        <v>14506.12789011827</v>
      </c>
      <c r="J234" t="inlineStr">
        <is>
          <t>Нежилое помещение</t>
        </is>
      </c>
      <c r="K234" s="5" t="n">
        <v>4.03</v>
      </c>
      <c r="L234" s="4" t="n">
        <v>183.62</v>
      </c>
      <c r="M234" t="n">
        <v>3602</v>
      </c>
      <c r="N234" s="6" t="n">
        <v>62716</v>
      </c>
      <c r="O234" t="n">
        <v>79</v>
      </c>
      <c r="Q234" t="inlineStr">
        <is>
          <t>EA</t>
        </is>
      </c>
      <c r="R234" t="inlineStr">
        <is>
          <t>М</t>
        </is>
      </c>
      <c r="S234" s="2">
        <f>HYPERLINK("https://yandex.ru/maps/?&amp;text=50.196065, 39.573052", "50.196065, 39.573052")</f>
        <v/>
      </c>
      <c r="T234" s="2">
        <f>HYPERLINK("D:\venv_torgi\env\cache\objs_in_district/50.196065_39.573052.json", "50.196065_39.573052.json")</f>
        <v/>
      </c>
      <c r="U234" t="inlineStr">
        <is>
          <t xml:space="preserve">36:27:0011802:221, </t>
        </is>
      </c>
      <c r="V234" t="n">
        <v>2</v>
      </c>
      <c r="Y234" t="n">
        <v>0</v>
      </c>
      <c r="AA234" t="n">
        <v>0</v>
      </c>
      <c r="AB234" t="n">
        <v>0</v>
      </c>
    </row>
    <row r="235">
      <c r="A235" s="7" t="n">
        <v>233</v>
      </c>
      <c r="B235" t="n">
        <v>36</v>
      </c>
      <c r="C235" s="1" t="n">
        <v>30.2</v>
      </c>
      <c r="D235" s="2">
        <f>HYPERLINK("https://torgi.gov.ru/new/public/lots/lot/22000008510000000003_1/(lotInfo:info)", "22000008510000000003_1")</f>
        <v/>
      </c>
      <c r="E235" t="inlineStr">
        <is>
          <t>Помещение, назначение: нежилое, площадью 30,2 кв.м., с кадастровым номером 36:02:0100118:109, расположенное по адресу: Воронежская область, Бобровский район, г. Бобров, ул. 3 Интернационала, д. 43, кв. 3</t>
        </is>
      </c>
      <c r="F235" s="3" t="inlineStr">
        <is>
          <t>29.06.22 09:00</t>
        </is>
      </c>
      <c r="G235" t="inlineStr">
        <is>
          <t>Воронежская обл, г Бобров, ул 3 Интернационала, д 43</t>
        </is>
      </c>
      <c r="H235" s="4" t="n">
        <v>500000</v>
      </c>
      <c r="I235" s="4" t="n">
        <v>16556.29139072848</v>
      </c>
      <c r="J235" t="inlineStr">
        <is>
          <t>Нежилое помещение</t>
        </is>
      </c>
      <c r="K235" s="5" t="n">
        <v>11.3</v>
      </c>
      <c r="L235" s="4" t="n">
        <v>367.91</v>
      </c>
      <c r="M235" t="n">
        <v>1465</v>
      </c>
      <c r="N235" s="6" t="n">
        <v>20238</v>
      </c>
      <c r="O235" t="n">
        <v>45</v>
      </c>
      <c r="Q235" t="inlineStr">
        <is>
          <t>EA</t>
        </is>
      </c>
      <c r="R235" t="inlineStr">
        <is>
          <t>М</t>
        </is>
      </c>
      <c r="S235" s="2">
        <f>HYPERLINK("https://yandex.ru/maps/?&amp;text=51.095874, 40.039853", "51.095874, 40.039853")</f>
        <v/>
      </c>
      <c r="T235" s="2">
        <f>HYPERLINK("D:\venv_torgi\env\cache\objs_in_district/51.095874_40.039853.json", "51.095874_40.039853.json")</f>
        <v/>
      </c>
      <c r="U235" t="inlineStr">
        <is>
          <t xml:space="preserve">36:02:0100118:109, </t>
        </is>
      </c>
      <c r="V235" t="n">
        <v>1</v>
      </c>
      <c r="Y235" t="n">
        <v>0</v>
      </c>
      <c r="AA235" t="n">
        <v>0</v>
      </c>
      <c r="AB235" t="n">
        <v>0</v>
      </c>
    </row>
    <row r="236">
      <c r="A236" s="7" t="n">
        <v>234</v>
      </c>
      <c r="B236" t="n">
        <v>36</v>
      </c>
      <c r="C236" s="1" t="n">
        <v>34.2</v>
      </c>
      <c r="D236" s="2">
        <f>HYPERLINK("https://torgi.gov.ru/new/public/lots/lot/22000008510000000002_1/(lotInfo:info)", "22000008510000000002_1")</f>
        <v/>
      </c>
      <c r="E236" t="inlineStr">
        <is>
          <t>Помещение, назначение: нежилое, площадью 34,2 кв.м., с кадастровым номером 36:02:0100118:43, расположенное по адресу: Воронежская область, Бобровский район, г. Бобров, ул. 3 Интернационала, д. 43, кв. 4</t>
        </is>
      </c>
      <c r="F236" s="3" t="inlineStr">
        <is>
          <t>29.06.22 09:00</t>
        </is>
      </c>
      <c r="G236" t="inlineStr">
        <is>
          <t>Воронежская обл, г Бобров, ул 3 Интернационала, д 43</t>
        </is>
      </c>
      <c r="H236" s="4" t="n">
        <v>600000</v>
      </c>
      <c r="I236" s="4" t="n">
        <v>17543.85964912281</v>
      </c>
      <c r="J236" t="inlineStr">
        <is>
          <t>Нежилое помещение</t>
        </is>
      </c>
      <c r="K236" s="5" t="n">
        <v>11.97</v>
      </c>
      <c r="L236" s="4" t="n">
        <v>389.84</v>
      </c>
      <c r="M236" t="n">
        <v>1465</v>
      </c>
      <c r="N236" s="6" t="n">
        <v>20238</v>
      </c>
      <c r="O236" t="n">
        <v>45</v>
      </c>
      <c r="Q236" t="inlineStr">
        <is>
          <t>EA</t>
        </is>
      </c>
      <c r="R236" t="inlineStr">
        <is>
          <t>М</t>
        </is>
      </c>
      <c r="S236" s="2">
        <f>HYPERLINK("https://yandex.ru/maps/?&amp;text=51.095874, 40.039853", "51.095874, 40.039853")</f>
        <v/>
      </c>
      <c r="T236" s="2">
        <f>HYPERLINK("D:\venv_torgi\env\cache\objs_in_district/51.095874_40.039853.json", "51.095874_40.039853.json")</f>
        <v/>
      </c>
      <c r="U236" t="inlineStr">
        <is>
          <t xml:space="preserve">36:02:0100118:43, </t>
        </is>
      </c>
      <c r="V236" t="n">
        <v>1</v>
      </c>
      <c r="Y236" t="n">
        <v>0</v>
      </c>
      <c r="AA236" t="n">
        <v>0</v>
      </c>
      <c r="AB236" t="n">
        <v>0</v>
      </c>
    </row>
    <row r="237">
      <c r="A237" s="7" t="n">
        <v>235</v>
      </c>
      <c r="B237" t="n">
        <v>36</v>
      </c>
      <c r="C237" s="1" t="n">
        <v>79.59999999999999</v>
      </c>
      <c r="D237" s="2">
        <f>HYPERLINK("https://torgi.gov.ru/new/public/lots/lot/21000023350000000001_1/(lotInfo:info)", "21000023350000000001_1")</f>
        <v/>
      </c>
      <c r="E237" t="inlineStr">
        <is>
          <t>Нежилое помещение, назначение: нежилое, этаж №1, площадь 79,6 кв.м, кадастровый номер 36:27:0011802:220, расположенное по адресу: Воронежская область, г. Россошь, ул. Белинского, д. 20к, пом. 1а</t>
        </is>
      </c>
      <c r="F237" s="3" t="inlineStr">
        <is>
          <t>11.03.22 07:00</t>
        </is>
      </c>
      <c r="G237" t="inlineStr">
        <is>
          <t>Воронежская обл, г Россошь, ул Белинского, д 20К</t>
        </is>
      </c>
      <c r="H237" s="4" t="n">
        <v>1548963.27</v>
      </c>
      <c r="I237" s="4" t="n">
        <v>19459.33756281407</v>
      </c>
      <c r="J237" t="inlineStr">
        <is>
          <t>Нежилое помещение</t>
        </is>
      </c>
      <c r="K237" s="5" t="n">
        <v>5.4</v>
      </c>
      <c r="L237" s="4" t="n">
        <v>246.32</v>
      </c>
      <c r="M237" t="n">
        <v>3602</v>
      </c>
      <c r="N237" s="6" t="n">
        <v>62716</v>
      </c>
      <c r="O237" t="n">
        <v>79</v>
      </c>
      <c r="Q237" t="inlineStr">
        <is>
          <t>EA</t>
        </is>
      </c>
      <c r="R237" t="inlineStr">
        <is>
          <t>М</t>
        </is>
      </c>
      <c r="S237" s="2">
        <f>HYPERLINK("https://yandex.ru/maps/?&amp;text=50.196065, 39.573052", "50.196065, 39.573052")</f>
        <v/>
      </c>
      <c r="T237" s="2">
        <f>HYPERLINK("D:\venv_torgi\env\cache\objs_in_district/50.196065_39.573052.json", "50.196065_39.573052.json")</f>
        <v/>
      </c>
      <c r="U237" t="inlineStr">
        <is>
          <t xml:space="preserve">36:27:0011802:220, </t>
        </is>
      </c>
      <c r="V237" t="n">
        <v>1</v>
      </c>
      <c r="Y237" t="n">
        <v>0</v>
      </c>
      <c r="AA237" t="n">
        <v>0</v>
      </c>
      <c r="AB237" t="n">
        <v>0</v>
      </c>
    </row>
    <row r="238">
      <c r="A238" s="7" t="n">
        <v>236</v>
      </c>
      <c r="B238" t="n">
        <v>36</v>
      </c>
      <c r="C238" s="1" t="n">
        <v>105.8</v>
      </c>
      <c r="D238" s="2">
        <f>HYPERLINK("https://torgi.gov.ru/new/public/lots/lot/21000035130000000005_1/(lotInfo:info)", "21000035130000000005_1")</f>
        <v/>
      </c>
      <c r="E238" t="inlineStr">
        <is>
          <t>Нежилое помещение с кадастровым номером 36:04:0103069:2651</t>
        </is>
      </c>
      <c r="F238" s="3" t="inlineStr">
        <is>
          <t>20.07.22 13:00</t>
        </is>
      </c>
      <c r="G238" t="inlineStr">
        <is>
          <t>Воронежская обл, г Борисоглебск, мкр Юго-Восточный, зд 6а</t>
        </is>
      </c>
      <c r="H238" s="4" t="n">
        <v>2708820</v>
      </c>
      <c r="I238" s="4" t="n">
        <v>25603.21361058601</v>
      </c>
      <c r="J238" t="inlineStr">
        <is>
          <t>Нежилое помещение</t>
        </is>
      </c>
      <c r="K238" s="5" t="n">
        <v>16.83</v>
      </c>
      <c r="L238" s="4" t="n">
        <v>2844.78</v>
      </c>
      <c r="M238" t="n">
        <v>1521</v>
      </c>
      <c r="N238" s="6" t="n">
        <v>60878</v>
      </c>
      <c r="O238" t="n">
        <v>9</v>
      </c>
      <c r="Q238" t="inlineStr">
        <is>
          <t>EA</t>
        </is>
      </c>
      <c r="R238" t="inlineStr">
        <is>
          <t>М</t>
        </is>
      </c>
      <c r="S238" s="2">
        <f>HYPERLINK("https://yandex.ru/maps/?&amp;text=51.348079, 42.131122", "51.348079, 42.131122")</f>
        <v/>
      </c>
      <c r="T238" s="2">
        <f>HYPERLINK("D:\venv_torgi\env\cache\objs_in_district/51.348079_42.131122.json", "51.348079_42.131122.json")</f>
        <v/>
      </c>
      <c r="U238" t="inlineStr">
        <is>
          <t>36:04:0103069:2651</t>
        </is>
      </c>
      <c r="V238" t="n">
        <v>0</v>
      </c>
      <c r="Y238" t="n">
        <v>0</v>
      </c>
      <c r="AA238" t="n">
        <v>0</v>
      </c>
      <c r="AB238" t="n">
        <v>0</v>
      </c>
    </row>
    <row r="239">
      <c r="A239" s="7" t="n">
        <v>237</v>
      </c>
      <c r="B239" t="n">
        <v>36</v>
      </c>
      <c r="C239" s="1" t="n">
        <v>28.7</v>
      </c>
      <c r="D239" s="2">
        <f>HYPERLINK("https://torgi.gov.ru/new/public/lots/lot/22000022930000000029_10/(lotInfo:info)", "22000022930000000029_10")</f>
        <v/>
      </c>
      <c r="E239" t="inlineStr">
        <is>
          <t>Нежилое помещение, назначение: нежилое, площадь 28,7 кв.м, этаж № 1, кадастровый номер: 36:34:0606001:481, расположенное по адресу: г. Воронеж, ул. Революции 1905 года, д. 16, пом. 4. Свободное</t>
        </is>
      </c>
      <c r="F239" s="3" t="inlineStr">
        <is>
          <t>08.07.22 13:00</t>
        </is>
      </c>
      <c r="G239" t="inlineStr">
        <is>
          <t>г Воронеж, ул Революции 1905 года, д 16</t>
        </is>
      </c>
      <c r="H239" s="4" t="n">
        <v>770833</v>
      </c>
      <c r="I239" s="4" t="n">
        <v>26858.29268292683</v>
      </c>
      <c r="J239" t="inlineStr">
        <is>
          <t>Нежилое помещение</t>
        </is>
      </c>
      <c r="K239" s="5" t="n">
        <v>2.85</v>
      </c>
      <c r="L239" s="4" t="n">
        <v>282.72</v>
      </c>
      <c r="M239" t="n">
        <v>9423</v>
      </c>
      <c r="N239" s="6" t="n">
        <v>1054111</v>
      </c>
      <c r="O239" t="n">
        <v>95</v>
      </c>
      <c r="Q239" t="inlineStr">
        <is>
          <t>EA</t>
        </is>
      </c>
      <c r="R239" t="inlineStr">
        <is>
          <t>М</t>
        </is>
      </c>
      <c r="S239" s="2">
        <f>HYPERLINK("https://yandex.ru/maps/?&amp;text=51.673546, 39.197495", "51.673546, 39.197495")</f>
        <v/>
      </c>
      <c r="T239" s="2">
        <f>HYPERLINK("D:\venv_torgi\env\cache\objs_in_district/51.673546_39.197495.json", "51.673546_39.197495.json")</f>
        <v/>
      </c>
      <c r="U239" t="inlineStr">
        <is>
          <t xml:space="preserve">36:34:0606001:481, </t>
        </is>
      </c>
      <c r="V239" t="n">
        <v>1</v>
      </c>
      <c r="Y239" t="n">
        <v>0</v>
      </c>
      <c r="AA239" t="n">
        <v>0</v>
      </c>
      <c r="AB239" t="n">
        <v>0</v>
      </c>
    </row>
    <row r="240">
      <c r="A240" s="7" t="n">
        <v>238</v>
      </c>
      <c r="B240" t="n">
        <v>36</v>
      </c>
      <c r="C240" s="1" t="n">
        <v>161.3</v>
      </c>
      <c r="D240" s="2">
        <f>HYPERLINK("https://torgi.gov.ru/new/public/lots/lot/21000033070000000002_1/(lotInfo:info)", "21000033070000000002_1")</f>
        <v/>
      </c>
      <c r="E240" t="inlineStr">
        <is>
          <t>Площадь - 161,3 кв.м, адрес (местонахождение): г. Воронеж, ул. Ворошилова, 7</t>
        </is>
      </c>
      <c r="F240" s="3" t="inlineStr">
        <is>
          <t>25.05.22 13:00</t>
        </is>
      </c>
      <c r="G240" t="inlineStr">
        <is>
          <t>г Воронеж, ул Ворошилова, д 7</t>
        </is>
      </c>
      <c r="H240" s="4" t="n">
        <v>6987500</v>
      </c>
      <c r="I240" s="4" t="n">
        <v>43319.90080595164</v>
      </c>
      <c r="J240" t="inlineStr">
        <is>
          <t>Нежилое помещение</t>
        </is>
      </c>
      <c r="K240" s="5" t="n">
        <v>6.71</v>
      </c>
      <c r="L240" s="4" t="n">
        <v>364.03</v>
      </c>
      <c r="M240" t="n">
        <v>6456</v>
      </c>
      <c r="N240" s="6" t="n">
        <v>1054111</v>
      </c>
      <c r="O240" t="n">
        <v>119</v>
      </c>
      <c r="Q240" t="inlineStr">
        <is>
          <t>EA</t>
        </is>
      </c>
      <c r="R240" t="inlineStr">
        <is>
          <t>М</t>
        </is>
      </c>
      <c r="S240" s="2">
        <f>HYPERLINK("https://yandex.ru/maps/?&amp;text=51.651707, 39.170912", "51.651707, 39.170912")</f>
        <v/>
      </c>
      <c r="T240" s="2">
        <f>HYPERLINK("D:\venv_torgi\env\cache\objs_in_district/51.651707_39.170912.json", "51.651707_39.170912.json")</f>
        <v/>
      </c>
      <c r="V240" t="n">
        <v>0</v>
      </c>
      <c r="Y240" t="n">
        <v>0</v>
      </c>
      <c r="AA240" t="n">
        <v>0</v>
      </c>
      <c r="AB240" t="n">
        <v>0</v>
      </c>
    </row>
    <row r="241">
      <c r="A241" s="7" t="n">
        <v>239</v>
      </c>
      <c r="B241" t="n">
        <v>36</v>
      </c>
      <c r="C241" s="1" t="n">
        <v>43.2</v>
      </c>
      <c r="D241" s="2">
        <f>HYPERLINK("https://torgi.gov.ru/new/public/lots/lot/21000033070000000010_1/(lotInfo:info)", "21000033070000000010_1")</f>
        <v/>
      </c>
      <c r="E241" t="inlineStr">
        <is>
          <t>Площадь - 43,2 кв.м адрес (местоположение): Воронежская область, г. Воронеж, ул. Красных Зорь, д. 36, по. 109</t>
        </is>
      </c>
      <c r="F241" s="3" t="inlineStr">
        <is>
          <t>01.06.22 13:00</t>
        </is>
      </c>
      <c r="G241" t="inlineStr">
        <is>
          <t>г Воронеж, ул Красных Зорь, д 36</t>
        </is>
      </c>
      <c r="H241" s="4" t="n">
        <v>3055000</v>
      </c>
      <c r="I241" s="4" t="n">
        <v>70717.59259259258</v>
      </c>
      <c r="J241" t="inlineStr">
        <is>
          <t>Нежилое помещение</t>
        </is>
      </c>
      <c r="K241" s="5" t="n">
        <v>8.42</v>
      </c>
      <c r="L241" s="4" t="n">
        <v>1104.95</v>
      </c>
      <c r="M241" t="n">
        <v>8400</v>
      </c>
      <c r="N241" s="6" t="n">
        <v>1054111</v>
      </c>
      <c r="O241" t="n">
        <v>64</v>
      </c>
      <c r="Q241" t="inlineStr">
        <is>
          <t>EA</t>
        </is>
      </c>
      <c r="R241" t="inlineStr">
        <is>
          <t>М</t>
        </is>
      </c>
      <c r="S241" s="2">
        <f>HYPERLINK("https://yandex.ru/maps/?&amp;text=51.67364, 39.15688", "51.67364, 39.15688")</f>
        <v/>
      </c>
      <c r="T241" s="2">
        <f>HYPERLINK("D:\venv_torgi\env\cache\objs_in_district/51.67364_39.15688.json", "51.67364_39.15688.json")</f>
        <v/>
      </c>
      <c r="U241" t="inlineStr">
        <is>
          <t>36:34:0208065:21</t>
        </is>
      </c>
      <c r="V241" t="n">
        <v>0</v>
      </c>
      <c r="Y241" t="n">
        <v>0</v>
      </c>
      <c r="AA241" t="n">
        <v>0</v>
      </c>
      <c r="AB241" t="n">
        <v>0</v>
      </c>
    </row>
    <row r="242">
      <c r="A242" s="7" t="n">
        <v>240</v>
      </c>
      <c r="B242" t="n">
        <v>37</v>
      </c>
      <c r="C242" s="1" t="n">
        <v>84</v>
      </c>
      <c r="D242" s="2">
        <f>HYPERLINK("https://torgi.gov.ru/new/public/lots/lot/22000079930000000005_1/(lotInfo:info)", "22000079930000000005_1")</f>
        <v/>
      </c>
      <c r="E242" t="inlineStr">
        <is>
          <t>встроенное помещение, назначение: нежилое, общая площадь 84 кв. м, этаж - 1, номера на поэтажном плане 4, 5, 9, 10, кадастровый номер 37:07:010104:95, адрес объекта: Ивановская область, Кинешемский район, г. Наволоки, ул. Промышленная, д. 10</t>
        </is>
      </c>
      <c r="F242" s="3" t="inlineStr">
        <is>
          <t>07.06.22 14:00</t>
        </is>
      </c>
      <c r="G242" t="inlineStr">
        <is>
          <t>Ивановская обл, Кинешемский р-н, г Наволоки, ул Промышленная, д 10</t>
        </is>
      </c>
      <c r="H242" s="4" t="n">
        <v>126000</v>
      </c>
      <c r="I242" s="4" t="n">
        <v>1500</v>
      </c>
      <c r="J242" t="inlineStr">
        <is>
          <t>Нежилое помещение</t>
        </is>
      </c>
      <c r="K242" s="5" t="n">
        <v>2.41</v>
      </c>
      <c r="M242" t="n">
        <v>622</v>
      </c>
      <c r="N242" s="6" t="n">
        <v>9546</v>
      </c>
      <c r="Q242" t="inlineStr">
        <is>
          <t>EA</t>
        </is>
      </c>
      <c r="R242" t="inlineStr">
        <is>
          <t>М</t>
        </is>
      </c>
      <c r="S242" s="2">
        <f>HYPERLINK("https://yandex.ru/maps/?&amp;text=57.47457, 41.96619", "57.47457, 41.96619")</f>
        <v/>
      </c>
      <c r="U242" t="inlineStr">
        <is>
          <t xml:space="preserve">37:07:010104:95, </t>
        </is>
      </c>
      <c r="V242" t="n">
        <v>0</v>
      </c>
      <c r="Y242" t="n">
        <v>0</v>
      </c>
      <c r="AA242" t="n">
        <v>0</v>
      </c>
      <c r="AB242" t="n">
        <v>0</v>
      </c>
    </row>
    <row r="243">
      <c r="A243" s="7" t="n">
        <v>241</v>
      </c>
      <c r="B243" t="n">
        <v>37</v>
      </c>
      <c r="C243" s="1" t="n">
        <v>189.8</v>
      </c>
      <c r="D243" s="2">
        <f>HYPERLINK("https://torgi.gov.ru/new/public/lots/lot/22000079930000000004_1/(lotInfo:info)", "22000079930000000004_1")</f>
        <v/>
      </c>
      <c r="E243" t="inlineStr">
        <is>
          <t>помещение, назначение: нежилое, общая площадь 189,8 кв. м, этаж - 1, номер на поэтажном плане 1003, кадастровый номер 37:07:010104:96, адрес объекта: Ивановская область, Кинешемский район, г. Наволоки, ул. Промышленная, д. 10</t>
        </is>
      </c>
      <c r="F243" s="3" t="inlineStr">
        <is>
          <t>07.06.22 14:00</t>
        </is>
      </c>
      <c r="G243" t="inlineStr">
        <is>
          <t>Ивановская обл, Кинешемский р-н, г Наволоки, ул Промышленная, д 10</t>
        </is>
      </c>
      <c r="H243" s="4" t="n">
        <v>294000</v>
      </c>
      <c r="I243" s="4" t="n">
        <v>1548.99894625922</v>
      </c>
      <c r="J243" t="inlineStr">
        <is>
          <t>Нежилое помещение</t>
        </is>
      </c>
      <c r="K243" s="5" t="n">
        <v>2.49</v>
      </c>
      <c r="M243" t="n">
        <v>622</v>
      </c>
      <c r="N243" s="6" t="n">
        <v>9546</v>
      </c>
      <c r="Q243" t="inlineStr">
        <is>
          <t>EA</t>
        </is>
      </c>
      <c r="R243" t="inlineStr">
        <is>
          <t>М</t>
        </is>
      </c>
      <c r="S243" s="2">
        <f>HYPERLINK("https://yandex.ru/maps/?&amp;text=57.47457, 41.96619", "57.47457, 41.96619")</f>
        <v/>
      </c>
      <c r="U243" t="inlineStr">
        <is>
          <t xml:space="preserve">37:07:010104:96, </t>
        </is>
      </c>
      <c r="V243" t="n">
        <v>1</v>
      </c>
      <c r="Y243" t="n">
        <v>0</v>
      </c>
      <c r="AA243" t="n">
        <v>0</v>
      </c>
      <c r="AB243" t="n">
        <v>0</v>
      </c>
    </row>
    <row r="244">
      <c r="A244" s="7" t="n">
        <v>242</v>
      </c>
      <c r="B244" t="n">
        <v>37</v>
      </c>
      <c r="C244" s="1" t="n">
        <v>226.9</v>
      </c>
      <c r="D244" s="2">
        <f>HYPERLINK("https://torgi.gov.ru/new/public/lots/lot/21000020930000000001_1/(lotInfo:info)", "21000020930000000001_1")</f>
        <v/>
      </c>
      <c r="E244" t="inlineStr">
        <is>
          <t>Помещение, назначение: нежилое, общая площадь 226,9 кв.м, этаж 1, адрес: Ивановская область, г. Комсомольск, ул. Люлина, д.34, 34а, пом.1001, кадастровый номер 37:08:050202:482</t>
        </is>
      </c>
      <c r="F244" s="3" t="inlineStr">
        <is>
          <t>11.05.22 20:30</t>
        </is>
      </c>
      <c r="G244" t="inlineStr">
        <is>
          <t>Ивановская обл, г Комсомольск, ул Люлина, д 34</t>
        </is>
      </c>
      <c r="H244" s="4" t="n">
        <v>518700</v>
      </c>
      <c r="I244" s="4" t="n">
        <v>2286.029087703834</v>
      </c>
      <c r="J244" t="inlineStr">
        <is>
          <t>Нежилое помещение</t>
        </is>
      </c>
      <c r="K244" s="5" t="n">
        <v>1.51</v>
      </c>
      <c r="L244" s="4" t="n">
        <v>1143</v>
      </c>
      <c r="M244" t="n">
        <v>1510</v>
      </c>
      <c r="N244" s="6" t="n">
        <v>254973</v>
      </c>
      <c r="O244" t="n">
        <v>2</v>
      </c>
      <c r="Q244" t="inlineStr">
        <is>
          <t>EA</t>
        </is>
      </c>
      <c r="R244" t="inlineStr">
        <is>
          <t>М</t>
        </is>
      </c>
      <c r="S244" s="2">
        <f>HYPERLINK("https://yandex.ru/maps/?&amp;text=57.030015, 40.366264", "57.030015, 40.366264")</f>
        <v/>
      </c>
      <c r="T244" s="2">
        <f>HYPERLINK("D:\venv_torgi\env\cache\objs_in_district/57.030015_40.366264.json", "57.030015_40.366264.json")</f>
        <v/>
      </c>
      <c r="U244" t="inlineStr">
        <is>
          <t>37:08:050202:482</t>
        </is>
      </c>
      <c r="V244" t="n">
        <v>1</v>
      </c>
      <c r="Y244" t="n">
        <v>0</v>
      </c>
      <c r="AA244" t="n">
        <v>0</v>
      </c>
      <c r="AB244" t="n">
        <v>0</v>
      </c>
    </row>
    <row r="245">
      <c r="A245" s="7" t="n">
        <v>243</v>
      </c>
      <c r="B245" t="n">
        <v>37</v>
      </c>
      <c r="C245" s="1" t="n">
        <v>270</v>
      </c>
      <c r="D245" s="2">
        <f>HYPERLINK("https://torgi.gov.ru/new/public/lots/lot/22000079930000000006_1/(lotInfo:info)", "22000079930000000006_1")</f>
        <v/>
      </c>
      <c r="E245" t="inlineStr">
        <is>
          <t>- помещение, назначение: нежилое, общая площадь 53,3 кв. м, этаж 1, 2, номера на поэтажном плане: 1 этаж – пом. 1, 2, 2 этаж – 1, 2, 3, 4, 5, кадастровый номер 37:07:010103:112, адрес объекта: Ивановская область, Кинешемский район, г. Наволоки, ул. Советская, д. 15;- помещение, назначение: нежилое, общая площадь 216,7 кв. м, этаж – 1, 2, номера на поэтажном плане – 19 на 1 этаже, с 6 по 20 включительно на 2 этаже, кадастровый номер 37:10:010103:110, адрес объекта: Ивановская область, Кинешемский район, г. Наволоки, ул. Советская, д. 15.</t>
        </is>
      </c>
      <c r="F245" s="3" t="inlineStr">
        <is>
          <t>07.06.22 14:00</t>
        </is>
      </c>
      <c r="G245" t="inlineStr">
        <is>
          <t>Ивановская обл, Кинешемский р-н, г Наволоки, ул Советская, д 15</t>
        </is>
      </c>
      <c r="H245" s="4" t="n">
        <v>810000</v>
      </c>
      <c r="I245" s="4" t="n">
        <v>3000</v>
      </c>
      <c r="J245" t="inlineStr">
        <is>
          <t>Нежилое помещение</t>
        </is>
      </c>
      <c r="K245" s="5" t="n">
        <v>2.64</v>
      </c>
      <c r="L245" s="4" t="n">
        <v>750</v>
      </c>
      <c r="M245" t="n">
        <v>1135</v>
      </c>
      <c r="N245" s="6" t="n">
        <v>9546</v>
      </c>
      <c r="O245" t="n">
        <v>4</v>
      </c>
      <c r="Q245" t="inlineStr">
        <is>
          <t>EA</t>
        </is>
      </c>
      <c r="R245" t="inlineStr">
        <is>
          <t>М</t>
        </is>
      </c>
      <c r="S245" s="2">
        <f>HYPERLINK("https://yandex.ru/maps/?&amp;text=57.4741, 41.961277", "57.4741, 41.961277")</f>
        <v/>
      </c>
      <c r="T245" s="2">
        <f>HYPERLINK("D:\venv_torgi\env\cache\objs_in_district/57.4741_41.961277.json", "57.4741_41.961277.json")</f>
        <v/>
      </c>
      <c r="U245" t="inlineStr">
        <is>
          <t xml:space="preserve">37:07:010103:112, </t>
        </is>
      </c>
      <c r="V245" t="n">
        <v>1</v>
      </c>
      <c r="Y245" t="n">
        <v>0</v>
      </c>
      <c r="AA245" t="n">
        <v>0</v>
      </c>
      <c r="AB245" t="n">
        <v>0</v>
      </c>
    </row>
    <row r="246">
      <c r="A246" s="7" t="n">
        <v>244</v>
      </c>
      <c r="B246" t="n">
        <v>37</v>
      </c>
      <c r="C246" s="1" t="n">
        <v>29.8</v>
      </c>
      <c r="D246" s="2">
        <f>HYPERLINK("https://torgi.gov.ru/new/public/lots/lot/22000056270000000004_1/(lotInfo:info)", "22000056270000000004_1")</f>
        <v/>
      </c>
      <c r="E246" t="inlineStr">
        <is>
          <t>нежилое помещение, общей площадью 29,8 кв.м., кадастровый номер 37:09:050404:147, расположенное по адресу: Ивановская область, Лежневский район, п. Лежнево, ул. 2-я Оборонная, д. 2А, кв. 2. Земельный участок, на котором расположено здание, в котором расположено нежилое помещение, огорожен металлическим забором, вход в помещение осуществляется через металлическую калитку, со стороны ул. 2-я Оборонная. Вход отдельный. Земельный участок общий, не размежеван.</t>
        </is>
      </c>
      <c r="F246" s="3" t="inlineStr">
        <is>
          <t>19.08.22 06:00</t>
        </is>
      </c>
      <c r="G246" t="inlineStr">
        <is>
          <t>Ивановская обл, Лежневский р-н, поселок Лежнево, ул 2-ая Оборонная, д 2А, кв 2</t>
        </is>
      </c>
      <c r="H246" s="4" t="n">
        <v>190000</v>
      </c>
      <c r="I246" s="4" t="n">
        <v>6375.838926174497</v>
      </c>
      <c r="J246" t="inlineStr">
        <is>
          <t>здание</t>
        </is>
      </c>
      <c r="K246" s="5" t="n">
        <v>5.6</v>
      </c>
      <c r="M246" t="n">
        <v>1139</v>
      </c>
      <c r="N246" s="6" t="n">
        <v>7837</v>
      </c>
      <c r="Q246" t="inlineStr">
        <is>
          <t>EA</t>
        </is>
      </c>
      <c r="R246" t="inlineStr">
        <is>
          <t>М</t>
        </is>
      </c>
      <c r="S246" s="2">
        <f>HYPERLINK("https://yandex.ru/maps/?&amp;text=56.772093, 40.875573", "56.772093, 40.875573")</f>
        <v/>
      </c>
      <c r="U246" t="inlineStr">
        <is>
          <t xml:space="preserve">37:09:050404:147, </t>
        </is>
      </c>
      <c r="V246" t="n">
        <v>1</v>
      </c>
      <c r="Y246" t="n">
        <v>1</v>
      </c>
      <c r="AA246" t="n">
        <v>0</v>
      </c>
      <c r="AB246" t="n">
        <v>1</v>
      </c>
    </row>
    <row r="247">
      <c r="A247" s="7" t="n">
        <v>245</v>
      </c>
      <c r="B247" t="n">
        <v>37</v>
      </c>
      <c r="C247" s="1" t="n">
        <v>239.1</v>
      </c>
      <c r="D247" s="2">
        <f>HYPERLINK("https://torgi.gov.ru/new/public/lots/lot/21000007300000000003_1/(lotInfo:info)", "21000007300000000003_1")</f>
        <v/>
      </c>
      <c r="E247" t="inlineStr">
        <is>
          <t>Нежилое помещение, кадастровый номер 37:28:030407:29, площадь 239,1 кв.м., этаж № 01, по адресу: Ивановская область, г. Шуя, ул. Советская, д.2, пом.1004,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      </is>
      </c>
      <c r="F247" s="3" t="inlineStr">
        <is>
          <t>14.04.22 06:00</t>
        </is>
      </c>
      <c r="G247" t="inlineStr">
        <is>
          <t>Ивановская обл, г Шуя, ул Советская, д 2</t>
        </is>
      </c>
      <c r="H247" s="4" t="n">
        <v>4325400</v>
      </c>
      <c r="I247" s="4" t="n">
        <v>18090.33877038896</v>
      </c>
      <c r="J247" t="inlineStr">
        <is>
          <t>Нежилое помещение</t>
        </is>
      </c>
      <c r="K247" s="5" t="n">
        <v>11</v>
      </c>
      <c r="L247" s="4" t="n">
        <v>1809</v>
      </c>
      <c r="M247" t="n">
        <v>1644</v>
      </c>
      <c r="N247" s="6" t="n">
        <v>58723</v>
      </c>
      <c r="O247" t="n">
        <v>10</v>
      </c>
      <c r="Q247" t="inlineStr">
        <is>
          <t>EA</t>
        </is>
      </c>
      <c r="R247" t="inlineStr">
        <is>
          <t>М</t>
        </is>
      </c>
      <c r="S247" s="2">
        <f>HYPERLINK("https://yandex.ru/maps/?&amp;text=56.850697, 41.369038", "56.850697, 41.369038")</f>
        <v/>
      </c>
      <c r="T247" s="2">
        <f>HYPERLINK("D:\venv_torgi\env\cache\objs_in_district/56.850697_41.369038.json", "56.850697_41.369038.json")</f>
        <v/>
      </c>
      <c r="U247" t="inlineStr">
        <is>
          <t xml:space="preserve">37:28:030407:29, </t>
        </is>
      </c>
      <c r="V247" t="n">
        <v>1</v>
      </c>
      <c r="Y247" t="n">
        <v>0</v>
      </c>
      <c r="AA247" t="n">
        <v>0</v>
      </c>
      <c r="AB247" t="n">
        <v>0</v>
      </c>
    </row>
    <row r="248">
      <c r="A248" s="7" t="n">
        <v>246</v>
      </c>
      <c r="B248" t="n">
        <v>37</v>
      </c>
      <c r="C248" s="1" t="n">
        <v>86</v>
      </c>
      <c r="D248" s="2">
        <f>HYPERLINK("https://torgi.gov.ru/new/public/lots/lot/22000034450000000001_1/(lotInfo:info)", "22000034450000000001_1")</f>
        <v/>
      </c>
      <c r="E248" t="inlineStr">
        <is>
          <t>Нежилое помещение с кадастровым номером 37:26:020205:163 площадью 86,0 кв.м, расположенное по адресу: Ивановская обл., г. Тейково, ул. Октябрьская, д.50, пом. №53-55</t>
        </is>
      </c>
      <c r="F248" s="3" t="inlineStr">
        <is>
          <t>09.03.22 13:00</t>
        </is>
      </c>
      <c r="G248" t="inlineStr">
        <is>
          <t>Ивановская обл, г Тейково, ул Октябрьская, д 50</t>
        </is>
      </c>
      <c r="H248" s="4" t="n">
        <v>1575000</v>
      </c>
      <c r="I248" s="4" t="n">
        <v>18313.95348837209</v>
      </c>
      <c r="J248" t="inlineStr">
        <is>
          <t>Нежилое помещение</t>
        </is>
      </c>
      <c r="K248" s="5" t="n">
        <v>6.93</v>
      </c>
      <c r="L248" s="4" t="n">
        <v>963.84</v>
      </c>
      <c r="M248" t="n">
        <v>2642</v>
      </c>
      <c r="N248" s="6" t="n">
        <v>32791</v>
      </c>
      <c r="O248" t="n">
        <v>19</v>
      </c>
      <c r="Q248" t="inlineStr">
        <is>
          <t>EA</t>
        </is>
      </c>
      <c r="R248" t="inlineStr">
        <is>
          <t>М</t>
        </is>
      </c>
      <c r="S248" s="2">
        <f>HYPERLINK("https://yandex.ru/maps/?&amp;text=56.85279, 40.54831", "56.85279, 40.54831")</f>
        <v/>
      </c>
      <c r="T248" s="2">
        <f>HYPERLINK("D:\venv_torgi\env\cache\objs_in_district/56.85279_40.54831.json", "56.85279_40.54831.json")</f>
        <v/>
      </c>
      <c r="U248" t="inlineStr">
        <is>
          <t xml:space="preserve">37:26:020205:163 </t>
        </is>
      </c>
      <c r="V248" t="n">
        <v>0</v>
      </c>
      <c r="Y248" t="n">
        <v>0</v>
      </c>
      <c r="AA248" t="n">
        <v>0</v>
      </c>
      <c r="AB248" t="n">
        <v>0</v>
      </c>
    </row>
    <row r="249">
      <c r="A249" s="7" t="n">
        <v>247</v>
      </c>
      <c r="B249" t="n">
        <v>37</v>
      </c>
      <c r="C249" s="1" t="n">
        <v>63.1</v>
      </c>
      <c r="D249" s="2">
        <f>HYPERLINK("https://torgi.gov.ru/new/public/lots/lot/21000012970000000013_1/(lotInfo:info)", "21000012970000000013_1")</f>
        <v/>
      </c>
      <c r="E249" t="inlineStr">
        <is>
          <t>нежилого помещения, номер на поэтажном плане 1001, общей площадью 63,1 кв. м., расположенного по адресу: г. Шуя, ул. 1-я Московская, д. 28.</t>
        </is>
      </c>
      <c r="F249" s="3" t="inlineStr">
        <is>
          <t>06.05.22 14:00</t>
        </is>
      </c>
      <c r="G249" t="inlineStr">
        <is>
          <t>Ивановская обл, г Шуя, ул Московская 1-я, д 28</t>
        </is>
      </c>
      <c r="H249" s="4" t="n">
        <v>1330000</v>
      </c>
      <c r="I249" s="4" t="n">
        <v>21077.65451664025</v>
      </c>
      <c r="J249" t="inlineStr">
        <is>
          <t>Нежилое помещение</t>
        </is>
      </c>
      <c r="K249" s="5" t="n">
        <v>11.61</v>
      </c>
      <c r="L249" s="4" t="n">
        <v>780.63</v>
      </c>
      <c r="M249" t="n">
        <v>1816</v>
      </c>
      <c r="N249" s="6" t="n">
        <v>58723</v>
      </c>
      <c r="O249" t="n">
        <v>27</v>
      </c>
      <c r="Q249" t="inlineStr">
        <is>
          <t>PP</t>
        </is>
      </c>
      <c r="R249" t="inlineStr">
        <is>
          <t>М</t>
        </is>
      </c>
      <c r="S249" s="2">
        <f>HYPERLINK("https://yandex.ru/maps/?&amp;text=56.849915, 41.356064", "56.849915, 41.356064")</f>
        <v/>
      </c>
      <c r="T249" s="2">
        <f>HYPERLINK("D:\venv_torgi\env\cache\objs_in_district/56.849915_41.356064.json", "56.849915_41.356064.json")</f>
        <v/>
      </c>
      <c r="U249" t="inlineStr">
        <is>
          <t>37:28:020312:114</t>
        </is>
      </c>
      <c r="V249" t="n">
        <v>1</v>
      </c>
      <c r="Y249" t="n">
        <v>0</v>
      </c>
      <c r="AA249" t="n">
        <v>0</v>
      </c>
      <c r="AB249" t="n">
        <v>0</v>
      </c>
    </row>
    <row r="250">
      <c r="A250" s="7" t="n">
        <v>248</v>
      </c>
      <c r="B250" t="n">
        <v>37</v>
      </c>
      <c r="C250" s="1" t="n">
        <v>120.8</v>
      </c>
      <c r="D250" s="2">
        <f>HYPERLINK("https://torgi.gov.ru/new/public/lots/lot/21000010870000000002_3/(lotInfo:info)", "21000010870000000002_3")</f>
        <v/>
      </c>
      <c r="E250" t="inlineStr">
        <is>
          <t>Нежилое помещение с кадастровым номером 37:24:040626:470 площадью 120,8 кв.м, расположенное по адресу: г. Иваново, проезд Шахтинский, д. 79, пом. 1001.</t>
        </is>
      </c>
      <c r="F250" s="3" t="inlineStr">
        <is>
          <t>20.04.22 20:59</t>
        </is>
      </c>
      <c r="G250" t="inlineStr">
        <is>
          <t>г Иваново, Шахтинский проезд, д 79</t>
        </is>
      </c>
      <c r="H250" s="4" t="n">
        <v>3820000</v>
      </c>
      <c r="I250" s="4" t="n">
        <v>31622.51655629139</v>
      </c>
      <c r="J250" t="inlineStr">
        <is>
          <t>Нежилое помещение</t>
        </is>
      </c>
      <c r="K250" s="5" t="n">
        <v>4.98</v>
      </c>
      <c r="L250" s="4" t="n">
        <v>3952.75</v>
      </c>
      <c r="M250" t="n">
        <v>6354</v>
      </c>
      <c r="N250" s="6" t="n">
        <v>405053</v>
      </c>
      <c r="O250" t="n">
        <v>8</v>
      </c>
      <c r="Q250" t="inlineStr">
        <is>
          <t>EA</t>
        </is>
      </c>
      <c r="R250" t="inlineStr">
        <is>
          <t>М</t>
        </is>
      </c>
      <c r="S250" s="2">
        <f>HYPERLINK("https://yandex.ru/maps/?&amp;text=56.991302, 40.931529", "56.991302, 40.931529")</f>
        <v/>
      </c>
      <c r="T250" s="2">
        <f>HYPERLINK("D:\venv_torgi\env\cache\objs_in_district/56.991302_40.931529.json", "56.991302_40.931529.json")</f>
        <v/>
      </c>
      <c r="U250" t="inlineStr">
        <is>
          <t xml:space="preserve">37:24:040626:470 </t>
        </is>
      </c>
      <c r="V250" t="n">
        <v>0</v>
      </c>
      <c r="Y250" t="n">
        <v>0</v>
      </c>
      <c r="AA250" t="n">
        <v>0</v>
      </c>
      <c r="AB250" t="n">
        <v>0</v>
      </c>
    </row>
    <row r="251">
      <c r="A251" s="7" t="n">
        <v>249</v>
      </c>
      <c r="B251" t="n">
        <v>38</v>
      </c>
      <c r="C251" s="1" t="n">
        <v>55.6</v>
      </c>
      <c r="D251" s="2">
        <f>HYPERLINK("https://torgi.gov.ru/new/public/lots/lot/22000015440000000006_1/(lotInfo:info)", "22000015440000000006_1")</f>
        <v/>
      </c>
      <c r="E251" t="inlineStr">
        <is>
          <t>Нежилое помещение, назначение: нежилое, общая площадь 55,6 кв.м., цокольный этаж № 1, кадастровый номер 38:12:010105:6590</t>
        </is>
      </c>
      <c r="F251" s="3" t="inlineStr">
        <is>
          <t>11.05.22 09:00</t>
        </is>
      </c>
      <c r="G251" t="inlineStr">
        <is>
          <t>Иркутская область, Нижнеилимский район, г. Железногорск - Илимский, квартал 1, дом 87, помещение № 1</t>
        </is>
      </c>
      <c r="H251" s="4" t="n">
        <v>105100</v>
      </c>
      <c r="I251" s="4" t="n">
        <v>1890.287769784173</v>
      </c>
      <c r="J251" t="inlineStr">
        <is>
          <t>Нежилое помещение</t>
        </is>
      </c>
      <c r="Q251" t="inlineStr">
        <is>
          <t>BOC</t>
        </is>
      </c>
      <c r="R251" t="inlineStr">
        <is>
          <t>М</t>
        </is>
      </c>
      <c r="U251" t="inlineStr">
        <is>
          <t>38:12:010105:6590</t>
        </is>
      </c>
      <c r="V251" t="n">
        <v>0</v>
      </c>
      <c r="Y251" t="n">
        <v>0</v>
      </c>
      <c r="AA251" t="n">
        <v>0</v>
      </c>
      <c r="AB251" t="n">
        <v>0</v>
      </c>
    </row>
    <row r="252">
      <c r="A252" s="7" t="n">
        <v>250</v>
      </c>
      <c r="B252" t="n">
        <v>38</v>
      </c>
      <c r="C252" s="1" t="n">
        <v>1977.2</v>
      </c>
      <c r="D252" s="2">
        <f>HYPERLINK("https://torgi.gov.ru/new/public/lots/lot/21000015330000000004_1/(lotInfo:info)", "21000015330000000004_1")</f>
        <v/>
      </c>
      <c r="E252" t="inlineStr">
        <is>
          <t>Нежилое помещение, общей площадью 1977,2 кв.м по адресу: Российская Федерация, Иркутская область, город Братск, жилой район Гидростритель, проезд Сталеваров, 4, помещение 1001, кадастровый номер 38:34:030201:717</t>
        </is>
      </c>
      <c r="F252" s="3" t="inlineStr">
        <is>
          <t>11.04.22 02:00</t>
        </is>
      </c>
      <c r="G252" t="inlineStr">
        <is>
          <t>Иркутская обл, г Братск, ж/р Гидростроитель, пр-д Сталеваров, зд 4</t>
        </is>
      </c>
      <c r="H252" s="4" t="n">
        <v>6516777</v>
      </c>
      <c r="I252" s="4" t="n">
        <v>3295.962472182885</v>
      </c>
      <c r="J252" t="inlineStr">
        <is>
          <t>Нежилое помещение</t>
        </is>
      </c>
      <c r="K252" s="5" t="n">
        <v>1.46</v>
      </c>
      <c r="L252" s="4" t="n">
        <v>143.26</v>
      </c>
      <c r="M252" t="n">
        <v>2255</v>
      </c>
      <c r="N252" s="6" t="n">
        <v>227467</v>
      </c>
      <c r="O252" t="n">
        <v>23</v>
      </c>
      <c r="Q252" t="inlineStr">
        <is>
          <t>EA</t>
        </is>
      </c>
      <c r="R252" t="inlineStr">
        <is>
          <t>М</t>
        </is>
      </c>
      <c r="S252" s="2">
        <f>HYPERLINK("https://yandex.ru/maps/?&amp;text=56.283729, 101.881143", "56.283729, 101.881143")</f>
        <v/>
      </c>
      <c r="T252" s="2">
        <f>HYPERLINK("D:\venv_torgi\env\cache\objs_in_district/56.283729_101.881143.json", "56.283729_101.881143.json")</f>
        <v/>
      </c>
      <c r="U252" t="inlineStr">
        <is>
          <t>38:34:030201:717</t>
        </is>
      </c>
      <c r="V252" t="n">
        <v>1</v>
      </c>
      <c r="Y252" t="n">
        <v>0</v>
      </c>
      <c r="AA252" t="n">
        <v>0</v>
      </c>
      <c r="AB252" t="n">
        <v>0</v>
      </c>
    </row>
    <row r="253">
      <c r="A253" s="7" t="n">
        <v>251</v>
      </c>
      <c r="B253" t="n">
        <v>38</v>
      </c>
      <c r="C253" s="1" t="n">
        <v>40.6</v>
      </c>
      <c r="D253" s="2">
        <f>HYPERLINK("https://torgi.gov.ru/new/public/lots/lot/22000017200000000007_1/(lotInfo:info)", "22000017200000000007_1")</f>
        <v/>
      </c>
      <c r="E253" t="inlineStr">
        <is>
          <t>Нежилое помещение, площадью 40,6 кв. м., кадастровый номер 38:33:010106:154</t>
        </is>
      </c>
      <c r="F253" s="3" t="inlineStr">
        <is>
          <t>19.08.22 10:00</t>
        </is>
      </c>
      <c r="G253" t="inlineStr">
        <is>
          <t>Иркутская обл, Черемховский р-н, рп Михайловка, кв-л 1, д 10</t>
        </is>
      </c>
      <c r="H253" s="4" t="n">
        <v>301000</v>
      </c>
      <c r="I253" s="4" t="n">
        <v>7413.793103448275</v>
      </c>
      <c r="J253" t="inlineStr">
        <is>
          <t>Нежилое помещение</t>
        </is>
      </c>
      <c r="K253" s="5" t="n">
        <v>4.87</v>
      </c>
      <c r="L253" s="4" t="inlineStr"/>
      <c r="M253" t="n">
        <v>1521</v>
      </c>
      <c r="O253" t="inlineStr"/>
      <c r="Q253" t="inlineStr">
        <is>
          <t>EA</t>
        </is>
      </c>
      <c r="R253" t="inlineStr">
        <is>
          <t>М</t>
        </is>
      </c>
      <c r="S253" s="2">
        <f>HYPERLINK("https://yandex.ru/maps/?&amp;text=52.956073, 103.291615", "52.956073, 103.291615")</f>
        <v/>
      </c>
      <c r="T253" s="8">
        <f>HYPERLINK("D:\venv_torgi\env\cache\objs_in_district/52.956073_103.291615.json", "52.956073_103.291615.json")</f>
        <v/>
      </c>
      <c r="U253" t="inlineStr">
        <is>
          <t>38:33:010106:154</t>
        </is>
      </c>
      <c r="V253" t="n">
        <v>1</v>
      </c>
      <c r="Y253" t="n">
        <v>0</v>
      </c>
      <c r="AA253" t="n">
        <v>0</v>
      </c>
      <c r="AB253" t="n">
        <v>0</v>
      </c>
    </row>
    <row r="254">
      <c r="A254" s="7" t="n">
        <v>252</v>
      </c>
      <c r="B254" t="n">
        <v>38</v>
      </c>
      <c r="C254" s="1" t="n">
        <v>404.5</v>
      </c>
      <c r="D254" s="2">
        <f>HYPERLINK("https://torgi.gov.ru/new/public/lots/lot/21000007110000000005_1/(lotInfo:info)", "21000007110000000005_1")</f>
        <v/>
      </c>
      <c r="E254" t="inlineStr">
        <is>
          <t>Нежилое помещение, назначение: нежилое помещение, кадастровый номер: 38:26:040402:8377, расположенное по адресу: Иркутская область, г. Ангарск, мкр-н 8, д. 8, помещение 32, общей площадью 404,5 кв.м.</t>
        </is>
      </c>
      <c r="F254" s="3" t="inlineStr">
        <is>
          <t>12.05.22 06:00</t>
        </is>
      </c>
      <c r="G254" t="inlineStr">
        <is>
          <t>Иркутская область, г. Ангарск, мкр-н 8, д. 8</t>
        </is>
      </c>
      <c r="H254" s="4" t="n">
        <v>4586000</v>
      </c>
      <c r="I254" s="4" t="n">
        <v>11337.45364647713</v>
      </c>
      <c r="J254" t="inlineStr">
        <is>
          <t>Нежилое помещение</t>
        </is>
      </c>
      <c r="K254" s="5" t="n">
        <v>1.5</v>
      </c>
      <c r="L254" s="4" t="n">
        <v>241.21</v>
      </c>
      <c r="M254" t="n">
        <v>7573</v>
      </c>
      <c r="N254" s="6" t="n">
        <v>225489</v>
      </c>
      <c r="O254" t="n">
        <v>47</v>
      </c>
      <c r="Q254" t="inlineStr">
        <is>
          <t>PP</t>
        </is>
      </c>
      <c r="R254" t="inlineStr">
        <is>
          <t>М</t>
        </is>
      </c>
      <c r="S254" s="2">
        <f>HYPERLINK("https://yandex.ru/maps/?&amp;text=52.514314, 103.87296", "52.514314, 103.87296")</f>
        <v/>
      </c>
      <c r="T254" s="2">
        <f>HYPERLINK("D:\venv_torgi\env\cache\objs_in_district/52.514314_103.87296.json", "52.514314_103.87296.json")</f>
        <v/>
      </c>
      <c r="U254" t="inlineStr">
        <is>
          <t xml:space="preserve">38:26:040402:8377, </t>
        </is>
      </c>
      <c r="V254" t="n">
        <v>0</v>
      </c>
      <c r="Y254" t="n">
        <v>0</v>
      </c>
      <c r="AA254" t="n">
        <v>0</v>
      </c>
      <c r="AB254" t="n">
        <v>0</v>
      </c>
    </row>
    <row r="255">
      <c r="A255" s="7" t="n">
        <v>253</v>
      </c>
      <c r="B255" t="n">
        <v>38</v>
      </c>
      <c r="C255" s="1" t="n">
        <v>69.3</v>
      </c>
      <c r="D255" s="2">
        <f>HYPERLINK("https://torgi.gov.ru/new/public/lots/lot/21000007110000000019_1/(lotInfo:info)", "21000007110000000019_1")</f>
        <v/>
      </c>
      <c r="E255" t="inlineStr">
        <is>
          <t>Нежилое помещение, назначение: нежилое, кадастровый номер: 38:26:040502:6491, расположенное по адресу: Иркутская область, г. Ангарск, квартал 182, д.14, помещение 50, общей площадью 69,3 кв.м.</t>
        </is>
      </c>
      <c r="F255" s="3" t="inlineStr">
        <is>
          <t>29.08.22 06:00</t>
        </is>
      </c>
      <c r="G255" t="inlineStr">
        <is>
          <t>Иркутская обл, г Ангарск, кв-л 182, д 14</t>
        </is>
      </c>
      <c r="H255" s="4" t="n">
        <v>826000</v>
      </c>
      <c r="I255" s="4" t="n">
        <v>11919.19191919192</v>
      </c>
      <c r="J255" t="inlineStr">
        <is>
          <t>Нежилое помещение</t>
        </is>
      </c>
      <c r="K255" s="5" t="n">
        <v>1.61</v>
      </c>
      <c r="L255" s="4" t="n">
        <v>238.38</v>
      </c>
      <c r="M255" t="n">
        <v>7396</v>
      </c>
      <c r="N255" s="6" t="n">
        <v>225489</v>
      </c>
      <c r="O255" t="n">
        <v>50</v>
      </c>
      <c r="Q255" t="inlineStr">
        <is>
          <t>EA</t>
        </is>
      </c>
      <c r="R255" t="inlineStr">
        <is>
          <t>М</t>
        </is>
      </c>
      <c r="S255" s="2">
        <f>HYPERLINK("https://yandex.ru/maps/?&amp;text=52.5088, 103.83684", "52.5088, 103.83684")</f>
        <v/>
      </c>
      <c r="T255" s="2">
        <f>HYPERLINK("D:\venv_torgi\env\cache\objs_in_district/52.5088_103.83684.json", "52.5088_103.83684.json")</f>
        <v/>
      </c>
      <c r="U255" t="inlineStr">
        <is>
          <t xml:space="preserve">38:26:040502:6491, </t>
        </is>
      </c>
      <c r="V255" t="n">
        <v>0</v>
      </c>
      <c r="Y255" t="n">
        <v>0</v>
      </c>
      <c r="AA255" t="n">
        <v>0</v>
      </c>
      <c r="AB255" t="n">
        <v>0</v>
      </c>
    </row>
    <row r="256">
      <c r="A256" s="7" t="n">
        <v>254</v>
      </c>
      <c r="B256" t="n">
        <v>38</v>
      </c>
      <c r="C256" s="1" t="n">
        <v>233.5</v>
      </c>
      <c r="D256" s="2">
        <f>HYPERLINK("https://torgi.gov.ru/new/public/lots/lot/22000061890000000001_1/(lotInfo:info)", "22000061890000000001_1")</f>
        <v/>
      </c>
      <c r="E256" t="inlineStr">
        <is>
          <t>Лот № 1 - нежилое помещение на 1-ом этаже 4-х этажного жилого дома общей площадью 233,5 кв. м., кадастровый номер 38:33:020147:254, расположенное по адресу: Иркутская область, г Свирск, ул. Дзержинского, д. 3-33.</t>
        </is>
      </c>
      <c r="F256" s="3" t="inlineStr">
        <is>
          <t>07.04.22 10:00</t>
        </is>
      </c>
      <c r="G256" t="inlineStr">
        <is>
          <t>Иркутская обл, г Свирск, ул Дзержинского, д 3, кв 33</t>
        </is>
      </c>
      <c r="H256" s="4" t="n">
        <v>2811000</v>
      </c>
      <c r="I256" s="4" t="n">
        <v>12038.54389721627</v>
      </c>
      <c r="J256" t="inlineStr">
        <is>
          <t>Нежилое помещение</t>
        </is>
      </c>
      <c r="K256" s="5" t="n">
        <v>4.88</v>
      </c>
      <c r="L256" s="4" t="n">
        <v>3009.5</v>
      </c>
      <c r="M256" t="n">
        <v>2466</v>
      </c>
      <c r="N256" s="6" t="n">
        <v>12779</v>
      </c>
      <c r="O256" t="n">
        <v>4</v>
      </c>
      <c r="Q256" t="inlineStr">
        <is>
          <t>EA</t>
        </is>
      </c>
      <c r="R256" t="inlineStr">
        <is>
          <t>М</t>
        </is>
      </c>
      <c r="S256" s="2">
        <f>HYPERLINK("https://yandex.ru/maps/?&amp;text=53.075596, 103.34048", "53.075596, 103.34048")</f>
        <v/>
      </c>
      <c r="T256" s="2">
        <f>HYPERLINK("D:\venv_torgi\env\cache\objs_in_district/53.075596_103.34048.json", "53.075596_103.34048.json")</f>
        <v/>
      </c>
      <c r="U256" t="inlineStr">
        <is>
          <t xml:space="preserve">38:33:020147:254, </t>
        </is>
      </c>
      <c r="V256" t="n">
        <v>1</v>
      </c>
      <c r="Y256" t="n">
        <v>0</v>
      </c>
      <c r="AA256" t="n">
        <v>0</v>
      </c>
      <c r="AB256" t="n">
        <v>0</v>
      </c>
    </row>
    <row r="257">
      <c r="A257" s="7" t="n">
        <v>255</v>
      </c>
      <c r="B257" t="n">
        <v>38</v>
      </c>
      <c r="C257" s="1" t="n">
        <v>52</v>
      </c>
      <c r="D257" s="2">
        <f>HYPERLINK("https://torgi.gov.ru/new/public/lots/lot/21000007110000000014_3/(lotInfo:info)", "21000007110000000014_3")</f>
        <v/>
      </c>
      <c r="E257" t="inlineStr">
        <is>
          <t>Нежилое помещение, назначение: нежилое помещение, кадастровый номер: 38:26:040502:1223, расположенное по адресу: Иркутская область, г. Ангарск,                           кв-л. 178-й,  д. 2, пом. 3, общей площадью 52 кв.м.</t>
        </is>
      </c>
      <c r="F257" s="3" t="inlineStr">
        <is>
          <t>25.07.22 06:00</t>
        </is>
      </c>
      <c r="G257" t="inlineStr">
        <is>
          <t>Иркутская обл, г Ангарск, кв-л 178, д 2</t>
        </is>
      </c>
      <c r="H257" s="4" t="n">
        <v>950000</v>
      </c>
      <c r="I257" s="4" t="n">
        <v>18269.23076923077</v>
      </c>
      <c r="J257" t="inlineStr">
        <is>
          <t>Нежилое помещение</t>
        </is>
      </c>
      <c r="K257" s="5" t="n">
        <v>2.87</v>
      </c>
      <c r="L257" s="4" t="n">
        <v>468.44</v>
      </c>
      <c r="M257" t="n">
        <v>6365</v>
      </c>
      <c r="N257" s="6" t="n">
        <v>225489</v>
      </c>
      <c r="O257" t="n">
        <v>39</v>
      </c>
      <c r="Q257" t="inlineStr">
        <is>
          <t>EA</t>
        </is>
      </c>
      <c r="R257" t="inlineStr">
        <is>
          <t>М</t>
        </is>
      </c>
      <c r="S257" s="2">
        <f>HYPERLINK("https://yandex.ru/maps/?&amp;text=52.51086, 103.838234", "52.51086, 103.838234")</f>
        <v/>
      </c>
      <c r="T257" s="2">
        <f>HYPERLINK("D:\venv_torgi\env\cache\objs_in_district/52.51086_103.838234.json", "52.51086_103.838234.json")</f>
        <v/>
      </c>
      <c r="U257" t="inlineStr">
        <is>
          <t xml:space="preserve">38:26:040502:1223, </t>
        </is>
      </c>
      <c r="V257" t="n">
        <v>0</v>
      </c>
      <c r="Y257" t="n">
        <v>0</v>
      </c>
      <c r="AA257" t="n">
        <v>0</v>
      </c>
      <c r="AB257" t="n">
        <v>0</v>
      </c>
    </row>
    <row r="258">
      <c r="A258" s="7" t="n">
        <v>256</v>
      </c>
      <c r="B258" t="n">
        <v>38</v>
      </c>
      <c r="C258" s="1" t="n">
        <v>40</v>
      </c>
      <c r="D258" s="2">
        <f>HYPERLINK("https://torgi.gov.ru/new/public/lots/lot/21000019000000000003_1/(lotInfo:info)", "21000019000000000003_1")</f>
        <v/>
      </c>
      <c r="E258" t="inlineStr">
        <is>
          <t>Ветеринарный пункт, назначение: нежилое помещение, площадь 40,4 кв.м, этаж № 1, кадастровый номер 38:36:000008:6565, расположенный по адресу: Иркутская область, г. Иркутск, ул. Делегатская, 18</t>
        </is>
      </c>
      <c r="F258" s="3" t="inlineStr">
        <is>
          <t>10.03.22 06:00</t>
        </is>
      </c>
      <c r="G258" t="inlineStr">
        <is>
          <t>г Иркутск, ул Делегатская, д 18</t>
        </is>
      </c>
      <c r="H258" s="4" t="n">
        <v>760000</v>
      </c>
      <c r="I258" s="4" t="n">
        <v>19000</v>
      </c>
      <c r="J258" t="inlineStr">
        <is>
          <t>Ветеринарный пункт</t>
        </is>
      </c>
      <c r="K258" s="5" t="n">
        <v>6.9</v>
      </c>
      <c r="L258" s="4" t="n">
        <v>2375</v>
      </c>
      <c r="M258" t="n">
        <v>2753</v>
      </c>
      <c r="N258" s="6" t="n">
        <v>623479</v>
      </c>
      <c r="O258" t="n">
        <v>8</v>
      </c>
      <c r="Q258" t="inlineStr">
        <is>
          <t>EA</t>
        </is>
      </c>
      <c r="R258" t="inlineStr">
        <is>
          <t>М</t>
        </is>
      </c>
      <c r="S258" s="2">
        <f>HYPERLINK("https://yandex.ru/maps/?&amp;text=52.36115, 104.21175", "52.36115, 104.21175")</f>
        <v/>
      </c>
      <c r="T258" s="2">
        <f>HYPERLINK("D:\venv_torgi\env\cache\objs_in_district/52.36115_104.21175.json", "52.36115_104.21175.json")</f>
        <v/>
      </c>
      <c r="U258" t="inlineStr">
        <is>
          <t xml:space="preserve">38:36:000008:6565, </t>
        </is>
      </c>
      <c r="V258" t="n">
        <v>1</v>
      </c>
      <c r="Y258" t="n">
        <v>0</v>
      </c>
      <c r="AA258" t="n">
        <v>0</v>
      </c>
      <c r="AB258" t="n">
        <v>0</v>
      </c>
    </row>
    <row r="259">
      <c r="A259" s="7" t="n">
        <v>257</v>
      </c>
      <c r="B259" t="n">
        <v>38</v>
      </c>
      <c r="C259" s="1" t="n">
        <v>128.9</v>
      </c>
      <c r="D259" s="2">
        <f>HYPERLINK("https://torgi.gov.ru/new/public/lots/lot/21000007110000000006_3/(lotInfo:info)", "21000007110000000006_3")</f>
        <v/>
      </c>
      <c r="E259" t="inlineStr">
        <is>
          <t>Нежилое помещение, назначение: нежилое помещение, кадастровый номер: 38:26:040203:2679, расположенное по адресу: Иркутская область, г. Ангарск, кв-л. 91-й, д. 13, пом. 7, общей площадью 128,9 кв.м.</t>
        </is>
      </c>
      <c r="F259" s="3" t="inlineStr">
        <is>
          <t>12.05.22 06:00</t>
        </is>
      </c>
      <c r="G259" t="inlineStr">
        <is>
          <t>Иркутская обл, г Ангарск, кв-л 91, д 13</t>
        </is>
      </c>
      <c r="H259" s="4" t="n">
        <v>2598200</v>
      </c>
      <c r="I259" s="4" t="n">
        <v>20156.7106283941</v>
      </c>
      <c r="J259" t="inlineStr">
        <is>
          <t>Нежилое помещение</t>
        </is>
      </c>
      <c r="K259" s="5" t="n">
        <v>3.55</v>
      </c>
      <c r="L259" s="4" t="n">
        <v>366.47</v>
      </c>
      <c r="M259" t="n">
        <v>5682</v>
      </c>
      <c r="N259" s="6" t="n">
        <v>225489</v>
      </c>
      <c r="O259" t="n">
        <v>55</v>
      </c>
      <c r="Q259" t="inlineStr">
        <is>
          <t>EA</t>
        </is>
      </c>
      <c r="R259" t="inlineStr">
        <is>
          <t>М</t>
        </is>
      </c>
      <c r="S259" s="2">
        <f>HYPERLINK("https://yandex.ru/maps/?&amp;text=52.53228, 103.89681", "52.53228, 103.89681")</f>
        <v/>
      </c>
      <c r="T259" s="2">
        <f>HYPERLINK("D:\venv_torgi\env\cache\objs_in_district/52.53228_103.89681.json", "52.53228_103.89681.json")</f>
        <v/>
      </c>
      <c r="U259" t="inlineStr">
        <is>
          <t xml:space="preserve">38:26:040203:2679, </t>
        </is>
      </c>
      <c r="V259" t="n">
        <v>0</v>
      </c>
      <c r="Y259" t="n">
        <v>0</v>
      </c>
      <c r="AA259" t="n">
        <v>0</v>
      </c>
      <c r="AB259" t="n">
        <v>0</v>
      </c>
    </row>
    <row r="260">
      <c r="A260" s="7" t="n">
        <v>258</v>
      </c>
      <c r="B260" t="n">
        <v>38</v>
      </c>
      <c r="C260" s="1" t="n">
        <v>396.5</v>
      </c>
      <c r="D260" s="2">
        <f>HYPERLINK("https://torgi.gov.ru/new/public/lots/lot/21000007110000000014_2/(lotInfo:info)", "21000007110000000014_2")</f>
        <v/>
      </c>
      <c r="E260" t="inlineStr">
        <is>
          <t>Нежилое помещение, назначение: нежилое, кадастровый номер: 38:26:040201:3697, расположенное по адресу: Иркутская область, г. Ангарск, мкр. 6-й, д. 13/13а, пом. 152, общей площадью 396,5 кв.м.</t>
        </is>
      </c>
      <c r="F260" s="3" t="inlineStr">
        <is>
          <t>25.07.22 06:00</t>
        </is>
      </c>
      <c r="G260" t="inlineStr">
        <is>
          <t>Иркутская обл, г Ангарск, мкр 6, д 13</t>
        </is>
      </c>
      <c r="H260" s="4" t="n">
        <v>8027000</v>
      </c>
      <c r="I260" s="4" t="n">
        <v>20244.64060529634</v>
      </c>
      <c r="J260" t="inlineStr">
        <is>
          <t>Нежилое помещение</t>
        </is>
      </c>
      <c r="K260" s="5" t="n">
        <v>2.91</v>
      </c>
      <c r="L260" s="4" t="n">
        <v>266.37</v>
      </c>
      <c r="M260" t="n">
        <v>6951</v>
      </c>
      <c r="N260" s="6" t="n">
        <v>225489</v>
      </c>
      <c r="O260" t="n">
        <v>76</v>
      </c>
      <c r="Q260" t="inlineStr">
        <is>
          <t>EA</t>
        </is>
      </c>
      <c r="R260" t="inlineStr">
        <is>
          <t>М</t>
        </is>
      </c>
      <c r="S260" s="2">
        <f>HYPERLINK("https://yandex.ru/maps/?&amp;text=52.516818, 103.87481", "52.516818, 103.87481")</f>
        <v/>
      </c>
      <c r="T260" s="2">
        <f>HYPERLINK("D:\venv_torgi\env\cache\objs_in_district/52.516818_103.87481.json", "52.516818_103.87481.json")</f>
        <v/>
      </c>
      <c r="U260" t="inlineStr">
        <is>
          <t xml:space="preserve">38:26:040201:3697, </t>
        </is>
      </c>
      <c r="V260" t="n">
        <v>0</v>
      </c>
      <c r="Y260" t="n">
        <v>0</v>
      </c>
      <c r="AA260" t="n">
        <v>0</v>
      </c>
      <c r="AB260" t="n">
        <v>0</v>
      </c>
    </row>
    <row r="261">
      <c r="A261" s="7" t="n">
        <v>259</v>
      </c>
      <c r="B261" t="n">
        <v>38</v>
      </c>
      <c r="C261" s="1" t="n">
        <v>99.2</v>
      </c>
      <c r="D261" s="2">
        <f>HYPERLINK("https://torgi.gov.ru/new/public/lots/lot/21000030270000000003_1/(lotInfo:info)", "21000030270000000003_1")</f>
        <v/>
      </c>
      <c r="E261" t="inlineStr">
        <is>
          <t>Нежилое помещение с кадастровым номером 38:22:000054:1204, площадью 99,2кв.м., находится в цокольном этаже многоквартирного панельного жилого дома. Требуется ремонт помещения.</t>
        </is>
      </c>
      <c r="F261" s="3" t="inlineStr">
        <is>
          <t>04.07.22 09:00</t>
        </is>
      </c>
      <c r="G261" t="inlineStr">
        <is>
          <t>Иркутская обл, г Бодайбо, ул Карла Либкнехта, д 54, помещ 7</t>
        </is>
      </c>
      <c r="H261" s="4" t="n">
        <v>2029766</v>
      </c>
      <c r="I261" s="4" t="n">
        <v>20461.35080645161</v>
      </c>
      <c r="J261" t="inlineStr">
        <is>
          <t>Нежилое помещение</t>
        </is>
      </c>
      <c r="K261" s="5" t="n">
        <v>2.04</v>
      </c>
      <c r="L261" s="4" t="n">
        <v>314.78</v>
      </c>
      <c r="M261" t="n">
        <v>10021</v>
      </c>
      <c r="N261" s="6" t="n">
        <v>11931</v>
      </c>
      <c r="O261" t="n">
        <v>65</v>
      </c>
      <c r="Q261" t="inlineStr">
        <is>
          <t>EA</t>
        </is>
      </c>
      <c r="R261" t="inlineStr">
        <is>
          <t>М</t>
        </is>
      </c>
      <c r="S261" s="2">
        <f>HYPERLINK("https://yandex.ru/maps/?&amp;text=57.848919, 114.19763", "57.848919, 114.19763")</f>
        <v/>
      </c>
      <c r="T261" s="2">
        <f>HYPERLINK("D:\venv_torgi\env\cache\objs_in_district/57.848919_114.19763.json", "57.848919_114.19763.json")</f>
        <v/>
      </c>
      <c r="U261" t="inlineStr">
        <is>
          <t xml:space="preserve">38:22:000054:1204, </t>
        </is>
      </c>
      <c r="V261" t="n">
        <v>0</v>
      </c>
      <c r="Y261" t="n">
        <v>0</v>
      </c>
      <c r="AA261" t="n">
        <v>-1</v>
      </c>
      <c r="AB261" t="n">
        <v>0</v>
      </c>
    </row>
    <row r="262">
      <c r="A262" s="7" t="n">
        <v>260</v>
      </c>
      <c r="B262" t="n">
        <v>38</v>
      </c>
      <c r="C262" s="1" t="n">
        <v>49.7</v>
      </c>
      <c r="D262" s="2">
        <f>HYPERLINK("https://torgi.gov.ru/new/public/lots/lot/22000092900000000001_1/(lotInfo:info)", "22000092900000000001_1")</f>
        <v/>
      </c>
      <c r="E262" t="inlineStr">
        <is>
          <t>Нежилое помещение, назначение: нежилое помещение, общая площадь 49,7 кв.м., этаж №1, кадастровый номер 38:06:130101:2679, расположенное по адресу: Иркутская область, Иркутский район, с. Мамоны, ул. Центральная,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производства, площадь 6976 кв.м., кадастровый номер 38:06:130101:1026, расположенный по адресу: Иркутская область, Иркутский район, с. Мамоны, ул. Центральная,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      </is>
      </c>
      <c r="F262" s="3" t="inlineStr">
        <is>
          <t>16.06.22 15:00</t>
        </is>
      </c>
      <c r="G262" t="inlineStr">
        <is>
          <t>Иркутская обл, Иркутский р-н, село Мамоны, ул Центральная</t>
        </is>
      </c>
      <c r="H262" s="4" t="n">
        <v>6750040</v>
      </c>
      <c r="I262" s="4" t="n">
        <v>135815.6941649899</v>
      </c>
      <c r="J262" t="inlineStr">
        <is>
          <t>Нежилое помещение</t>
        </is>
      </c>
      <c r="K262" s="5" t="n">
        <v>577.9400000000001</v>
      </c>
      <c r="L262" s="4" t="n">
        <v>45271.67</v>
      </c>
      <c r="M262" t="n">
        <v>235</v>
      </c>
      <c r="N262" s="6" t="n">
        <v>5751</v>
      </c>
      <c r="O262" t="n">
        <v>3</v>
      </c>
      <c r="Q262" t="inlineStr">
        <is>
          <t>EA</t>
        </is>
      </c>
      <c r="R262" t="inlineStr">
        <is>
          <t>М</t>
        </is>
      </c>
      <c r="S262" s="2">
        <f>HYPERLINK("https://yandex.ru/maps/?&amp;text=52.308495, 104.176096", "52.308495, 104.176096")</f>
        <v/>
      </c>
      <c r="T262" s="2">
        <f>HYPERLINK("D:\venv_torgi\env\cache\objs_in_district/52.308495_104.176096.json", "52.308495_104.176096.json")</f>
        <v/>
      </c>
      <c r="U262" t="inlineStr">
        <is>
          <t xml:space="preserve">38:06:130101:2679, </t>
        </is>
      </c>
      <c r="V262" t="n">
        <v>1</v>
      </c>
      <c r="Y262" t="n">
        <v>0</v>
      </c>
      <c r="AA262" t="n">
        <v>0</v>
      </c>
      <c r="AB262" t="n">
        <v>1</v>
      </c>
    </row>
    <row r="263">
      <c r="A263" s="7" t="n">
        <v>261</v>
      </c>
      <c r="B263" t="n">
        <v>39</v>
      </c>
      <c r="C263" s="1" t="n">
        <v>77.09999999999999</v>
      </c>
      <c r="D263" s="2">
        <f>HYPERLINK("https://torgi.gov.ru/new/public/lots/lot/22000009520000000003_1/(lotInfo:info)", "22000009520000000003_1")</f>
        <v/>
      </c>
      <c r="E263" t="inlineStr">
        <is>
          <t>Нежилое помещение общей площадью 77,1 кв.м., КН 39:06:050302:90, расположенное по адресу: Калининградская область, Краснознаменский район, п. Добровольск, ул. Садовая, д.2, пом. 1.</t>
        </is>
      </c>
      <c r="F263" s="3" t="inlineStr">
        <is>
          <t>10.04.22 13:00</t>
        </is>
      </c>
      <c r="G263" t="inlineStr">
        <is>
          <t>Калининградская обл, Краснознаменский р-н, поселок Добровольск, ул Садовая, д 2</t>
        </is>
      </c>
      <c r="H263" s="4" t="n">
        <v>162000</v>
      </c>
      <c r="I263" s="4" t="n">
        <v>2101.167315175097</v>
      </c>
      <c r="J263" t="inlineStr">
        <is>
          <t>Нежилое помещение</t>
        </is>
      </c>
      <c r="K263" s="5" t="n">
        <v>7.2</v>
      </c>
      <c r="M263" t="n">
        <v>292</v>
      </c>
      <c r="N263" s="6" t="n">
        <v>1806</v>
      </c>
      <c r="Q263" t="inlineStr">
        <is>
          <t>EA</t>
        </is>
      </c>
      <c r="R263" t="inlineStr">
        <is>
          <t>М</t>
        </is>
      </c>
      <c r="S263" s="2">
        <f>HYPERLINK("https://yandex.ru/maps/?&amp;text=54.769897, 22.504163", "54.769897, 22.504163")</f>
        <v/>
      </c>
      <c r="U263" t="inlineStr">
        <is>
          <t>39:06:050302:90</t>
        </is>
      </c>
      <c r="V263" t="n">
        <v>1</v>
      </c>
      <c r="Y263" t="n">
        <v>0</v>
      </c>
      <c r="AA263" t="n">
        <v>0</v>
      </c>
      <c r="AB263" t="n">
        <v>0</v>
      </c>
    </row>
    <row r="264">
      <c r="A264" s="7" t="n">
        <v>262</v>
      </c>
      <c r="B264" t="n">
        <v>39</v>
      </c>
      <c r="C264" s="1" t="n">
        <v>194.2</v>
      </c>
      <c r="D264" s="2">
        <f>HYPERLINK("https://torgi.gov.ru/new/public/lots/lot/22000054080000000004_1/(lotInfo:info)", "22000054080000000004_1")</f>
        <v/>
      </c>
      <c r="E264" t="inlineStr">
        <is>
          <t>Жилой дом с нежилыми помещениями (аварийный, подлежащий сносу) с кадастровым номером 39:11:010009:40, общей площадью 194,2 кв.м.; земельный участок из земель населенных пунктов с кадастровым номером 39:11:010009:116, общей площадью 205,0 кв.м, с разрешенным использованием – среднеэтажная жилая застройка (под существующим многоквартирным жилым домом), расположенные по адресу: Калининградская область, город Правдинск, улица Столярная, дом 9</t>
        </is>
      </c>
      <c r="F264" s="3" t="inlineStr">
        <is>
          <t>21.07.22 15:00</t>
        </is>
      </c>
      <c r="G264" t="inlineStr">
        <is>
          <t>Калининградская обл, г Правдинск, ул Столярная, д 9</t>
        </is>
      </c>
      <c r="H264" s="4" t="n">
        <v>787600</v>
      </c>
      <c r="I264" s="4" t="n">
        <v>4055.612770339856</v>
      </c>
      <c r="J264" t="inlineStr">
        <is>
          <t>Нежилое помещение</t>
        </is>
      </c>
      <c r="K264" s="5" t="n">
        <v>3.74</v>
      </c>
      <c r="L264" s="4" t="n">
        <v>311.92</v>
      </c>
      <c r="M264" t="n">
        <v>1084</v>
      </c>
      <c r="N264" s="6" t="n">
        <v>6748</v>
      </c>
      <c r="O264" t="n">
        <v>13</v>
      </c>
      <c r="Q264" t="inlineStr">
        <is>
          <t>EA</t>
        </is>
      </c>
      <c r="R264" t="inlineStr">
        <is>
          <t>М</t>
        </is>
      </c>
      <c r="S264" s="2">
        <f>HYPERLINK("https://yandex.ru/maps/?&amp;text=54.446863, 21.017658", "54.446863, 21.017658")</f>
        <v/>
      </c>
      <c r="T264" s="2">
        <f>HYPERLINK("D:\venv_torgi\env\cache\objs_in_district/54.446863_21.017658.json", "54.446863_21.017658.json")</f>
        <v/>
      </c>
      <c r="U264" t="inlineStr">
        <is>
          <t xml:space="preserve">39:11:010009:40, </t>
        </is>
      </c>
      <c r="V264" t="n">
        <v>1</v>
      </c>
      <c r="Y264" t="n">
        <v>0</v>
      </c>
      <c r="AA264" t="n">
        <v>0</v>
      </c>
      <c r="AB264" t="n">
        <v>1</v>
      </c>
    </row>
    <row r="265">
      <c r="A265" s="7" t="n">
        <v>263</v>
      </c>
      <c r="B265" t="n">
        <v>39</v>
      </c>
      <c r="C265" s="1" t="n">
        <v>34.4</v>
      </c>
      <c r="D265" s="2">
        <f>HYPERLINK("https://torgi.gov.ru/new/public/lots/lot/21000033490000000032_1/(lotInfo:info)", "21000033490000000032_1")</f>
        <v/>
      </c>
      <c r="E265" t="inlineStr">
        <is>
          <t>Нежилое помещение  площадью 34,4 кв.м</t>
        </is>
      </c>
      <c r="F265" s="3" t="inlineStr">
        <is>
          <t>22.08.22 20:00</t>
        </is>
      </c>
      <c r="G265" t="inlineStr">
        <is>
          <t>Калининградская обл, Гусевский р-н, поселок Поддубы, ул Приозерная, д 61</t>
        </is>
      </c>
      <c r="H265" s="4" t="n">
        <v>316800</v>
      </c>
      <c r="I265" s="4" t="n">
        <v>9209.302325581395</v>
      </c>
      <c r="J265" t="inlineStr">
        <is>
          <t>Нежилое помещение</t>
        </is>
      </c>
      <c r="K265" s="5" t="n">
        <v>4604.5</v>
      </c>
      <c r="M265" t="n">
        <v>2</v>
      </c>
      <c r="N265" s="6" t="n">
        <v>456</v>
      </c>
      <c r="Q265" t="inlineStr">
        <is>
          <t>PP</t>
        </is>
      </c>
      <c r="R265" t="inlineStr">
        <is>
          <t>М</t>
        </is>
      </c>
      <c r="S265" s="2">
        <f>HYPERLINK("https://yandex.ru/maps/?&amp;text=54.612269, 22.099248", "54.612269, 22.099248")</f>
        <v/>
      </c>
      <c r="U265" t="inlineStr">
        <is>
          <t xml:space="preserve">39:04:020001:68, </t>
        </is>
      </c>
      <c r="V265" t="n">
        <v>1</v>
      </c>
      <c r="Y265" t="n">
        <v>0</v>
      </c>
      <c r="AA265" t="n">
        <v>0</v>
      </c>
      <c r="AB265" t="n">
        <v>0</v>
      </c>
    </row>
    <row r="266">
      <c r="A266" s="7" t="n">
        <v>264</v>
      </c>
      <c r="B266" t="n">
        <v>39</v>
      </c>
      <c r="C266" s="1" t="n">
        <v>26.8</v>
      </c>
      <c r="D266" s="2">
        <f>HYPERLINK("https://torgi.gov.ru/new/public/lots/lot/21000033490000000033_1/(lotInfo:info)", "21000033490000000033_1")</f>
        <v/>
      </c>
      <c r="E266" t="inlineStr">
        <is>
          <t>нежилое помещение</t>
        </is>
      </c>
      <c r="F266" s="3" t="inlineStr">
        <is>
          <t>22.08.22 20:00</t>
        </is>
      </c>
      <c r="G266" t="inlineStr">
        <is>
          <t>Калининградская обл, г Гусев, Железнодорожный пер, д 4</t>
        </is>
      </c>
      <c r="H266" s="4" t="n">
        <v>248500</v>
      </c>
      <c r="I266" s="4" t="n">
        <v>9272.388059701492</v>
      </c>
      <c r="J266" t="inlineStr">
        <is>
          <t>Нежилое помещение</t>
        </is>
      </c>
      <c r="K266" s="5" t="n">
        <v>7.04</v>
      </c>
      <c r="M266" t="n">
        <v>1317</v>
      </c>
      <c r="N266" s="6" t="n">
        <v>28342</v>
      </c>
      <c r="Q266" t="inlineStr">
        <is>
          <t>PP</t>
        </is>
      </c>
      <c r="R266" t="inlineStr">
        <is>
          <t>М</t>
        </is>
      </c>
      <c r="S266" s="2">
        <f>HYPERLINK("https://yandex.ru/maps/?&amp;text=54.583515, 22.208311", "54.583515, 22.208311")</f>
        <v/>
      </c>
      <c r="U266" t="inlineStr">
        <is>
          <t xml:space="preserve">39:04:010225:136, </t>
        </is>
      </c>
      <c r="V266" t="n">
        <v>1</v>
      </c>
      <c r="Y266" t="n">
        <v>0</v>
      </c>
      <c r="AA266" t="n">
        <v>0</v>
      </c>
      <c r="AB266" t="n">
        <v>0</v>
      </c>
    </row>
    <row r="267">
      <c r="A267" s="7" t="n">
        <v>265</v>
      </c>
      <c r="B267" t="n">
        <v>39</v>
      </c>
      <c r="C267" s="1" t="n">
        <v>30.8</v>
      </c>
      <c r="D267" s="2">
        <f>HYPERLINK("https://torgi.gov.ru/new/public/lots/lot/21000033490000000008_1/(lotInfo:info)", "21000033490000000008_1")</f>
        <v/>
      </c>
      <c r="E267" t="inlineStr">
        <is>
          <t>Нежилое помещение площадью 30,8 кв.м.</t>
        </is>
      </c>
      <c r="F267" s="3" t="inlineStr">
        <is>
          <t>06.05.22 14:00</t>
        </is>
      </c>
      <c r="G267" t="inlineStr">
        <is>
          <t>Калининградская обл, Гусевский р-н, поселок Фурманово, ул Парковая, д 7, помещ 2</t>
        </is>
      </c>
      <c r="H267" s="4" t="n">
        <v>302000</v>
      </c>
      <c r="I267" s="4" t="n">
        <v>9805.194805194806</v>
      </c>
      <c r="J267" t="inlineStr">
        <is>
          <t>Нежилое помещение</t>
        </is>
      </c>
      <c r="K267" s="5" t="n">
        <v>43.97</v>
      </c>
      <c r="M267" t="n">
        <v>223</v>
      </c>
      <c r="N267" s="6" t="n">
        <v>688</v>
      </c>
      <c r="Q267" t="inlineStr">
        <is>
          <t>EA</t>
        </is>
      </c>
      <c r="R267" t="inlineStr">
        <is>
          <t>М</t>
        </is>
      </c>
      <c r="S267" s="2">
        <f>HYPERLINK("https://yandex.ru/maps/?&amp;text=54.605026, 22.155006", "54.605026, 22.155006")</f>
        <v/>
      </c>
      <c r="U267" t="inlineStr">
        <is>
          <t xml:space="preserve">39:04:320006:74, </t>
        </is>
      </c>
      <c r="V267" t="n">
        <v>1</v>
      </c>
      <c r="Y267" t="n">
        <v>0</v>
      </c>
      <c r="AA267" t="n">
        <v>0</v>
      </c>
      <c r="AB267" t="n">
        <v>0</v>
      </c>
    </row>
    <row r="268">
      <c r="A268" s="7" t="n">
        <v>266</v>
      </c>
      <c r="B268" t="n">
        <v>39</v>
      </c>
      <c r="C268" s="1" t="n">
        <v>83.8</v>
      </c>
      <c r="D268" s="2">
        <f>HYPERLINK("https://torgi.gov.ru/new/public/lots/lot/22000054080000000009_1/(lotInfo:info)", "22000054080000000009_1")</f>
        <v/>
      </c>
      <c r="E268" t="inlineStr">
        <is>
          <t>Нежилое здание (водонапорная башня № 3) с кадастровым номером 39:11:020009:220, общей площадью 83,8 кв.м., расположенного по адресу: Калининградская область, Правдинский район, п. Железнодорожный, ул. Вокзальная.</t>
        </is>
      </c>
      <c r="F268" s="3" t="inlineStr">
        <is>
          <t>21.07.22 15:00</t>
        </is>
      </c>
      <c r="G268" t="inlineStr">
        <is>
          <t>Калининградская обл, Правдинский р-н, поселок Железнодорожный, ул Вокзальная</t>
        </is>
      </c>
      <c r="H268" s="4" t="n">
        <v>1032900</v>
      </c>
      <c r="I268" s="4" t="n">
        <v>12325.77565632458</v>
      </c>
      <c r="J268" t="inlineStr">
        <is>
          <t>жилое здание</t>
        </is>
      </c>
      <c r="K268" s="5" t="n">
        <v>41.08</v>
      </c>
      <c r="L268" s="4" t="inlineStr"/>
      <c r="M268" t="n">
        <v>300</v>
      </c>
      <c r="N268" s="6" t="n">
        <v>2529</v>
      </c>
      <c r="O268" t="inlineStr"/>
      <c r="Q268" t="inlineStr">
        <is>
          <t>EA</t>
        </is>
      </c>
      <c r="R268" t="inlineStr">
        <is>
          <t>М</t>
        </is>
      </c>
      <c r="S268" s="2">
        <f>HYPERLINK("https://yandex.ru/maps/?&amp;text=54.356088, 21.322591", "54.356088, 21.322591")</f>
        <v/>
      </c>
      <c r="T268" s="8">
        <f>HYPERLINK("D:\venv_torgi\env\cache\objs_in_district/54.356088_21.322591.json", "54.356088_21.322591.json")</f>
        <v/>
      </c>
      <c r="U268" t="inlineStr">
        <is>
          <t xml:space="preserve">39:11:020009:220, </t>
        </is>
      </c>
      <c r="V268" t="n">
        <v>0</v>
      </c>
      <c r="Y268" t="n">
        <v>0</v>
      </c>
      <c r="AA268" t="n">
        <v>0</v>
      </c>
      <c r="AB268" t="n">
        <v>0</v>
      </c>
    </row>
    <row r="269">
      <c r="A269" s="7" t="n">
        <v>267</v>
      </c>
      <c r="B269" t="n">
        <v>39</v>
      </c>
      <c r="C269" s="1" t="n">
        <v>36.5</v>
      </c>
      <c r="D269" s="2">
        <f>HYPERLINK("https://torgi.gov.ru/new/public/lots/lot/21000033490000000036_1/(lotInfo:info)", "21000033490000000036_1")</f>
        <v/>
      </c>
      <c r="E269" t="inlineStr">
        <is>
          <t>нежилое помещение</t>
        </is>
      </c>
      <c r="F269" s="3" t="inlineStr">
        <is>
          <t>24.08.22 20:00</t>
        </is>
      </c>
      <c r="G269" t="inlineStr">
        <is>
          <t>Калининградская обл, г Гусев, ул Советская, д 19</t>
        </is>
      </c>
      <c r="H269" s="4" t="n">
        <v>555750</v>
      </c>
      <c r="I269" s="4" t="n">
        <v>15226.02739726027</v>
      </c>
      <c r="J269" t="inlineStr">
        <is>
          <t>Нежилое помещение</t>
        </is>
      </c>
      <c r="K269" s="5" t="n">
        <v>8.619999999999999</v>
      </c>
      <c r="L269" s="4" t="inlineStr"/>
      <c r="M269" t="n">
        <v>1766</v>
      </c>
      <c r="N269" s="6" t="n">
        <v>28342</v>
      </c>
      <c r="O269" t="inlineStr"/>
      <c r="Q269" t="inlineStr">
        <is>
          <t>PP</t>
        </is>
      </c>
      <c r="R269" t="inlineStr">
        <is>
          <t>М</t>
        </is>
      </c>
      <c r="S269" s="2">
        <f>HYPERLINK("https://yandex.ru/maps/?&amp;text=54.589493, 22.180285", "54.589493, 22.180285")</f>
        <v/>
      </c>
      <c r="T269" s="8">
        <f>HYPERLINK("D:\venv_torgi\env\cache\objs_in_district/54.589493_22.180285.json", "54.589493_22.180285.json")</f>
        <v/>
      </c>
      <c r="U269" t="inlineStr">
        <is>
          <t xml:space="preserve">39:04:010105:566, </t>
        </is>
      </c>
      <c r="V269" t="n">
        <v>1</v>
      </c>
      <c r="Y269" t="n">
        <v>0</v>
      </c>
      <c r="AA269" t="n">
        <v>0</v>
      </c>
      <c r="AB269" t="n">
        <v>0</v>
      </c>
    </row>
    <row r="270">
      <c r="A270" s="7" t="n">
        <v>268</v>
      </c>
      <c r="B270" t="n">
        <v>39</v>
      </c>
      <c r="C270" s="1" t="n">
        <v>18.5</v>
      </c>
      <c r="D270" s="2">
        <f>HYPERLINK("https://torgi.gov.ru/new/public/lots/lot/21000007890000000004_1/(lotInfo:info)", "21000007890000000004_1")</f>
        <v/>
      </c>
      <c r="E270" t="inlineStr">
        <is>
          <t>Нежилое помещение общей площадью – 18,5 кв.м, с кадастровым номером 39:15:121525:166, расположенное по адресу г. Калининград, ул. Кирова, д. 25-27, пом. III-КМИ.</t>
        </is>
      </c>
      <c r="F270" s="3" t="inlineStr">
        <is>
          <t>19.07.22 08:00</t>
        </is>
      </c>
      <c r="G270" t="inlineStr">
        <is>
          <t>г Калининград, ул Кирова, д 25-27</t>
        </is>
      </c>
      <c r="H270" s="4" t="n">
        <v>417900</v>
      </c>
      <c r="I270" s="4" t="n">
        <v>22589.18918918919</v>
      </c>
      <c r="J270" t="inlineStr">
        <is>
          <t>Нежилое помещение</t>
        </is>
      </c>
      <c r="K270" s="5" t="n">
        <v>6.24</v>
      </c>
      <c r="M270" t="n">
        <v>3619</v>
      </c>
      <c r="N270" s="6" t="n">
        <v>467289</v>
      </c>
      <c r="Q270" t="inlineStr">
        <is>
          <t>EA</t>
        </is>
      </c>
      <c r="R270" t="inlineStr">
        <is>
          <t>М</t>
        </is>
      </c>
      <c r="S270" s="2">
        <f>HYPERLINK("https://yandex.ru/maps/?&amp;text=54.725977, 20.489979", "54.725977, 20.489979")</f>
        <v/>
      </c>
      <c r="U270" t="inlineStr">
        <is>
          <t xml:space="preserve">39:15:121525:166, </t>
        </is>
      </c>
      <c r="V270" t="n">
        <v>0</v>
      </c>
      <c r="Y270" t="n">
        <v>0</v>
      </c>
      <c r="AA270" t="n">
        <v>0</v>
      </c>
      <c r="AB270" t="n">
        <v>0</v>
      </c>
    </row>
    <row r="271">
      <c r="A271" s="7" t="n">
        <v>269</v>
      </c>
      <c r="B271" t="n">
        <v>39</v>
      </c>
      <c r="C271" s="1" t="n">
        <v>21.2</v>
      </c>
      <c r="D271" s="2">
        <f>HYPERLINK("https://torgi.gov.ru/new/public/lots/lot/21000007890000000012_1/(lotInfo:info)", "21000007890000000012_1")</f>
        <v/>
      </c>
      <c r="E271" t="inlineStr">
        <is>
          <t>В соответствии с информационным сообщением.</t>
        </is>
      </c>
      <c r="F271" s="3" t="inlineStr">
        <is>
          <t>05.08.22 08:00</t>
        </is>
      </c>
      <c r="G271" t="inlineStr">
        <is>
          <t>г Калининград, ул Лермонтова, д 16</t>
        </is>
      </c>
      <c r="H271" s="4" t="n">
        <v>684000</v>
      </c>
      <c r="I271" s="4" t="n">
        <v>32264.15094339623</v>
      </c>
      <c r="J271" t="inlineStr">
        <is>
          <t>Нежилое помещение</t>
        </is>
      </c>
      <c r="K271" s="5" t="n">
        <v>5.72</v>
      </c>
      <c r="L271" s="4" t="n">
        <v>1194.96</v>
      </c>
      <c r="M271" t="n">
        <v>5643</v>
      </c>
      <c r="N271" s="6" t="n">
        <v>467289</v>
      </c>
      <c r="O271" t="n">
        <v>27</v>
      </c>
      <c r="Q271" t="inlineStr">
        <is>
          <t>EA</t>
        </is>
      </c>
      <c r="R271" t="inlineStr">
        <is>
          <t>М</t>
        </is>
      </c>
      <c r="S271" s="2">
        <f>HYPERLINK("https://yandex.ru/maps/?&amp;text=54.733223, 20.524519", "54.733223, 20.524519")</f>
        <v/>
      </c>
      <c r="T271" s="2">
        <f>HYPERLINK("D:\venv_torgi\env\cache\objs_in_district/54.733223_20.524519.json", "54.733223_20.524519.json")</f>
        <v/>
      </c>
      <c r="U271" t="inlineStr">
        <is>
          <t>39:15:131822:244</t>
        </is>
      </c>
      <c r="V271" t="n">
        <v>1</v>
      </c>
      <c r="Y271" t="n">
        <v>0</v>
      </c>
      <c r="AA271" t="n">
        <v>0</v>
      </c>
      <c r="AB271" t="n">
        <v>0</v>
      </c>
    </row>
    <row r="272">
      <c r="A272" s="7" t="n">
        <v>270</v>
      </c>
      <c r="B272" t="n">
        <v>39</v>
      </c>
      <c r="C272" s="1" t="n">
        <v>121.8</v>
      </c>
      <c r="D272" s="2">
        <f>HYPERLINK("https://torgi.gov.ru/new/public/lots/lot/21000029430000000015_16/(lotInfo:info)", "21000029430000000015_16")</f>
        <v/>
      </c>
      <c r="E272" t="inlineStr">
        <is>
          <t>Нежилое помещение, площадью 121.8 кв.м, кадастровый номер: 39:15:133003:78, этаж № 1</t>
        </is>
      </c>
      <c r="F272" s="3" t="inlineStr">
        <is>
          <t>15.07.22 07:00</t>
        </is>
      </c>
      <c r="G272" t="inlineStr">
        <is>
          <t>г Калининград, ул Аксакова, д 131</t>
        </is>
      </c>
      <c r="H272" s="4" t="n">
        <v>4071092</v>
      </c>
      <c r="I272" s="4" t="n">
        <v>33424.40065681445</v>
      </c>
      <c r="J272" t="inlineStr">
        <is>
          <t>Нежилое помещение</t>
        </is>
      </c>
      <c r="K272" s="5" t="n">
        <v>5.42</v>
      </c>
      <c r="L272" s="4" t="n">
        <v>1966.12</v>
      </c>
      <c r="M272" t="n">
        <v>6162</v>
      </c>
      <c r="N272" s="6" t="n">
        <v>467289</v>
      </c>
      <c r="O272" t="n">
        <v>17</v>
      </c>
      <c r="Q272" t="inlineStr">
        <is>
          <t>EA</t>
        </is>
      </c>
      <c r="R272" t="inlineStr">
        <is>
          <t>Д</t>
        </is>
      </c>
      <c r="S272" s="2">
        <f>HYPERLINK("https://yandex.ru/maps/?&amp;text=54.711868, 20.58202", "54.711868, 20.58202")</f>
        <v/>
      </c>
      <c r="T272" s="2">
        <f>HYPERLINK("D:\venv_torgi\env\cache\objs_in_district/54.711868_20.58202.json", "54.711868_20.58202.json")</f>
        <v/>
      </c>
      <c r="U272" t="inlineStr">
        <is>
          <t xml:space="preserve">39:15:133003:78, </t>
        </is>
      </c>
      <c r="V272" t="n">
        <v>1</v>
      </c>
      <c r="Y272" t="n">
        <v>0</v>
      </c>
      <c r="AA272" t="n">
        <v>0</v>
      </c>
      <c r="AB272" t="n">
        <v>0</v>
      </c>
    </row>
    <row r="273">
      <c r="A273" s="7" t="n">
        <v>271</v>
      </c>
      <c r="B273" t="n">
        <v>40</v>
      </c>
      <c r="C273" s="1" t="n">
        <v>109.6</v>
      </c>
      <c r="D273" s="2">
        <f>HYPERLINK("https://torgi.gov.ru/new/public/lots/lot/22000064520000000001_1/(lotInfo:info)", "22000064520000000001_1")</f>
        <v/>
      </c>
      <c r="E273" t="inlineStr">
        <is>
          <t>нежилое помещение, кадастровый номер 40:11:072300:638, расположенное по адресу: Калужская область, Куйбышевский район, д. Кузьминичи, ул. Центральная, д. 3А</t>
        </is>
      </c>
      <c r="F273" s="3" t="inlineStr">
        <is>
          <t>16.04.22 09:00</t>
        </is>
      </c>
      <c r="G273" t="inlineStr">
        <is>
          <t>Калужская обл, Куйбышевский р-н, деревня Кузьминичи, ул Центральная, д 3а</t>
        </is>
      </c>
      <c r="H273" s="4" t="n">
        <v>450429</v>
      </c>
      <c r="I273" s="4" t="n">
        <v>4109.753649635037</v>
      </c>
      <c r="J273" t="inlineStr">
        <is>
          <t>Нежилое помещение</t>
        </is>
      </c>
      <c r="K273" s="5" t="n">
        <v>45.66</v>
      </c>
      <c r="M273" t="n">
        <v>90</v>
      </c>
      <c r="N273" s="6" t="n">
        <v>187</v>
      </c>
      <c r="Q273" t="inlineStr">
        <is>
          <t>EA</t>
        </is>
      </c>
      <c r="R273" t="inlineStr">
        <is>
          <t>М</t>
        </is>
      </c>
      <c r="S273" s="2">
        <f>HYPERLINK("https://yandex.ru/maps/?&amp;text=54.239826, 33.718363", "54.239826, 33.718363")</f>
        <v/>
      </c>
      <c r="U273" t="inlineStr">
        <is>
          <t xml:space="preserve">40:11:072300:638, </t>
        </is>
      </c>
      <c r="V273" t="n">
        <v>0</v>
      </c>
      <c r="Y273" t="n">
        <v>0</v>
      </c>
      <c r="AA273" t="n">
        <v>0</v>
      </c>
      <c r="AB273" t="n">
        <v>0</v>
      </c>
    </row>
    <row r="274">
      <c r="A274" s="7" t="n">
        <v>272</v>
      </c>
      <c r="B274" t="n">
        <v>40</v>
      </c>
      <c r="C274" s="1" t="n">
        <v>41.5</v>
      </c>
      <c r="D274" s="2">
        <f>HYPERLINK("https://torgi.gov.ru/new/public/lots/lot/22000014810000000003_1/(lotInfo:info)", "22000014810000000003_1")</f>
        <v/>
      </c>
      <c r="E274" t="inlineStr">
        <is>
          <t>Нежилое помещение, назначение: нежилое помещение, общая площадь 41,5 кв.м, этаж № 1, кадастровый номер 40:26:000142:439, адрес (местоположение): Калужская область, г. Калуга, ул. Зеленая, д. 52, кв. 1</t>
        </is>
      </c>
      <c r="F274" s="3" t="inlineStr">
        <is>
          <t>17.02.22 20:59</t>
        </is>
      </c>
      <c r="G274" t="inlineStr">
        <is>
          <t>г Калуга, ул Зеленая, д 52</t>
        </is>
      </c>
      <c r="H274" s="4" t="n">
        <v>1450050</v>
      </c>
      <c r="I274" s="4" t="n">
        <v>34940.96385542169</v>
      </c>
      <c r="J274" t="inlineStr">
        <is>
          <t>Нежилое помещение</t>
        </is>
      </c>
      <c r="K274" s="5" t="n">
        <v>8.32</v>
      </c>
      <c r="L274" s="4" t="n">
        <v>1588.18</v>
      </c>
      <c r="M274" t="n">
        <v>4201</v>
      </c>
      <c r="N274" s="6" t="n">
        <v>351909</v>
      </c>
      <c r="O274" t="n">
        <v>22</v>
      </c>
      <c r="Q274" t="inlineStr">
        <is>
          <t>EA</t>
        </is>
      </c>
      <c r="R274" t="inlineStr">
        <is>
          <t>М</t>
        </is>
      </c>
      <c r="S274" s="2">
        <f>HYPERLINK("https://yandex.ru/maps/?&amp;text=54.552807, 36.29545", "54.552807, 36.29545")</f>
        <v/>
      </c>
      <c r="T274" s="2">
        <f>HYPERLINK("D:\venv_torgi\env\cache\objs_in_district/54.552807_36.29545.json", "54.552807_36.29545.json")</f>
        <v/>
      </c>
      <c r="U274" t="inlineStr">
        <is>
          <t xml:space="preserve">40:26:000142:439, </t>
        </is>
      </c>
      <c r="V274" t="n">
        <v>1</v>
      </c>
      <c r="Y274" t="n">
        <v>0</v>
      </c>
      <c r="AA274" t="n">
        <v>0</v>
      </c>
      <c r="AB274" t="n">
        <v>0</v>
      </c>
    </row>
    <row r="275">
      <c r="A275" s="7" t="n">
        <v>273</v>
      </c>
      <c r="B275" t="n">
        <v>40</v>
      </c>
      <c r="C275" s="1" t="n">
        <v>55.5</v>
      </c>
      <c r="D275" s="2">
        <f>HYPERLINK("https://torgi.gov.ru/new/public/lots/lot/22000014810000000024_1/(lotInfo:info)", "22000014810000000024_1")</f>
        <v/>
      </c>
      <c r="E275" t="inlineStr">
        <is>
          <t>Нежилые помещения, назначение: нежилые помещения, расположенные по адресу: Калужская область, г. Калуга, ул. Воронина, д. 6/112 - общей площадью - 10,2 кв. м, этаж № 1, кадастровый номер 40:26:000262:1243, кв. 5, 6, 7, 8, 9, номер на поэтажном плане 11;- общей площадью - 55,5 кв. м, цокольный этаж, кадастровый номер 40:26:000262:1240, кв. 3, 4;- общей площадью - 27,8 кв. м, этаж № 1, кадастровый номер 40:26:000262:836, кв. 6;- общей площадью - 28,3 кв. м, этаж № 1, кадастровый номер 40:26:000262:1066, кв. 5, 6, 7, 8, 9, номера на поэтажном плане 8, 9, 10;- общей площадью - 10,8 кв. м, этаж № 1, кадастровый номер 40:26:000262:233, кв. 5, 6, 7, 8, 9, номер на поэтажном плане 1;- общей площадью - 29 кв. м, этаж № 1, кадастровый номер 40:26:000262:234, кв. 5, 6, 7, 8, 9, номер на поэтажном плане 5, 6, 7, 12,находятся в выявленном объекте культурного наследия «Жилой дом, кон. XIX в.»</t>
        </is>
      </c>
      <c r="F275" s="3" t="inlineStr">
        <is>
          <t>15.07.22 20:59</t>
        </is>
      </c>
      <c r="G275" t="inlineStr">
        <is>
          <t>г Калуга, ул Воронина</t>
        </is>
      </c>
      <c r="H275" s="4" t="n">
        <v>4443600</v>
      </c>
      <c r="I275" s="4" t="n">
        <v>80064.86486486487</v>
      </c>
      <c r="J275" t="inlineStr">
        <is>
          <t>Нежилое помещение</t>
        </is>
      </c>
      <c r="K275" s="5" t="n">
        <v>6.46</v>
      </c>
      <c r="L275" s="4" t="n">
        <v>432.78</v>
      </c>
      <c r="M275" t="n">
        <v>12396</v>
      </c>
      <c r="N275" s="6" t="n">
        <v>351909</v>
      </c>
      <c r="O275" t="n">
        <v>185</v>
      </c>
      <c r="Q275" t="inlineStr">
        <is>
          <t>EA</t>
        </is>
      </c>
      <c r="R275" t="inlineStr">
        <is>
          <t>М</t>
        </is>
      </c>
      <c r="S275" s="2">
        <f>HYPERLINK("https://yandex.ru/maps/?&amp;text=54.518732, 36.259922", "54.518732, 36.259922")</f>
        <v/>
      </c>
      <c r="T275" s="2">
        <f>HYPERLINK("D:\venv_torgi\env\cache\objs_in_district/54.518732_36.259922.json", "54.518732_36.259922.json")</f>
        <v/>
      </c>
      <c r="U275" t="inlineStr">
        <is>
          <t xml:space="preserve">40:26:000262:1243, </t>
        </is>
      </c>
      <c r="V275" t="n">
        <v>1</v>
      </c>
      <c r="Y275" t="n">
        <v>0</v>
      </c>
      <c r="Z275" t="n">
        <v>1</v>
      </c>
      <c r="AA275" t="n">
        <v>0</v>
      </c>
      <c r="AB275" t="n">
        <v>0</v>
      </c>
    </row>
    <row r="276">
      <c r="A276" s="7" t="n">
        <v>274</v>
      </c>
      <c r="B276" t="n">
        <v>41</v>
      </c>
      <c r="C276" s="1" t="n">
        <v>375.5</v>
      </c>
      <c r="D276" s="2">
        <f>HYPERLINK("https://torgi.gov.ru/new/public/lots/lot/21000029740000000018_1/(lotInfo:info)", "21000029740000000018_1")</f>
        <v/>
      </c>
      <c r="E276" t="inlineStr">
        <is>
          <t>Здание, кадастровый (или условный) номер объекта: 41:01:0010112:285, назначение объекта: нежилое, вид права: собственность, площадь объекта: 375.50 кв. м., адрес (местоположение) объекта: Камчатский край, г. Петропавловск-Камчатский, ул. Приморская, д. 94. Здание в плохом состоянии, местами обвал крыши, повреждение стен, следы возгорания, выбиты стекла, провален пол, нет света.</t>
        </is>
      </c>
      <c r="F276" s="3" t="inlineStr">
        <is>
          <t>16.05.22 22:00</t>
        </is>
      </c>
      <c r="G276" t="inlineStr">
        <is>
          <t>г Петропавловск-Камчатский, ул Приморская, д 94</t>
        </is>
      </c>
      <c r="H276" s="4" t="n">
        <v>1942300</v>
      </c>
      <c r="I276" s="4" t="n">
        <v>5172.569906790945</v>
      </c>
      <c r="J276" t="inlineStr">
        <is>
          <t>Здание</t>
        </is>
      </c>
      <c r="K276" s="5" t="n">
        <v>9.609999999999999</v>
      </c>
      <c r="L276" s="4" t="inlineStr"/>
      <c r="M276" t="n">
        <v>538</v>
      </c>
      <c r="N276" s="6" t="n">
        <v>181181</v>
      </c>
      <c r="O276" t="inlineStr"/>
      <c r="Q276" t="inlineStr">
        <is>
          <t>EA</t>
        </is>
      </c>
      <c r="R276" t="inlineStr">
        <is>
          <t>Д</t>
        </is>
      </c>
      <c r="S276" s="2">
        <f>HYPERLINK("https://yandex.ru/maps/?&amp;text=53.063845, 158.553465", "53.063845, 158.553465")</f>
        <v/>
      </c>
      <c r="T276" s="8">
        <f>HYPERLINK("D:\venv_torgi\env\cache\objs_in_district/53.063845_158.553465.json", "53.063845_158.553465.json")</f>
        <v/>
      </c>
      <c r="U276" t="inlineStr">
        <is>
          <t xml:space="preserve">41:01:0010112:285, </t>
        </is>
      </c>
      <c r="V276" t="n">
        <v>0</v>
      </c>
      <c r="Y276" t="n">
        <v>0</v>
      </c>
      <c r="AA276" t="n">
        <v>-2</v>
      </c>
      <c r="AB276" t="n">
        <v>0</v>
      </c>
    </row>
    <row r="277">
      <c r="A277" s="7" t="n">
        <v>275</v>
      </c>
      <c r="B277" t="n">
        <v>41</v>
      </c>
      <c r="C277" s="1" t="n">
        <v>334.1</v>
      </c>
      <c r="D277" s="2">
        <f>HYPERLINK("https://torgi.gov.ru/new/public/lots/lot/21000034040000000002_1/(lotInfo:info)", "21000034040000000002_1")</f>
        <v/>
      </c>
      <c r="E277" t="inlineStr">
        <is>
          <t>Помещение с кадастровым номером 41:05:0101017:568, назначение: нежилое помещение, площадью 334,1 кв., количество этажей: 1, адрес (местонахождение) объекта: Камчатский край, Елизовский район, пос. Начики, д. 15, помещение 46</t>
        </is>
      </c>
      <c r="F277" s="3" t="inlineStr">
        <is>
          <t>19.04.22 11:30</t>
        </is>
      </c>
      <c r="G277" t="inlineStr">
        <is>
          <t>Камчатский край, Елизовский р-н, поселок Начики, д 15</t>
        </is>
      </c>
      <c r="H277" s="4" t="n">
        <v>1990000</v>
      </c>
      <c r="I277" s="4" t="n">
        <v>5956.300508829691</v>
      </c>
      <c r="J277" t="inlineStr">
        <is>
          <t>Нежилое помещение</t>
        </is>
      </c>
      <c r="K277" s="5" t="n">
        <v>180.48</v>
      </c>
      <c r="L277" s="4" t="n">
        <v>5956</v>
      </c>
      <c r="M277" t="n">
        <v>33</v>
      </c>
      <c r="N277" s="6" t="n">
        <v>313</v>
      </c>
      <c r="O277" t="n">
        <v>1</v>
      </c>
      <c r="Q277" t="inlineStr">
        <is>
          <t>PP</t>
        </is>
      </c>
      <c r="R277" t="inlineStr">
        <is>
          <t>М</t>
        </is>
      </c>
      <c r="S277" s="2">
        <f>HYPERLINK("https://yandex.ru/maps/?&amp;text=53.122253, 157.74729", "53.122253, 157.74729")</f>
        <v/>
      </c>
      <c r="T277" s="2">
        <f>HYPERLINK("D:\venv_torgi\env\cache\objs_in_district/53.122253_157.74729.json", "53.122253_157.74729.json")</f>
        <v/>
      </c>
      <c r="U277" t="inlineStr">
        <is>
          <t xml:space="preserve">41:05:0101017:568, </t>
        </is>
      </c>
      <c r="V277" t="n">
        <v>1</v>
      </c>
      <c r="Y277" t="n">
        <v>0</v>
      </c>
      <c r="AA277" t="n">
        <v>0</v>
      </c>
      <c r="AB277" t="n">
        <v>0</v>
      </c>
    </row>
    <row r="278">
      <c r="A278" s="7" t="n">
        <v>276</v>
      </c>
      <c r="B278" t="n">
        <v>42</v>
      </c>
      <c r="C278" s="1" t="n">
        <v>117.1</v>
      </c>
      <c r="D278" s="2">
        <f>HYPERLINK("https://torgi.gov.ru/new/public/lots/lot/21000002310000000152_1/(lotInfo:info)", "21000002310000000152_1")</f>
        <v/>
      </c>
      <c r="E278" t="inlineStr">
        <is>
          <t>Нежилое помещение, общей площадью 117,10 кв. м., с кадастровым номером 42:15:0103001:3213 (реестровый номер федерального имущества П13430004312), расположенное по адресу: Кемеровская область, Тяжинское городское поселение, пгт. Тяжинский, ул. Кооперативная, д. 5.</t>
        </is>
      </c>
      <c r="F278" s="3" t="inlineStr">
        <is>
          <t>17.06.22 13:00</t>
        </is>
      </c>
      <c r="G278" t="inlineStr">
        <is>
          <t>Кемеровская область, Тяжинское городское поселение, пгт. Тяжинский, ул. Кооперативная, д. 5</t>
        </is>
      </c>
      <c r="H278" s="4" t="n">
        <v>122838</v>
      </c>
      <c r="I278" s="4" t="n">
        <v>1049.000853970965</v>
      </c>
      <c r="J278" t="inlineStr">
        <is>
          <t>Нежилое помещение</t>
        </is>
      </c>
      <c r="Q278" t="inlineStr">
        <is>
          <t>BOC</t>
        </is>
      </c>
      <c r="R278" t="inlineStr">
        <is>
          <t>М</t>
        </is>
      </c>
      <c r="U278" t="inlineStr">
        <is>
          <t xml:space="preserve">42:15:0103001:3213 </t>
        </is>
      </c>
      <c r="V278" t="n">
        <v>1</v>
      </c>
      <c r="Y278" t="n">
        <v>0</v>
      </c>
      <c r="AA278" t="n">
        <v>0</v>
      </c>
      <c r="AB278" t="n">
        <v>0</v>
      </c>
    </row>
    <row r="279">
      <c r="A279" s="7" t="n">
        <v>277</v>
      </c>
      <c r="B279" t="n">
        <v>42</v>
      </c>
      <c r="C279" s="1" t="n">
        <v>129.2</v>
      </c>
      <c r="D279" s="2">
        <f>HYPERLINK("https://torgi.gov.ru/new/public/lots/lot/21000002310000000034_1/(lotInfo:info)", "21000002310000000034_1")</f>
        <v/>
      </c>
      <c r="E279" t="inlineStr">
        <is>
          <t>Нежилое помещение, общей площадью 129,2 кв.м., кадастровый номер 42:27:0102001:528, расположенное по адресу: Кемеровская область, район Мариинский, г. Мариинск, ул. 1 микрорайон (реестровый номер федерального имущества П13430004411).</t>
        </is>
      </c>
      <c r="F279" s="3" t="inlineStr">
        <is>
          <t>18.03.22 13:00</t>
        </is>
      </c>
      <c r="G279" t="inlineStr">
        <is>
          <t>Кемеровская область - Кузбасс, г Мариинск, ул Кемеровская, д 1мкр</t>
        </is>
      </c>
      <c r="H279" s="4" t="n">
        <v>157803</v>
      </c>
      <c r="I279" s="4" t="n">
        <v>1221.385448916409</v>
      </c>
      <c r="J279" t="inlineStr">
        <is>
          <t>Нежилое помещение</t>
        </is>
      </c>
      <c r="K279" s="5" t="n">
        <v>1.65</v>
      </c>
      <c r="M279" t="n">
        <v>738</v>
      </c>
      <c r="N279" s="6" t="n">
        <v>41252</v>
      </c>
      <c r="Q279" t="inlineStr">
        <is>
          <t>BOC</t>
        </is>
      </c>
      <c r="R279" t="inlineStr">
        <is>
          <t>М</t>
        </is>
      </c>
      <c r="S279" s="2">
        <f>HYPERLINK("https://yandex.ru/maps/?&amp;text=56.199522, 87.751399", "56.199522, 87.751399")</f>
        <v/>
      </c>
      <c r="U279" t="inlineStr">
        <is>
          <t xml:space="preserve">42:27:0102001:528, </t>
        </is>
      </c>
      <c r="V279" t="n">
        <v>1</v>
      </c>
      <c r="Y279" t="n">
        <v>0</v>
      </c>
      <c r="AA279" t="n">
        <v>0</v>
      </c>
      <c r="AB279" t="n">
        <v>0</v>
      </c>
    </row>
    <row r="280">
      <c r="A280" s="7" t="n">
        <v>278</v>
      </c>
      <c r="B280" t="n">
        <v>42</v>
      </c>
      <c r="C280" s="1" t="n">
        <v>48.9</v>
      </c>
      <c r="D280" s="2">
        <f>HYPERLINK("https://torgi.gov.ru/new/public/lots/lot/21000003360000000001_7/(lotInfo:info)", "21000003360000000001_7")</f>
        <v/>
      </c>
      <c r="E280" t="inlineStr">
        <is>
          <t>Вид объекта недвижимости: помещение, местоположение: Кемеровская область, г. Междуреченск, пр-кт Строителей, 73а, строение 8, пом 8, площадь 48,9 кв. м, назначение: нежилое, наименование: нежилое помещение, номер, тип этажа, на котором расположено помещение, машино-место: этаж №1</t>
        </is>
      </c>
      <c r="F280" s="3" t="inlineStr">
        <is>
          <t>26.04.22 06:00</t>
        </is>
      </c>
      <c r="G280" t="inlineStr">
        <is>
          <t>Кемеровская область - Кузбасс, г Междуреченск, пр-кт Строителей, д 73а стр 8</t>
        </is>
      </c>
      <c r="H280" s="4" t="n">
        <v>146160</v>
      </c>
      <c r="I280" s="4" t="n">
        <v>2988.957055214724</v>
      </c>
      <c r="J280" t="inlineStr">
        <is>
          <t>Нежилое помещение</t>
        </is>
      </c>
      <c r="K280" s="5" t="n">
        <v>0.5</v>
      </c>
      <c r="M280" t="n">
        <v>5973</v>
      </c>
      <c r="N280" s="6" t="n">
        <v>97060</v>
      </c>
      <c r="Q280" t="inlineStr">
        <is>
          <t>EA</t>
        </is>
      </c>
      <c r="R280" t="inlineStr">
        <is>
          <t>М</t>
        </is>
      </c>
      <c r="S280" s="2">
        <f>HYPERLINK("https://yandex.ru/maps/?&amp;text=53.686543, 88.070462", "53.686543, 88.070462")</f>
        <v/>
      </c>
      <c r="V280" t="n">
        <v>1</v>
      </c>
      <c r="Y280" t="n">
        <v>0</v>
      </c>
      <c r="AA280" t="n">
        <v>0</v>
      </c>
      <c r="AB280" t="n">
        <v>0</v>
      </c>
    </row>
    <row r="281">
      <c r="A281" s="7" t="n">
        <v>279</v>
      </c>
      <c r="B281" t="n">
        <v>42</v>
      </c>
      <c r="C281" s="1" t="n">
        <v>102.2</v>
      </c>
      <c r="D281" s="2">
        <f>HYPERLINK("https://torgi.gov.ru/new/public/lots/lot/21000003360000000001_8/(lotInfo:info)", "21000003360000000001_8")</f>
        <v/>
      </c>
      <c r="E281" t="inlineStr">
        <is>
          <t>Вид объекта недвижимости: помещение, местоположение: Кемеровская область, г. Междуреченск, пр-кт Строителей, 73а, строение 8, пом 9, площадь 102,2 кв. м, назначение: нежилое, наименование: нежилое помещение, номер, тип этажа, на котором расположено помещение, машино-место: этаж №1.</t>
        </is>
      </c>
      <c r="F281" s="3" t="inlineStr">
        <is>
          <t>26.04.22 06:00</t>
        </is>
      </c>
      <c r="G281" t="inlineStr">
        <is>
          <t>Кемеровская область - Кузбасс, г Междуреченск, пр-кт Строителей, д 73а стр 8</t>
        </is>
      </c>
      <c r="H281" s="4" t="n">
        <v>305550</v>
      </c>
      <c r="I281" s="4" t="n">
        <v>2989.72602739726</v>
      </c>
      <c r="J281" t="inlineStr">
        <is>
          <t>Нежилое помещение</t>
        </is>
      </c>
      <c r="K281" s="5" t="n">
        <v>0.5</v>
      </c>
      <c r="M281" t="n">
        <v>5973</v>
      </c>
      <c r="N281" s="6" t="n">
        <v>97060</v>
      </c>
      <c r="Q281" t="inlineStr">
        <is>
          <t>EA</t>
        </is>
      </c>
      <c r="R281" t="inlineStr">
        <is>
          <t>М</t>
        </is>
      </c>
      <c r="S281" s="2">
        <f>HYPERLINK("https://yandex.ru/maps/?&amp;text=53.686543, 88.070462", "53.686543, 88.070462")</f>
        <v/>
      </c>
      <c r="V281" t="n">
        <v>1</v>
      </c>
      <c r="Y281" t="n">
        <v>0</v>
      </c>
      <c r="AA281" t="n">
        <v>0</v>
      </c>
      <c r="AB281" t="n">
        <v>0</v>
      </c>
    </row>
    <row r="282">
      <c r="A282" s="7" t="n">
        <v>280</v>
      </c>
      <c r="B282" t="n">
        <v>42</v>
      </c>
      <c r="C282" s="1" t="n">
        <v>59.2</v>
      </c>
      <c r="D282" s="2">
        <f>HYPERLINK("https://torgi.gov.ru/new/public/lots/lot/21000003360000000001_6/(lotInfo:info)", "21000003360000000001_6")</f>
        <v/>
      </c>
      <c r="E282" t="inlineStr">
        <is>
          <t>Вид объекта недвижимости: помещение, местоположение: Кемеровская область, г. Междуреченск, пр-кт Строителей, 73а, строение 8, пом 7, площадь 59,2 кв. м, назначение: нежилое, наименование: нежилое помещение, номер, тип этажа, на котором расположено помещение, машино-место: этаж №1.</t>
        </is>
      </c>
      <c r="F282" s="3" t="inlineStr">
        <is>
          <t>26.04.22 06:00</t>
        </is>
      </c>
      <c r="G282" t="inlineStr">
        <is>
          <t>Кемеровская область - Кузбасс, г Междуреченск, пр-кт Строителей, д 73а стр 8</t>
        </is>
      </c>
      <c r="H282" s="4" t="n">
        <v>177030</v>
      </c>
      <c r="I282" s="4" t="n">
        <v>2990.371621621622</v>
      </c>
      <c r="J282" t="inlineStr">
        <is>
          <t>Нежилое помещение</t>
        </is>
      </c>
      <c r="K282" s="5" t="n">
        <v>0.5</v>
      </c>
      <c r="M282" t="n">
        <v>5973</v>
      </c>
      <c r="N282" s="6" t="n">
        <v>97060</v>
      </c>
      <c r="Q282" t="inlineStr">
        <is>
          <t>EA</t>
        </is>
      </c>
      <c r="R282" t="inlineStr">
        <is>
          <t>М</t>
        </is>
      </c>
      <c r="S282" s="2">
        <f>HYPERLINK("https://yandex.ru/maps/?&amp;text=53.686543, 88.070462", "53.686543, 88.070462")</f>
        <v/>
      </c>
      <c r="V282" t="n">
        <v>1</v>
      </c>
      <c r="Y282" t="n">
        <v>0</v>
      </c>
      <c r="AA282" t="n">
        <v>0</v>
      </c>
      <c r="AB282" t="n">
        <v>0</v>
      </c>
    </row>
    <row r="283">
      <c r="A283" s="7" t="n">
        <v>281</v>
      </c>
      <c r="B283" t="n">
        <v>42</v>
      </c>
      <c r="C283" s="1" t="n">
        <v>50.4</v>
      </c>
      <c r="D283" s="2">
        <f>HYPERLINK("https://torgi.gov.ru/new/public/lots/lot/22000030350000000002_1/(lotInfo:info)", "22000030350000000002_1")</f>
        <v/>
      </c>
      <c r="E283" t="inlineStr">
        <is>
          <t>Встроенное нежилое помещение, расположенное по адресу: Российская Федерация, Кемеровская область, Таштагольский муниципальный район, Казское городское поселение, поселок городского типа Каз, улица Ленина, дом 3, помещение 1, общая площадь 50,4 кв.м.</t>
        </is>
      </c>
      <c r="F283" s="3" t="inlineStr">
        <is>
          <t>14.03.22 12:30</t>
        </is>
      </c>
      <c r="G283" t="inlineStr">
        <is>
          <t>Кемеровская область - Кузбасс, Таштагольский р-н, пгт Каз, ул Ленина, д 3</t>
        </is>
      </c>
      <c r="H283" s="4" t="n">
        <v>185220</v>
      </c>
      <c r="I283" s="4" t="n">
        <v>3675</v>
      </c>
      <c r="J283" t="inlineStr">
        <is>
          <t>Нежилое помещение</t>
        </is>
      </c>
      <c r="K283" s="5" t="n">
        <v>6.16</v>
      </c>
      <c r="M283" t="n">
        <v>597</v>
      </c>
      <c r="N283" s="6" t="n">
        <v>3896</v>
      </c>
      <c r="Q283" t="inlineStr">
        <is>
          <t>EA</t>
        </is>
      </c>
      <c r="R283" t="inlineStr">
        <is>
          <t>М</t>
        </is>
      </c>
      <c r="S283" s="2">
        <f>HYPERLINK("https://yandex.ru/maps/?&amp;text=53.112183, 87.543564", "53.112183, 87.543564")</f>
        <v/>
      </c>
      <c r="V283" t="n">
        <v>0</v>
      </c>
      <c r="Y283" t="n">
        <v>0</v>
      </c>
      <c r="AA283" t="n">
        <v>0</v>
      </c>
      <c r="AB283" t="n">
        <v>0</v>
      </c>
    </row>
    <row r="284">
      <c r="A284" s="7" t="n">
        <v>282</v>
      </c>
      <c r="B284" t="n">
        <v>42</v>
      </c>
      <c r="C284" s="1" t="n">
        <v>125.7</v>
      </c>
      <c r="D284" s="2">
        <f>HYPERLINK("https://torgi.gov.ru/new/public/lots/lot/21000002310000000037_1/(lotInfo:info)", "21000002310000000037_1")</f>
        <v/>
      </c>
      <c r="E284" t="inlineStr">
        <is>
          <t>Нежилое помещение, общей площадью 125,7 кв.м., кадастровый номер 42:35:0107004:1359, расположенное по адресу: Кемеровская область, р-н. Топкинский, г. Топки, ул. Революции, д. 3 (реестровый номер федерального имущества П13430000796).</t>
        </is>
      </c>
      <c r="F284" s="3" t="inlineStr">
        <is>
          <t>20.03.22 13:00</t>
        </is>
      </c>
      <c r="G284" t="inlineStr">
        <is>
          <t>Кемеровская область - Кузбасс, г Топки, ул Революции, д 3</t>
        </is>
      </c>
      <c r="H284" s="4" t="n">
        <v>718000.8</v>
      </c>
      <c r="I284" s="4" t="n">
        <v>5712.019093078759</v>
      </c>
      <c r="J284" t="inlineStr">
        <is>
          <t>Нежилое помещение</t>
        </is>
      </c>
      <c r="K284" s="5" t="n">
        <v>4.03</v>
      </c>
      <c r="L284" s="4" t="n">
        <v>357</v>
      </c>
      <c r="M284" t="n">
        <v>1418</v>
      </c>
      <c r="N284" s="6" t="n">
        <v>27880</v>
      </c>
      <c r="O284" t="n">
        <v>16</v>
      </c>
      <c r="Q284" t="inlineStr">
        <is>
          <t>PP</t>
        </is>
      </c>
      <c r="R284" t="inlineStr">
        <is>
          <t>М</t>
        </is>
      </c>
      <c r="S284" s="2">
        <f>HYPERLINK("https://yandex.ru/maps/?&amp;text=55.281672, 85.627242", "55.281672, 85.627242")</f>
        <v/>
      </c>
      <c r="T284" s="2">
        <f>HYPERLINK("D:\venv_torgi\env\cache\objs_in_district/55.281672_85.627242.json", "55.281672_85.627242.json")</f>
        <v/>
      </c>
      <c r="U284" t="inlineStr">
        <is>
          <t xml:space="preserve">42:35:0107004:1359, </t>
        </is>
      </c>
      <c r="V284" t="n">
        <v>0</v>
      </c>
      <c r="Y284" t="n">
        <v>0</v>
      </c>
      <c r="AA284" t="n">
        <v>0</v>
      </c>
      <c r="AB284" t="n">
        <v>0</v>
      </c>
    </row>
    <row r="285">
      <c r="A285" s="7" t="n">
        <v>283</v>
      </c>
      <c r="B285" t="n">
        <v>42</v>
      </c>
      <c r="C285" s="1" t="n">
        <v>28.9</v>
      </c>
      <c r="D285" s="2">
        <f>HYPERLINK("https://torgi.gov.ru/new/public/lots/lot/21000003360000000001_10/(lotInfo:info)", "21000003360000000001_10")</f>
        <v/>
      </c>
      <c r="E285" t="inlineStr">
        <is>
          <t>Вид объекта недвижимости: помещение, местоположение: Кемеровская область, г. Междуреченск, пр-кт Строителей, 73а, строение 8, пом 11, площадь 28,9 кв. м, назначение: нежилое, наименование: нежилое помещение, номер, тип этажа, на котором расположено помещение, машино-место: этаж №1.</t>
        </is>
      </c>
      <c r="F285" s="3" t="inlineStr">
        <is>
          <t>26.04.22 06:00</t>
        </is>
      </c>
      <c r="G285" t="inlineStr">
        <is>
          <t>Кемеровская область - Кузбасс, г Междуреченск, пр-кт Строителей, д 73а стр 8</t>
        </is>
      </c>
      <c r="H285" s="4" t="n">
        <v>168756</v>
      </c>
      <c r="I285" s="4" t="n">
        <v>5839.307958477509</v>
      </c>
      <c r="J285" t="inlineStr">
        <is>
          <t>Нежилое помещение</t>
        </is>
      </c>
      <c r="K285" s="5" t="n">
        <v>0.98</v>
      </c>
      <c r="M285" t="n">
        <v>5973</v>
      </c>
      <c r="N285" s="6" t="n">
        <v>97060</v>
      </c>
      <c r="Q285" t="inlineStr">
        <is>
          <t>EA</t>
        </is>
      </c>
      <c r="R285" t="inlineStr">
        <is>
          <t>М</t>
        </is>
      </c>
      <c r="S285" s="2">
        <f>HYPERLINK("https://yandex.ru/maps/?&amp;text=53.686543, 88.070462", "53.686543, 88.070462")</f>
        <v/>
      </c>
      <c r="V285" t="n">
        <v>1</v>
      </c>
      <c r="Y285" t="n">
        <v>0</v>
      </c>
      <c r="AA285" t="n">
        <v>0</v>
      </c>
      <c r="AB285" t="n">
        <v>0</v>
      </c>
    </row>
    <row r="286">
      <c r="A286" s="7" t="n">
        <v>284</v>
      </c>
      <c r="B286" t="n">
        <v>42</v>
      </c>
      <c r="C286" s="1" t="n">
        <v>28.9</v>
      </c>
      <c r="D286" s="2">
        <f>HYPERLINK("https://torgi.gov.ru/new/public/lots/lot/21000003360000000001_2/(lotInfo:info)", "21000003360000000001_2")</f>
        <v/>
      </c>
      <c r="E286" t="inlineStr">
        <is>
          <t>Вид объекта недвижимости: помещение, местоположение: Кемеровская область, г. Междуреченск, пр-кт Строителей, пом 2 (73а, строение 8), площадь 28,9 кв. м, назначение: нежилое, наименование: помещение, номер, тип этажа, на котором расположено помещение, машино-место: этаж №1.</t>
        </is>
      </c>
      <c r="F286" s="3" t="inlineStr">
        <is>
          <t>26.04.22 06:00</t>
        </is>
      </c>
      <c r="G286" t="inlineStr">
        <is>
          <t>Кемеровская область - Кузбасс, г Междуреченск, пр-кт Строителей</t>
        </is>
      </c>
      <c r="H286" s="4" t="n">
        <v>172872</v>
      </c>
      <c r="I286" s="4" t="n">
        <v>5981.730103806229</v>
      </c>
      <c r="J286" t="inlineStr">
        <is>
          <t>Нежилое помещение</t>
        </is>
      </c>
      <c r="K286" s="5" t="n">
        <v>1</v>
      </c>
      <c r="M286" t="n">
        <v>5973</v>
      </c>
      <c r="N286" s="6" t="n">
        <v>97060</v>
      </c>
      <c r="Q286" t="inlineStr">
        <is>
          <t>EA</t>
        </is>
      </c>
      <c r="R286" t="inlineStr">
        <is>
          <t>М</t>
        </is>
      </c>
      <c r="S286" s="2">
        <f>HYPERLINK("https://yandex.ru/maps/?&amp;text=53.686543, 88.070462", "53.686543, 88.070462")</f>
        <v/>
      </c>
      <c r="V286" t="n">
        <v>1</v>
      </c>
      <c r="Y286" t="n">
        <v>0</v>
      </c>
      <c r="AA286" t="n">
        <v>0</v>
      </c>
      <c r="AB286" t="n">
        <v>0</v>
      </c>
    </row>
    <row r="287">
      <c r="A287" s="7" t="n">
        <v>285</v>
      </c>
      <c r="B287" t="n">
        <v>42</v>
      </c>
      <c r="C287" s="1" t="n">
        <v>202.7</v>
      </c>
      <c r="D287" s="2">
        <f>HYPERLINK("https://torgi.gov.ru/new/public/lots/lot/22000017180000000001_9/(lotInfo:info)", "22000017180000000001_9")</f>
        <v/>
      </c>
      <c r="E287" t="inlineStr">
        <is>
          <t>Нежилое помещение общей площадью 537,5 кв. м, кадастровый номер 42:24:0301011:7118, Кемеровская область - Кузбасс, г. Кемерово, ул. Инициативная, д. 23а, помещение 8</t>
        </is>
      </c>
      <c r="F287" s="3" t="inlineStr">
        <is>
          <t>18.07.22 08:00</t>
        </is>
      </c>
      <c r="G287" t="inlineStr">
        <is>
          <t>г Кемерово, ул Инициативная, д 23А, помещ 8</t>
        </is>
      </c>
      <c r="H287" s="4" t="n">
        <v>1305000</v>
      </c>
      <c r="I287" s="4" t="n">
        <v>6438.085841144549</v>
      </c>
      <c r="J287" t="inlineStr">
        <is>
          <t>Нежилое помещение</t>
        </is>
      </c>
      <c r="K287" s="5" t="n">
        <v>2.46</v>
      </c>
      <c r="L287" s="4" t="n">
        <v>715.33</v>
      </c>
      <c r="M287" t="n">
        <v>2614</v>
      </c>
      <c r="N287" s="6" t="n">
        <v>558973</v>
      </c>
      <c r="O287" t="n">
        <v>9</v>
      </c>
      <c r="Q287" t="inlineStr">
        <is>
          <t>PP</t>
        </is>
      </c>
      <c r="R287" t="inlineStr">
        <is>
          <t>М</t>
        </is>
      </c>
      <c r="S287" s="2">
        <f>HYPERLINK("https://yandex.ru/maps/?&amp;text=55.397415, 86.00817", "55.397415, 86.00817")</f>
        <v/>
      </c>
      <c r="T287" s="2">
        <f>HYPERLINK("D:\venv_torgi\env\cache\objs_in_district/55.397415_86.00817.json", "55.397415_86.00817.json")</f>
        <v/>
      </c>
      <c r="U287" t="inlineStr">
        <is>
          <t xml:space="preserve">42:24:0301011:7118, </t>
        </is>
      </c>
      <c r="V287" t="n">
        <v>0</v>
      </c>
      <c r="Y287" t="n">
        <v>0</v>
      </c>
      <c r="AA287" t="n">
        <v>0</v>
      </c>
      <c r="AB287" t="n">
        <v>0</v>
      </c>
    </row>
    <row r="288">
      <c r="A288" s="7" t="n">
        <v>286</v>
      </c>
      <c r="B288" t="n">
        <v>42</v>
      </c>
      <c r="C288" s="1" t="n">
        <v>483.3</v>
      </c>
      <c r="D288" s="2">
        <f>HYPERLINK("https://torgi.gov.ru/new/public/lots/lot/21000000010000000002_1/(lotInfo:info)", "21000000010000000002_1")</f>
        <v/>
      </c>
      <c r="E288" t="inlineStr">
        <is>
          <t>Нежилое помещение площадью 483,3 кв.м по адресу: Кемеровская область, Прокопьевский городской округ, город Прокопьевск, улица Российская, 40, помещение №1</t>
        </is>
      </c>
      <c r="F288" s="3" t="inlineStr">
        <is>
          <t>14.02.22 08:00</t>
        </is>
      </c>
      <c r="G288" t="inlineStr">
        <is>
          <t>Кемеровская область - Кузбасс, г Прокопьевск, ул Российская, д 40, помещ 1</t>
        </is>
      </c>
      <c r="H288" s="4" t="n">
        <v>3178000</v>
      </c>
      <c r="I288" s="4" t="n">
        <v>6575.625905234843</v>
      </c>
      <c r="J288" t="inlineStr">
        <is>
          <t>Нежилое помещение</t>
        </is>
      </c>
      <c r="K288" s="5" t="n">
        <v>3.41</v>
      </c>
      <c r="L288" s="4" t="n">
        <v>2191.67</v>
      </c>
      <c r="M288" t="n">
        <v>1927</v>
      </c>
      <c r="N288" s="6" t="n">
        <v>191839</v>
      </c>
      <c r="O288" t="n">
        <v>3</v>
      </c>
      <c r="Q288" t="inlineStr">
        <is>
          <t>EA</t>
        </is>
      </c>
      <c r="R288" t="inlineStr">
        <is>
          <t>М</t>
        </is>
      </c>
      <c r="S288" s="2">
        <f>HYPERLINK("https://yandex.ru/maps/?&amp;text=53.86843, 86.75309", "53.86843, 86.75309")</f>
        <v/>
      </c>
      <c r="T288" s="2">
        <f>HYPERLINK("D:\venv_torgi\env\cache\objs_in_district/53.86843_86.75309.json", "53.86843_86.75309.json")</f>
        <v/>
      </c>
      <c r="U288" t="inlineStr">
        <is>
          <t>42:32:0102004:2651</t>
        </is>
      </c>
      <c r="V288" t="n">
        <v>0</v>
      </c>
      <c r="Y288" t="n">
        <v>0</v>
      </c>
      <c r="AA288" t="n">
        <v>0</v>
      </c>
      <c r="AB288" t="n">
        <v>0</v>
      </c>
    </row>
    <row r="289">
      <c r="A289" s="7" t="n">
        <v>287</v>
      </c>
      <c r="B289" t="n">
        <v>42</v>
      </c>
      <c r="C289" s="1" t="n">
        <v>321.9</v>
      </c>
      <c r="D289" s="2">
        <f>HYPERLINK("https://torgi.gov.ru/new/public/lots/lot/21000000010000000003_10/(lotInfo:info)", "21000000010000000003_10")</f>
        <v/>
      </c>
      <c r="E289" t="inlineStr">
        <is>
          <t>Нежилое помещение, кад. №42:25:0108004:2348, общей пл.321,9 кв.м по адресу: Кемеровская область-Кузбасс, г.Киселевск, ул.Советская, д. 4а, помещение 1</t>
        </is>
      </c>
      <c r="F289" s="3" t="inlineStr">
        <is>
          <t>21.03.22 08:00</t>
        </is>
      </c>
      <c r="G289" t="inlineStr">
        <is>
          <t>Кемеровская область - Кузбасс, г Киселевск, ул Советская, д 4А, кв 1</t>
        </is>
      </c>
      <c r="H289" s="4" t="n">
        <v>2153900</v>
      </c>
      <c r="I289" s="4" t="n">
        <v>6691.20844982914</v>
      </c>
      <c r="J289" t="inlineStr">
        <is>
          <t>Нежилое помещение</t>
        </is>
      </c>
      <c r="K289" s="5" t="n">
        <v>6.24</v>
      </c>
      <c r="L289" s="4" t="n">
        <v>371.72</v>
      </c>
      <c r="M289" t="n">
        <v>1072</v>
      </c>
      <c r="N289" s="6" t="n">
        <v>88192</v>
      </c>
      <c r="O289" t="n">
        <v>18</v>
      </c>
      <c r="Q289" t="inlineStr">
        <is>
          <t>EA</t>
        </is>
      </c>
      <c r="R289" t="inlineStr">
        <is>
          <t>М</t>
        </is>
      </c>
      <c r="S289" s="2">
        <f>HYPERLINK("https://yandex.ru/maps/?&amp;text=54.004427, 86.638467", "54.004427, 86.638467")</f>
        <v/>
      </c>
      <c r="T289" s="2">
        <f>HYPERLINK("D:\venv_torgi\env\cache\objs_in_district/54.004427_86.638467.json", "54.004427_86.638467.json")</f>
        <v/>
      </c>
      <c r="U289" t="inlineStr">
        <is>
          <t xml:space="preserve">42:25:0108004:2348, </t>
        </is>
      </c>
      <c r="V289" t="n">
        <v>0</v>
      </c>
      <c r="Y289" t="n">
        <v>0</v>
      </c>
      <c r="AA289" t="n">
        <v>0</v>
      </c>
      <c r="AB289" t="n">
        <v>0</v>
      </c>
    </row>
    <row r="290">
      <c r="A290" s="7" t="n">
        <v>288</v>
      </c>
      <c r="B290" t="n">
        <v>42</v>
      </c>
      <c r="C290" s="1" t="n">
        <v>19</v>
      </c>
      <c r="D290" s="2">
        <f>HYPERLINK("https://torgi.gov.ru/new/public/lots/lot/21000003360000000001_5/(lotInfo:info)", "21000003360000000001_5")</f>
        <v/>
      </c>
      <c r="E290" t="inlineStr">
        <is>
          <t>Вид объекта недвижимости: помещение, местоположение: Кемеровская область, г. Междуреченск, пр-кт Строителей, пом 5 (73а, строение 8), площадь 19 кв. м, назначение: нежилое, наименование: нежилое помещение, номер, тип этажа, на котором расположено помещение, машино-место: этаж №1.</t>
        </is>
      </c>
      <c r="F290" s="3" t="inlineStr">
        <is>
          <t>26.04.22 06:00</t>
        </is>
      </c>
      <c r="G290" t="inlineStr">
        <is>
          <t>Кемеровская область - Кузбасс, г Междуреченск, пр-кт Строителей</t>
        </is>
      </c>
      <c r="H290" s="4" t="n">
        <v>143100</v>
      </c>
      <c r="I290" s="4" t="n">
        <v>7531.578947368421</v>
      </c>
      <c r="J290" t="inlineStr">
        <is>
          <t>Нежилое помещение</t>
        </is>
      </c>
      <c r="K290" s="5" t="n">
        <v>1.26</v>
      </c>
      <c r="M290" t="n">
        <v>5973</v>
      </c>
      <c r="N290" s="6" t="n">
        <v>97060</v>
      </c>
      <c r="Q290" t="inlineStr">
        <is>
          <t>EA</t>
        </is>
      </c>
      <c r="R290" t="inlineStr">
        <is>
          <t>М</t>
        </is>
      </c>
      <c r="S290" s="2">
        <f>HYPERLINK("https://yandex.ru/maps/?&amp;text=53.686543, 88.070462", "53.686543, 88.070462")</f>
        <v/>
      </c>
      <c r="V290" t="n">
        <v>1</v>
      </c>
      <c r="Y290" t="n">
        <v>0</v>
      </c>
      <c r="AA290" t="n">
        <v>0</v>
      </c>
      <c r="AB290" t="n">
        <v>0</v>
      </c>
    </row>
    <row r="291">
      <c r="A291" s="7" t="n">
        <v>289</v>
      </c>
      <c r="B291" t="n">
        <v>42</v>
      </c>
      <c r="C291" s="1" t="n">
        <v>32.8</v>
      </c>
      <c r="D291" s="2">
        <f>HYPERLINK("https://torgi.gov.ru/new/public/lots/lot/21000003360000000001_9/(lotInfo:info)", "21000003360000000001_9")</f>
        <v/>
      </c>
      <c r="E291" t="inlineStr">
        <is>
          <t>Вид объекта недвижимости: помещение, местоположение: Кемеровская область, г. Междуреченск, пр-кт Строителей, 73а, строение 8, пом 10, площадь 32,8 кв. м, назначение: нежилое, наименование: нежилое помещение, номер, тип этажа, на котором расположено помещение, машино-место: этаж №1.</t>
        </is>
      </c>
      <c r="F291" s="3" t="inlineStr">
        <is>
          <t>26.04.22 06:00</t>
        </is>
      </c>
      <c r="G291" t="inlineStr">
        <is>
          <t>Кемеровская область - Кузбасс, г Междуреченск, пр-кт Строителей, д 73а стр 8</t>
        </is>
      </c>
      <c r="H291" s="4" t="n">
        <v>336096</v>
      </c>
      <c r="I291" s="4" t="n">
        <v>10246.82926829268</v>
      </c>
      <c r="J291" t="inlineStr">
        <is>
          <t>Нежилое помещение</t>
        </is>
      </c>
      <c r="K291" s="5" t="n">
        <v>1.72</v>
      </c>
      <c r="M291" t="n">
        <v>5973</v>
      </c>
      <c r="N291" s="6" t="n">
        <v>97060</v>
      </c>
      <c r="Q291" t="inlineStr">
        <is>
          <t>EA</t>
        </is>
      </c>
      <c r="R291" t="inlineStr">
        <is>
          <t>М</t>
        </is>
      </c>
      <c r="S291" s="2">
        <f>HYPERLINK("https://yandex.ru/maps/?&amp;text=53.686543, 88.070462", "53.686543, 88.070462")</f>
        <v/>
      </c>
      <c r="V291" t="n">
        <v>1</v>
      </c>
      <c r="Y291" t="n">
        <v>0</v>
      </c>
      <c r="AA291" t="n">
        <v>0</v>
      </c>
      <c r="AB291" t="n">
        <v>0</v>
      </c>
    </row>
    <row r="292">
      <c r="A292" s="7" t="n">
        <v>290</v>
      </c>
      <c r="B292" t="n">
        <v>42</v>
      </c>
      <c r="C292" s="1" t="n">
        <v>10.8</v>
      </c>
      <c r="D292" s="2">
        <f>HYPERLINK("https://torgi.gov.ru/new/public/lots/lot/21000003360000000001_4/(lotInfo:info)", "21000003360000000001_4")</f>
        <v/>
      </c>
      <c r="E292" t="inlineStr">
        <is>
          <t>Вид объекта недвижимости: помещение, местоположение: Кемеровская область, г. Междуреченск, пр-кт Строителей, пом 4 (73а, строение 8), площадь 10,8 кв. м, назначение: нежилое, наименование: помещение, номер, тип этажа, на котором расположено помещение, машино-место: этаж №1</t>
        </is>
      </c>
      <c r="F292" s="3" t="inlineStr">
        <is>
          <t>26.04.22 06:00</t>
        </is>
      </c>
      <c r="G292" t="inlineStr">
        <is>
          <t>Кемеровская область - Кузбасс, г Междуреченск, пр-кт Строителей</t>
        </is>
      </c>
      <c r="H292" s="4" t="n">
        <v>122880</v>
      </c>
      <c r="I292" s="4" t="n">
        <v>11377.77777777778</v>
      </c>
      <c r="J292" t="inlineStr">
        <is>
          <t>Нежилое помещение</t>
        </is>
      </c>
      <c r="K292" s="5" t="n">
        <v>1.9</v>
      </c>
      <c r="M292" t="n">
        <v>5973</v>
      </c>
      <c r="N292" s="6" t="n">
        <v>97060</v>
      </c>
      <c r="Q292" t="inlineStr">
        <is>
          <t>EA</t>
        </is>
      </c>
      <c r="R292" t="inlineStr">
        <is>
          <t>М</t>
        </is>
      </c>
      <c r="S292" s="2">
        <f>HYPERLINK("https://yandex.ru/maps/?&amp;text=53.686543, 88.070462", "53.686543, 88.070462")</f>
        <v/>
      </c>
      <c r="V292" t="n">
        <v>1</v>
      </c>
      <c r="Y292" t="n">
        <v>0</v>
      </c>
      <c r="AA292" t="n">
        <v>0</v>
      </c>
      <c r="AB292" t="n">
        <v>0</v>
      </c>
    </row>
    <row r="293">
      <c r="A293" s="7" t="n">
        <v>291</v>
      </c>
      <c r="B293" t="n">
        <v>42</v>
      </c>
      <c r="C293" s="1" t="n">
        <v>19.6</v>
      </c>
      <c r="D293" s="2">
        <f>HYPERLINK("https://torgi.gov.ru/new/public/lots/lot/21000002310000000035_1/(lotInfo:info)", "21000002310000000035_1")</f>
        <v/>
      </c>
      <c r="E293" t="inlineStr">
        <is>
          <t>Нежилое помещение, общей площадью 19,6 кв.м., кадастровый номер 42:28:0101001:2374, расположенное по адресу: Кемеровская область, г. Междуреченск, пр. Коммунистический, 38а (реестровый номер федерального имущества П13430002674)</t>
        </is>
      </c>
      <c r="F293" s="3" t="inlineStr">
        <is>
          <t>20.03.22 13:00</t>
        </is>
      </c>
      <c r="G293" t="inlineStr">
        <is>
          <t>Кемеровская область - Кузбасс, г Междуреченск, Коммунистический пр-кт, д 38а</t>
        </is>
      </c>
      <c r="H293" s="4" t="n">
        <v>229288.8</v>
      </c>
      <c r="I293" s="4" t="n">
        <v>11698.40816326531</v>
      </c>
      <c r="J293" t="inlineStr">
        <is>
          <t>Нежилое помещение</t>
        </is>
      </c>
      <c r="K293" s="5" t="n">
        <v>1.61</v>
      </c>
      <c r="M293" t="n">
        <v>7286</v>
      </c>
      <c r="N293" s="6" t="n">
        <v>97060</v>
      </c>
      <c r="Q293" t="inlineStr">
        <is>
          <t>PP</t>
        </is>
      </c>
      <c r="R293" t="inlineStr">
        <is>
          <t>М</t>
        </is>
      </c>
      <c r="S293" s="2">
        <f>HYPERLINK("https://yandex.ru/maps/?&amp;text=53.689214, 88.070058", "53.689214, 88.070058")</f>
        <v/>
      </c>
      <c r="U293" t="inlineStr">
        <is>
          <t xml:space="preserve">42:28:0101001:2374, </t>
        </is>
      </c>
      <c r="V293" t="n">
        <v>1</v>
      </c>
      <c r="Y293" t="n">
        <v>0</v>
      </c>
      <c r="AA293" t="n">
        <v>0</v>
      </c>
      <c r="AB293" t="n">
        <v>0</v>
      </c>
    </row>
    <row r="294">
      <c r="A294" s="7" t="n">
        <v>292</v>
      </c>
      <c r="B294" t="n">
        <v>42</v>
      </c>
      <c r="C294" s="1" t="n">
        <v>310.4</v>
      </c>
      <c r="D294" s="2">
        <f>HYPERLINK("https://torgi.gov.ru/new/public/lots/lot/22000014620000000002_1/(lotInfo:info)", "22000014620000000002_1")</f>
        <v/>
      </c>
      <c r="E294" t="inlineStr">
        <is>
          <t>нежилое помещение, расположенное по адресу: Кемеровская область, г. Березовский, ул. Мира, д. 46, пом. 518, площадью 310,4 кв.м., кадастровый номер: 42:22:0102009:2033;назначение объекта: нежилое</t>
        </is>
      </c>
      <c r="F294" s="3" t="inlineStr">
        <is>
          <t>24.05.22 10:30</t>
        </is>
      </c>
      <c r="G294" t="inlineStr">
        <is>
          <t>Кемеровская область - Кузбасс, г Березовский, ул Мира, д 46</t>
        </is>
      </c>
      <c r="H294" s="4" t="n">
        <v>4105700</v>
      </c>
      <c r="I294" s="4" t="n">
        <v>13227.12628865979</v>
      </c>
      <c r="J294" t="inlineStr">
        <is>
          <t>Нежилое помещение</t>
        </is>
      </c>
      <c r="K294" s="5" t="n">
        <v>4.76</v>
      </c>
      <c r="L294" s="4" t="n">
        <v>696.16</v>
      </c>
      <c r="M294" t="n">
        <v>2781</v>
      </c>
      <c r="N294" s="6" t="n">
        <v>102387</v>
      </c>
      <c r="O294" t="n">
        <v>19</v>
      </c>
      <c r="Q294" t="inlineStr">
        <is>
          <t>PP</t>
        </is>
      </c>
      <c r="R294" t="inlineStr">
        <is>
          <t>М</t>
        </is>
      </c>
      <c r="S294" s="2">
        <f>HYPERLINK("https://yandex.ru/maps/?&amp;text=55.66111, 86.266852", "55.66111, 86.266852")</f>
        <v/>
      </c>
      <c r="T294" s="2">
        <f>HYPERLINK("D:\venv_torgi\env\cache\objs_in_district/55.66111_86.266852.json", "55.66111_86.266852.json")</f>
        <v/>
      </c>
      <c r="U294" t="inlineStr">
        <is>
          <t>42:22:0102009:2033;</t>
        </is>
      </c>
      <c r="V294" t="n">
        <v>2</v>
      </c>
      <c r="Y294" t="n">
        <v>0</v>
      </c>
      <c r="AA294" t="n">
        <v>0</v>
      </c>
      <c r="AB294" t="n">
        <v>0</v>
      </c>
    </row>
    <row r="295">
      <c r="A295" s="7" t="n">
        <v>293</v>
      </c>
      <c r="B295" t="n">
        <v>42</v>
      </c>
      <c r="C295" s="1" t="n">
        <v>29</v>
      </c>
      <c r="D295" s="2">
        <f>HYPERLINK("https://torgi.gov.ru/new/public/lots/lot/21000002310000000028_1/(lotInfo:info)", "21000002310000000028_1")</f>
        <v/>
      </c>
      <c r="E295" t="inlineStr">
        <is>
          <t>Нежилое помещение общей площадью 29,00 кв. м., кадастровый номер 42:24:0501013:1636 (реестровый номер федерального имущества П13430001161), расположенное по адресу: Кемеровская область, г. Кемерово, пр. Октябрьский, д. 28.</t>
        </is>
      </c>
      <c r="F295" s="3" t="inlineStr">
        <is>
          <t>14.03.22 13:00</t>
        </is>
      </c>
      <c r="G295" t="inlineStr">
        <is>
          <t>г Кемерово, Октябрьский пр-кт, д 28</t>
        </is>
      </c>
      <c r="H295" s="4" t="n">
        <v>427920.8</v>
      </c>
      <c r="I295" s="4" t="n">
        <v>14755.88965517241</v>
      </c>
      <c r="J295" t="inlineStr">
        <is>
          <t>Нежилое помещение</t>
        </is>
      </c>
      <c r="K295" s="5" t="n">
        <v>5.4</v>
      </c>
      <c r="M295" t="n">
        <v>2730</v>
      </c>
      <c r="N295" s="6" t="n">
        <v>558973</v>
      </c>
      <c r="Q295" t="inlineStr">
        <is>
          <t>PP</t>
        </is>
      </c>
      <c r="R295" t="inlineStr">
        <is>
          <t>М</t>
        </is>
      </c>
      <c r="S295" s="2">
        <f>HYPERLINK("https://yandex.ru/maps/?&amp;text=55.349102, 86.12501", "55.349102, 86.12501")</f>
        <v/>
      </c>
      <c r="U295" t="inlineStr">
        <is>
          <t xml:space="preserve">42:24:0501013:1636 </t>
        </is>
      </c>
      <c r="V295" t="n">
        <v>0</v>
      </c>
      <c r="Y295" t="n">
        <v>0</v>
      </c>
      <c r="AA295" t="n">
        <v>0</v>
      </c>
      <c r="AB295" t="n">
        <v>0</v>
      </c>
    </row>
    <row r="296">
      <c r="A296" s="7" t="n">
        <v>294</v>
      </c>
      <c r="B296" t="n">
        <v>42</v>
      </c>
      <c r="C296" s="1" t="n">
        <v>493.1</v>
      </c>
      <c r="D296" s="2">
        <f>HYPERLINK("https://torgi.gov.ru/new/public/lots/lot/21000000010000000003_12/(lotInfo:info)", "21000000010000000003_12")</f>
        <v/>
      </c>
      <c r="E296" t="inlineStr">
        <is>
          <t>Нежилое помещение, кад. №42:24:0301019:5302, общей пл.493,1 кв.м по адресу: Кемеровская область-Кузбасс, г.Кемерово, ул.Халтурина, д. 39, помещение 34</t>
        </is>
      </c>
      <c r="F296" s="3" t="inlineStr">
        <is>
          <t>21.03.22 08:00</t>
        </is>
      </c>
      <c r="G296" t="inlineStr">
        <is>
          <t>г Кемерово, ул Халтурина, д 39</t>
        </is>
      </c>
      <c r="H296" s="4" t="n">
        <v>7352800</v>
      </c>
      <c r="I296" s="4" t="n">
        <v>14911.37700263638</v>
      </c>
      <c r="J296" t="inlineStr">
        <is>
          <t>Нежилое помещение</t>
        </is>
      </c>
      <c r="K296" s="5" t="n">
        <v>11.7</v>
      </c>
      <c r="L296" s="4" t="n">
        <v>931.9400000000001</v>
      </c>
      <c r="M296" t="n">
        <v>1274</v>
      </c>
      <c r="N296" s="6" t="n">
        <v>558973</v>
      </c>
      <c r="O296" t="n">
        <v>16</v>
      </c>
      <c r="Q296" t="inlineStr">
        <is>
          <t>EA</t>
        </is>
      </c>
      <c r="R296" t="inlineStr">
        <is>
          <t>М</t>
        </is>
      </c>
      <c r="S296" s="2">
        <f>HYPERLINK("https://yandex.ru/maps/?&amp;text=55.41167, 86.05477", "55.41167, 86.05477")</f>
        <v/>
      </c>
      <c r="T296" s="2">
        <f>HYPERLINK("D:\venv_torgi\env\cache\objs_in_district/55.41167_86.05477.json", "55.41167_86.05477.json")</f>
        <v/>
      </c>
      <c r="U296" t="inlineStr">
        <is>
          <t xml:space="preserve">42:24:0301019:5302, </t>
        </is>
      </c>
      <c r="V296" t="n">
        <v>0</v>
      </c>
      <c r="Y296" t="n">
        <v>0</v>
      </c>
      <c r="AA296" t="n">
        <v>0</v>
      </c>
      <c r="AB296" t="n">
        <v>0</v>
      </c>
    </row>
    <row r="297">
      <c r="A297" s="7" t="n">
        <v>295</v>
      </c>
      <c r="B297" t="n">
        <v>42</v>
      </c>
      <c r="C297" s="1" t="n">
        <v>67</v>
      </c>
      <c r="D297" s="2">
        <f>HYPERLINK("https://torgi.gov.ru/new/public/lots/lot/21000000010000000003_4/(lotInfo:info)", "21000000010000000003_4")</f>
        <v/>
      </c>
      <c r="E297" t="inlineStr">
        <is>
          <t>Нежилое помещение, кад. №42:20:0102046:1694, общей пл.67 кв.м по адресу:Кемеровская область-Кузбасс, г.Анжеро-Судженск, ул.Желябова, д. 11</t>
        </is>
      </c>
      <c r="F297" s="3" t="inlineStr">
        <is>
          <t>21.03.22 08:00</t>
        </is>
      </c>
      <c r="G297" t="inlineStr">
        <is>
          <t>Кемеровская область - Кузбасс, г Анжеро-Судженск, ул Желябова, д 11</t>
        </is>
      </c>
      <c r="H297" s="4" t="n">
        <v>1247400</v>
      </c>
      <c r="I297" s="4" t="n">
        <v>18617.91044776119</v>
      </c>
      <c r="J297" t="inlineStr">
        <is>
          <t>Нежилое помещение</t>
        </is>
      </c>
      <c r="K297" s="5" t="n">
        <v>4.48</v>
      </c>
      <c r="L297" s="4" t="n">
        <v>3723.4</v>
      </c>
      <c r="M297" t="n">
        <v>4152</v>
      </c>
      <c r="N297" s="6" t="n">
        <v>74950</v>
      </c>
      <c r="O297" t="n">
        <v>5</v>
      </c>
      <c r="Q297" t="inlineStr">
        <is>
          <t>EA</t>
        </is>
      </c>
      <c r="R297" t="inlineStr">
        <is>
          <t>М</t>
        </is>
      </c>
      <c r="S297" s="2">
        <f>HYPERLINK("https://yandex.ru/maps/?&amp;text=56.078564, 86.013824", "56.078564, 86.013824")</f>
        <v/>
      </c>
      <c r="T297" s="2">
        <f>HYPERLINK("D:\venv_torgi\env\cache\objs_in_district/56.078564_86.013824.json", "56.078564_86.013824.json")</f>
        <v/>
      </c>
      <c r="U297" t="inlineStr">
        <is>
          <t xml:space="preserve">42:20:0102046:1694, </t>
        </is>
      </c>
      <c r="V297" t="n">
        <v>0</v>
      </c>
      <c r="Y297" t="n">
        <v>0</v>
      </c>
      <c r="AA297" t="n">
        <v>0</v>
      </c>
      <c r="AB297" t="n">
        <v>0</v>
      </c>
    </row>
    <row r="298">
      <c r="A298" s="7" t="n">
        <v>296</v>
      </c>
      <c r="B298" t="n">
        <v>42</v>
      </c>
      <c r="C298" s="1" t="n">
        <v>104.2</v>
      </c>
      <c r="D298" s="2">
        <f>HYPERLINK("https://torgi.gov.ru/new/public/lots/lot/21000033300000000011_8/(lotInfo:info)", "21000033300000000011_8")</f>
        <v/>
      </c>
      <c r="E298" t="inlineStr">
        <is>
          <t>Нежилое помещение, общей площадью 104,2 кв.м., кадастровый номер 42:32:0103013:32317, расположенное по адресу: Кемеровская область, город Прокопьевск, улица 10 микрорайон, 7, помещение 1п.</t>
        </is>
      </c>
      <c r="F298" s="3" t="inlineStr">
        <is>
          <t>20.06.22 08:00</t>
        </is>
      </c>
      <c r="G298" t="inlineStr">
        <is>
          <t>Кемеровская область - Кузбасс, г Прокопьевск, ул 10-й микрорайон, д 7</t>
        </is>
      </c>
      <c r="H298" s="4" t="n">
        <v>2214500</v>
      </c>
      <c r="I298" s="4" t="n">
        <v>21252.39923224568</v>
      </c>
      <c r="J298" t="inlineStr">
        <is>
          <t>Нежилое помещение</t>
        </is>
      </c>
      <c r="K298" s="5" t="n">
        <v>6.48</v>
      </c>
      <c r="L298" s="4" t="n">
        <v>966</v>
      </c>
      <c r="M298" t="n">
        <v>3282</v>
      </c>
      <c r="N298" s="6" t="n">
        <v>191839</v>
      </c>
      <c r="O298" t="n">
        <v>22</v>
      </c>
      <c r="Q298" t="inlineStr">
        <is>
          <t>EA</t>
        </is>
      </c>
      <c r="R298" t="inlineStr">
        <is>
          <t>М</t>
        </is>
      </c>
      <c r="S298" s="2">
        <f>HYPERLINK("https://yandex.ru/maps/?&amp;text=53.879721, 86.611293", "53.879721, 86.611293")</f>
        <v/>
      </c>
      <c r="T298" s="2">
        <f>HYPERLINK("D:\venv_torgi\env\cache\objs_in_district/53.879721_86.611293.json", "53.879721_86.611293.json")</f>
        <v/>
      </c>
      <c r="U298" t="inlineStr">
        <is>
          <t xml:space="preserve">42:32:0103013:32317, </t>
        </is>
      </c>
      <c r="V298" t="n">
        <v>0</v>
      </c>
      <c r="Y298" t="n">
        <v>0</v>
      </c>
      <c r="AA298" t="n">
        <v>0</v>
      </c>
      <c r="AB298" t="n">
        <v>0</v>
      </c>
    </row>
    <row r="299">
      <c r="A299" s="7" t="n">
        <v>297</v>
      </c>
      <c r="B299" t="n">
        <v>42</v>
      </c>
      <c r="C299" s="1" t="n">
        <v>26</v>
      </c>
      <c r="D299" s="2">
        <f>HYPERLINK("https://torgi.gov.ru/new/public/lots/lot/21000000010000000002_2/(lotInfo:info)", "21000000010000000002_2")</f>
        <v/>
      </c>
      <c r="E299" t="inlineStr">
        <is>
          <t>нежилое помещение площадью 26 кв.м по адресу: Кемеровская область, Прокопьевский городской округ, город Прокопьевск, улица Коксовая, 38, помещение №3</t>
        </is>
      </c>
      <c r="F299" s="3" t="inlineStr">
        <is>
          <t>14.02.22 08:00</t>
        </is>
      </c>
      <c r="G299" t="inlineStr">
        <is>
          <t>Кемеровская область - Кузбасс, г Прокопьевск, ул Коксовая, д 38, помещ 3</t>
        </is>
      </c>
      <c r="H299" s="4" t="n">
        <v>565600</v>
      </c>
      <c r="I299" s="4" t="n">
        <v>21753.84615384615</v>
      </c>
      <c r="J299" t="inlineStr">
        <is>
          <t>Нежилое помещение</t>
        </is>
      </c>
      <c r="K299" s="5" t="n">
        <v>9.77</v>
      </c>
      <c r="L299" s="4" t="n">
        <v>2719.12</v>
      </c>
      <c r="M299" t="n">
        <v>2226</v>
      </c>
      <c r="N299" s="6" t="n">
        <v>191839</v>
      </c>
      <c r="O299" t="n">
        <v>8</v>
      </c>
      <c r="Q299" t="inlineStr">
        <is>
          <t>EA</t>
        </is>
      </c>
      <c r="R299" t="inlineStr">
        <is>
          <t>М</t>
        </is>
      </c>
      <c r="S299" s="2">
        <f>HYPERLINK("https://yandex.ru/maps/?&amp;text=53.908273, 86.789662", "53.908273, 86.789662")</f>
        <v/>
      </c>
      <c r="T299" s="2">
        <f>HYPERLINK("D:\venv_torgi\env\cache\objs_in_district/53.908273_86.789662.json", "53.908273_86.789662.json")</f>
        <v/>
      </c>
      <c r="U299" t="inlineStr">
        <is>
          <t>42:32:0101017:4137</t>
        </is>
      </c>
      <c r="V299" t="n">
        <v>0</v>
      </c>
      <c r="Y299" t="n">
        <v>0</v>
      </c>
      <c r="AA299" t="n">
        <v>0</v>
      </c>
      <c r="AB299" t="n">
        <v>0</v>
      </c>
    </row>
    <row r="300">
      <c r="A300" s="7" t="n">
        <v>298</v>
      </c>
      <c r="B300" t="n">
        <v>42</v>
      </c>
      <c r="C300" s="1" t="n">
        <v>39.1</v>
      </c>
      <c r="D300" s="2">
        <f>HYPERLINK("https://torgi.gov.ru/new/public/lots/lot/21000000010000000002_4/(lotInfo:info)", "21000000010000000002_4")</f>
        <v/>
      </c>
      <c r="E300" t="inlineStr">
        <is>
          <t>нежилое помещение площадью 39,1 кв.м, по адресу: Кемеровская область, г. Прокопьевск, ул.Институтская, д.3, пом. 1п</t>
        </is>
      </c>
      <c r="F300" s="3" t="inlineStr">
        <is>
          <t>14.02.22 08:00</t>
        </is>
      </c>
      <c r="G300" t="inlineStr">
        <is>
          <t>Кемеровская область - Кузбасс, г Прокопьевск, ул Институтская, д 3</t>
        </is>
      </c>
      <c r="H300" s="4" t="n">
        <v>969600</v>
      </c>
      <c r="I300" s="4" t="n">
        <v>24797.95396419437</v>
      </c>
      <c r="J300" t="inlineStr">
        <is>
          <t>Нежилое помещение</t>
        </is>
      </c>
      <c r="K300" s="5" t="n">
        <v>9.210000000000001</v>
      </c>
      <c r="L300" s="4" t="n">
        <v>1549.81</v>
      </c>
      <c r="M300" t="n">
        <v>2692</v>
      </c>
      <c r="N300" s="6" t="n">
        <v>191839</v>
      </c>
      <c r="O300" t="n">
        <v>16</v>
      </c>
      <c r="Q300" t="inlineStr">
        <is>
          <t>EA</t>
        </is>
      </c>
      <c r="R300" t="inlineStr">
        <is>
          <t>М</t>
        </is>
      </c>
      <c r="S300" s="2">
        <f>HYPERLINK("https://yandex.ru/maps/?&amp;text=53.865637, 86.645231", "53.865637, 86.645231")</f>
        <v/>
      </c>
      <c r="T300" s="2">
        <f>HYPERLINK("D:\venv_torgi\env\cache\objs_in_district/53.865637_86.645231.json", "53.865637_86.645231.json")</f>
        <v/>
      </c>
      <c r="U300" t="inlineStr">
        <is>
          <t>42:32:0103013:33243</t>
        </is>
      </c>
      <c r="V300" t="n">
        <v>0</v>
      </c>
      <c r="Y300" t="n">
        <v>0</v>
      </c>
      <c r="AA300" t="n">
        <v>0</v>
      </c>
      <c r="AB300" t="n">
        <v>0</v>
      </c>
    </row>
    <row r="301">
      <c r="A301" s="7" t="n">
        <v>299</v>
      </c>
      <c r="B301" t="n">
        <v>42</v>
      </c>
      <c r="C301" s="1" t="n">
        <v>26.3</v>
      </c>
      <c r="D301" s="2">
        <f>HYPERLINK("https://torgi.gov.ru/new/public/lots/lot/21000033300000000017_11/(lotInfo:info)", "21000033300000000017_11")</f>
        <v/>
      </c>
      <c r="E301" t="inlineStr">
        <is>
          <t>Нежилое помещение, общей  площадью 26,3 кв.м., кадастровый номер 42:32:0103013:35469,  расположенное по адресу: Кемеровская область, город Прокопьевск, проспект Строителей, 7, помещение 3</t>
        </is>
      </c>
      <c r="F301" s="3" t="inlineStr">
        <is>
          <t>03.08.22 08:00</t>
        </is>
      </c>
      <c r="G301" t="inlineStr">
        <is>
          <t>Кемеровская область - Кузбасс, г Прокопьевск, пр-кт Строителей, зд 7</t>
        </is>
      </c>
      <c r="H301" s="4" t="n">
        <v>736000</v>
      </c>
      <c r="I301" s="4" t="n">
        <v>27984.79087452472</v>
      </c>
      <c r="J301" t="inlineStr">
        <is>
          <t>Нежилое помещение</t>
        </is>
      </c>
      <c r="K301" s="5" t="n">
        <v>5.55</v>
      </c>
      <c r="L301" s="4" t="n">
        <v>548.71</v>
      </c>
      <c r="M301" t="n">
        <v>5040</v>
      </c>
      <c r="N301" s="6" t="n">
        <v>191839</v>
      </c>
      <c r="O301" t="n">
        <v>51</v>
      </c>
      <c r="Q301" t="inlineStr">
        <is>
          <t>EA</t>
        </is>
      </c>
      <c r="R301" t="inlineStr">
        <is>
          <t>М</t>
        </is>
      </c>
      <c r="S301" s="2">
        <f>HYPERLINK("https://yandex.ru/maps/?&amp;text=53.863757, 86.625279", "53.863757, 86.625279")</f>
        <v/>
      </c>
      <c r="T301" s="2">
        <f>HYPERLINK("D:\venv_torgi\env\cache\objs_in_district/53.863757_86.625279.json", "53.863757_86.625279.json")</f>
        <v/>
      </c>
      <c r="U301" t="inlineStr">
        <is>
          <t xml:space="preserve">42:32:0103013:35469,  </t>
        </is>
      </c>
      <c r="V301" t="n">
        <v>0</v>
      </c>
      <c r="Y301" t="n">
        <v>0</v>
      </c>
      <c r="AA301" t="n">
        <v>0</v>
      </c>
      <c r="AB301" t="n">
        <v>0</v>
      </c>
    </row>
    <row r="302">
      <c r="A302" s="7" t="n">
        <v>300</v>
      </c>
      <c r="B302" t="n">
        <v>42</v>
      </c>
      <c r="C302" s="1" t="n">
        <v>47.3</v>
      </c>
      <c r="D302" s="2">
        <f>HYPERLINK("https://torgi.gov.ru/new/public/lots/lot/21000016050000000017_5/(lotInfo:info)", "21000016050000000017_5")</f>
        <v/>
      </c>
      <c r="E302" t="inlineStr">
        <is>
          <t>См. в документах по лоту</t>
        </is>
      </c>
      <c r="F302" s="3" t="inlineStr">
        <is>
          <t>17.06.22 14:00</t>
        </is>
      </c>
      <c r="G302" t="inlineStr">
        <is>
          <t>Кемеровская область - Кузбасс, г Новокузнецк, р-н Центральный, пр-кт Строителей, д 45</t>
        </is>
      </c>
      <c r="H302" s="4" t="n">
        <v>1512000</v>
      </c>
      <c r="I302" s="4" t="n">
        <v>31966.1733615222</v>
      </c>
      <c r="J302" t="inlineStr">
        <is>
          <t>Нежилое помещение</t>
        </is>
      </c>
      <c r="K302" s="5" t="n">
        <v>8.970000000000001</v>
      </c>
      <c r="L302" s="4" t="n">
        <v>1775.89</v>
      </c>
      <c r="M302" t="n">
        <v>3565</v>
      </c>
      <c r="N302" s="6" t="n">
        <v>551919</v>
      </c>
      <c r="O302" t="n">
        <v>18</v>
      </c>
      <c r="Q302" t="inlineStr">
        <is>
          <t>EA</t>
        </is>
      </c>
      <c r="R302" t="inlineStr">
        <is>
          <t>М</t>
        </is>
      </c>
      <c r="S302" s="2">
        <f>HYPERLINK("https://yandex.ru/maps/?&amp;text=53.770125, 87.117745", "53.770125, 87.117745")</f>
        <v/>
      </c>
      <c r="T302" s="2">
        <f>HYPERLINK("D:\venv_torgi\env\cache\objs_in_district/53.770125_87.117745.json", "53.770125_87.117745.json")</f>
        <v/>
      </c>
      <c r="U302" t="inlineStr">
        <is>
          <t>42:30:0301035: 1488</t>
        </is>
      </c>
      <c r="V302" t="n">
        <v>1</v>
      </c>
      <c r="Y302" t="n">
        <v>0</v>
      </c>
      <c r="AA302" t="n">
        <v>0</v>
      </c>
      <c r="AB302" t="n">
        <v>0</v>
      </c>
    </row>
    <row r="303">
      <c r="A303" s="7" t="n">
        <v>301</v>
      </c>
      <c r="B303" t="n">
        <v>42</v>
      </c>
      <c r="C303" s="1" t="n">
        <v>57</v>
      </c>
      <c r="D303" s="2">
        <f>HYPERLINK("https://torgi.gov.ru/new/public/lots/lot/22000012150000000006_4/(lotInfo:info)", "22000012150000000006_4")</f>
        <v/>
      </c>
      <c r="E303" t="inlineStr">
        <is>
          <t>встроенное нежилое помещение с кадастровым номером 42:29:0101001:2376, площадью 57,0 кв.м., расположенное по адресу: Кемеровская обл., г. Мыски, ул. Пушкина д. 2 пом. 1</t>
        </is>
      </c>
      <c r="F303" s="3" t="inlineStr">
        <is>
          <t>18.05.22 03:00</t>
        </is>
      </c>
      <c r="G303" t="inlineStr">
        <is>
          <t>Кемеровская область - Кузбасс, г Мыски, ул Пушкина, д 2</t>
        </is>
      </c>
      <c r="H303" s="4" t="n">
        <v>2352000</v>
      </c>
      <c r="I303" s="4" t="n">
        <v>41263.15789473684</v>
      </c>
      <c r="J303" t="inlineStr">
        <is>
          <t>Нежилое помещение</t>
        </is>
      </c>
      <c r="K303" s="5" t="n">
        <v>37.07</v>
      </c>
      <c r="L303" s="4" t="n">
        <v>3174.08</v>
      </c>
      <c r="M303" t="n">
        <v>1113</v>
      </c>
      <c r="N303" s="6" t="n">
        <v>41379</v>
      </c>
      <c r="O303" t="n">
        <v>13</v>
      </c>
      <c r="Q303" t="inlineStr">
        <is>
          <t>EA</t>
        </is>
      </c>
      <c r="R303" t="inlineStr">
        <is>
          <t>М</t>
        </is>
      </c>
      <c r="S303" s="2">
        <f>HYPERLINK("https://yandex.ru/maps/?&amp;text=53.713634, 87.80065", "53.713634, 87.80065")</f>
        <v/>
      </c>
      <c r="T303" s="2">
        <f>HYPERLINK("D:\venv_torgi\env\cache\objs_in_district/53.713634_87.80065.json", "53.713634_87.80065.json")</f>
        <v/>
      </c>
      <c r="U303" t="inlineStr">
        <is>
          <t xml:space="preserve">42:29:0101001:2376, </t>
        </is>
      </c>
      <c r="V303" t="n">
        <v>1</v>
      </c>
      <c r="Y303" t="n">
        <v>0</v>
      </c>
      <c r="AA303" t="n">
        <v>0</v>
      </c>
      <c r="AB303" t="n">
        <v>0</v>
      </c>
    </row>
    <row r="304">
      <c r="A304" s="7" t="n">
        <v>302</v>
      </c>
      <c r="B304" t="n">
        <v>43</v>
      </c>
      <c r="C304" s="1" t="n">
        <v>123.4</v>
      </c>
      <c r="D304" s="2">
        <f>HYPERLINK("https://torgi.gov.ru/new/public/lots/lot/21000018130000000002_1/(lotInfo:info)", "21000018130000000002_1")</f>
        <v/>
      </c>
      <c r="E304" t="inlineStr">
        <is>
          <t>Нежилое помещение, назначение: нежилое помещение, адрес: Кировская область, Шабалинский район, пгт Ленинское, ул. Фрунзе, 21В, пом. 105, кадастровый № 43:37:310110:1492, площадь 123,4 кв.м, этаж 1.</t>
        </is>
      </c>
      <c r="F304" s="3" t="inlineStr">
        <is>
          <t>15.07.22 20:00</t>
        </is>
      </c>
      <c r="G304" t="inlineStr">
        <is>
          <t>Кировская обл, пгт Ленинское, ул Фрунзе, д 21в</t>
        </is>
      </c>
      <c r="H304" s="4" t="n">
        <v>148050</v>
      </c>
      <c r="I304" s="4" t="n">
        <v>1199.756888168557</v>
      </c>
      <c r="J304" t="inlineStr">
        <is>
          <t>Нежилое помещение</t>
        </is>
      </c>
      <c r="K304" s="5" t="n">
        <v>1.34</v>
      </c>
      <c r="M304" t="n">
        <v>895</v>
      </c>
      <c r="N304" s="6" t="n">
        <v>5122</v>
      </c>
      <c r="Q304" t="inlineStr">
        <is>
          <t>EA</t>
        </is>
      </c>
      <c r="R304" t="inlineStr">
        <is>
          <t>М</t>
        </is>
      </c>
      <c r="S304" s="2">
        <f>HYPERLINK("https://yandex.ru/maps/?&amp;text=58.311497, 47.09313", "58.311497, 47.09313")</f>
        <v/>
      </c>
      <c r="U304" t="inlineStr">
        <is>
          <t xml:space="preserve">43:37:310110:1492, </t>
        </is>
      </c>
      <c r="V304" t="n">
        <v>1</v>
      </c>
      <c r="Y304" t="n">
        <v>0</v>
      </c>
      <c r="AA304" t="n">
        <v>0</v>
      </c>
      <c r="AB304" t="n">
        <v>0</v>
      </c>
    </row>
    <row r="305">
      <c r="A305" s="7" t="n">
        <v>303</v>
      </c>
      <c r="B305" t="n">
        <v>43</v>
      </c>
      <c r="C305" s="1" t="n">
        <v>75.5</v>
      </c>
      <c r="D305" s="2">
        <f>HYPERLINK("https://torgi.gov.ru/new/public/lots/lot/21000013310000000018_1/(lotInfo:info)", "21000013310000000018_1")</f>
        <v/>
      </c>
      <c r="E305" t="inlineStr">
        <is>
          <t>кирпичное нежилое помещение ,2- этаж, площадью 75,5 кв.м ,1916 года постройки</t>
        </is>
      </c>
      <c r="F305" s="3" t="inlineStr">
        <is>
          <t>20.08.22 14:00</t>
        </is>
      </c>
      <c r="G305" t="inlineStr">
        <is>
          <t>Кировская обл, Санчурский р-н, село Городище, ул Школьная, д 11</t>
        </is>
      </c>
      <c r="H305" s="4" t="n">
        <v>128000</v>
      </c>
      <c r="I305" s="4" t="n">
        <v>1695.364238410596</v>
      </c>
      <c r="J305" t="inlineStr">
        <is>
          <t>Нежилое помещение</t>
        </is>
      </c>
      <c r="K305" s="5" t="n">
        <v>8.27</v>
      </c>
      <c r="M305" t="n">
        <v>205</v>
      </c>
      <c r="N305" s="6" t="n">
        <v>377</v>
      </c>
      <c r="Q305" t="inlineStr">
        <is>
          <t>PP</t>
        </is>
      </c>
      <c r="R305" t="inlineStr">
        <is>
          <t>М</t>
        </is>
      </c>
      <c r="S305" s="2">
        <f>HYPERLINK("https://yandex.ru/maps/?&amp;text=56.95109, 47.278084", "56.95109, 47.278084")</f>
        <v/>
      </c>
      <c r="U305" t="inlineStr">
        <is>
          <t>43:28:070501:502</t>
        </is>
      </c>
      <c r="V305" t="n">
        <v>2</v>
      </c>
      <c r="Y305" t="n">
        <v>0</v>
      </c>
      <c r="AA305" t="n">
        <v>0</v>
      </c>
      <c r="AB305" t="n">
        <v>0</v>
      </c>
    </row>
    <row r="306">
      <c r="A306" s="7" t="n">
        <v>304</v>
      </c>
      <c r="B306" t="n">
        <v>43</v>
      </c>
      <c r="C306" s="1" t="n">
        <v>273.5</v>
      </c>
      <c r="D306" s="2">
        <f>HYPERLINK("https://torgi.gov.ru/new/public/lots/lot/22000110650000000001_1/(lotInfo:info)", "22000110650000000001_1")</f>
        <v/>
      </c>
      <c r="E306" t="inlineStr">
        <is>
          <t>Нежилое помещение, количество этажей: 1, площадь 273,5 кв.м., год завершения строительства: 1954г., кадастровый номер: 43:24:330402:596</t>
        </is>
      </c>
      <c r="F306" s="3" t="inlineStr">
        <is>
          <t>28.06.22 05:00</t>
        </is>
      </c>
      <c r="G306" t="inlineStr">
        <is>
          <t>Кировская обл, Оричевский р-н, поселок Зенгино, ул Производственная, д 3, помещ 1002</t>
        </is>
      </c>
      <c r="H306" s="4" t="n">
        <v>628731</v>
      </c>
      <c r="I306" s="4" t="n">
        <v>2298.833638025594</v>
      </c>
      <c r="J306" t="inlineStr">
        <is>
          <t>Нежилое помещение</t>
        </is>
      </c>
      <c r="K306" s="5" t="n">
        <v>8.42</v>
      </c>
      <c r="L306" s="4" t="inlineStr"/>
      <c r="M306" t="n">
        <v>273</v>
      </c>
      <c r="N306" s="6" t="n">
        <v>644</v>
      </c>
      <c r="O306" t="inlineStr"/>
      <c r="Q306" t="inlineStr">
        <is>
          <t>EA</t>
        </is>
      </c>
      <c r="R306" t="inlineStr">
        <is>
          <t>М</t>
        </is>
      </c>
      <c r="S306" s="2">
        <f>HYPERLINK("https://yandex.ru/maps/?&amp;text=58.497129, 49.025862", "58.497129, 49.025862")</f>
        <v/>
      </c>
      <c r="T306" s="8">
        <f>HYPERLINK("D:\venv_torgi\env\cache\objs_in_district/58.497129_49.025862.json", "58.497129_49.025862.json")</f>
        <v/>
      </c>
      <c r="U306" t="inlineStr">
        <is>
          <t>43:24:330402:596</t>
        </is>
      </c>
      <c r="V306" t="n">
        <v>1</v>
      </c>
      <c r="Y306" t="n">
        <v>0</v>
      </c>
      <c r="AA306" t="n">
        <v>0</v>
      </c>
      <c r="AB306" t="n">
        <v>0</v>
      </c>
    </row>
    <row r="307">
      <c r="A307" s="7" t="n">
        <v>305</v>
      </c>
      <c r="B307" t="n">
        <v>43</v>
      </c>
      <c r="C307" s="1" t="n">
        <v>223</v>
      </c>
      <c r="D307" s="2">
        <f>HYPERLINK("https://torgi.gov.ru/new/public/lots/lot/21000016080000000100_1/(lotInfo:info)", "21000016080000000100_1")</f>
        <v/>
      </c>
      <c r="E307" t="inlineStr">
        <is>
          <t>Нежилое помещение площадью 223 кв.м с кадастровым номером 43:41:000017:1128 (реестровый номер федерального имущества П13440001744), расположенное по адресу: Кировская область, р-н Вятскополянский, г. Вятские Поляны, ул. Профсоюзная, д. 2, пом. 1001.</t>
        </is>
      </c>
      <c r="F307" s="3" t="inlineStr">
        <is>
          <t>30.05.22 15:00</t>
        </is>
      </c>
      <c r="G307" t="inlineStr">
        <is>
          <t>Кировская обл, г Вятские Поляны, ул Профсоюзная, д 2</t>
        </is>
      </c>
      <c r="H307" s="4" t="n">
        <v>516500</v>
      </c>
      <c r="I307" s="4" t="n">
        <v>2316.143497757847</v>
      </c>
      <c r="J307" t="inlineStr">
        <is>
          <t>Нежилое помещение</t>
        </is>
      </c>
      <c r="K307" s="5" t="n">
        <v>1.42</v>
      </c>
      <c r="L307" s="4" t="n">
        <v>85.78</v>
      </c>
      <c r="M307" t="n">
        <v>1633</v>
      </c>
      <c r="N307" s="6" t="n">
        <v>33719</v>
      </c>
      <c r="O307" t="n">
        <v>27</v>
      </c>
      <c r="Q307" t="inlineStr">
        <is>
          <t>PP</t>
        </is>
      </c>
      <c r="R307" t="inlineStr">
        <is>
          <t>М</t>
        </is>
      </c>
      <c r="S307" s="2">
        <f>HYPERLINK("https://yandex.ru/maps/?&amp;text=56.21733, 51.03541", "56.21733, 51.03541")</f>
        <v/>
      </c>
      <c r="T307" s="2">
        <f>HYPERLINK("D:\venv_torgi\env\cache\objs_in_district/56.21733_51.03541.json", "56.21733_51.03541.json")</f>
        <v/>
      </c>
      <c r="U307" t="inlineStr">
        <is>
          <t xml:space="preserve">43:41:000017:1128 </t>
        </is>
      </c>
      <c r="V307" t="n">
        <v>0</v>
      </c>
      <c r="Y307" t="n">
        <v>0</v>
      </c>
      <c r="AA307" t="n">
        <v>0</v>
      </c>
      <c r="AB307" t="n">
        <v>0</v>
      </c>
    </row>
    <row r="308">
      <c r="A308" s="7" t="n">
        <v>306</v>
      </c>
      <c r="B308" t="n">
        <v>43</v>
      </c>
      <c r="C308" s="1" t="n">
        <v>51.5</v>
      </c>
      <c r="D308" s="2">
        <f>HYPERLINK("https://torgi.gov.ru/new/public/lots/lot/21000016080000000096_3/(lotInfo:info)", "21000016080000000096_3")</f>
        <v/>
      </c>
      <c r="E308" t="inlineStr">
        <is>
          <t>Нежилое помещение площадью 51,5 кв.м с кадастровым номером 43:01:310107:558 (реестровый номер федерального имущества П13440002284), расположенное по адресу: Кировская область, р-н Арбажский, пгт. Арбаж, ул. Комсомольская, д. 8, пом. 102</t>
        </is>
      </c>
      <c r="F308" s="3" t="inlineStr">
        <is>
          <t>30.05.22 15:00</t>
        </is>
      </c>
      <c r="G308" t="inlineStr">
        <is>
          <t>Кировская обл, пгт Арбаж, ул Комсомольская, д 8</t>
        </is>
      </c>
      <c r="H308" s="4" t="n">
        <v>121000</v>
      </c>
      <c r="I308" s="4" t="n">
        <v>2349.514563106796</v>
      </c>
      <c r="J308" t="inlineStr">
        <is>
          <t>Нежилое помещение</t>
        </is>
      </c>
      <c r="K308" s="5" t="n">
        <v>2.44</v>
      </c>
      <c r="M308" t="n">
        <v>961</v>
      </c>
      <c r="N308" s="6" t="n">
        <v>3281</v>
      </c>
      <c r="Q308" t="inlineStr">
        <is>
          <t>PP</t>
        </is>
      </c>
      <c r="R308" t="inlineStr">
        <is>
          <t>М</t>
        </is>
      </c>
      <c r="S308" s="2">
        <f>HYPERLINK("https://yandex.ru/maps/?&amp;text=57.677788, 48.29981", "57.677788, 48.29981")</f>
        <v/>
      </c>
      <c r="U308" t="inlineStr">
        <is>
          <t xml:space="preserve">43:01:310107:558 </t>
        </is>
      </c>
      <c r="V308" t="n">
        <v>0</v>
      </c>
      <c r="Y308" t="n">
        <v>0</v>
      </c>
      <c r="AA308" t="n">
        <v>0</v>
      </c>
      <c r="AB308" t="n">
        <v>0</v>
      </c>
    </row>
    <row r="309">
      <c r="A309" s="7" t="n">
        <v>307</v>
      </c>
      <c r="B309" t="n">
        <v>43</v>
      </c>
      <c r="C309" s="1" t="n">
        <v>291</v>
      </c>
      <c r="D309" s="2">
        <f>HYPERLINK("https://torgi.gov.ru/new/public/lots/lot/22000006140000000033_1/(lotInfo:info)", "22000006140000000033_1")</f>
        <v/>
      </c>
      <c r="E309" t="inlineStr">
        <is>
          <t>помещение, назначение: нежилое, общая площадь 291,0 кв.метров, этаж цокольный, расположенное по адресу: г. Кирово-Чепецк, ул. Сосновая, д. 3/2, пом. 5, кадастровый номер: 43:42:000057:0012:33:407:001:017067430:0100:20005</t>
        </is>
      </c>
      <c r="F309" s="3" t="inlineStr">
        <is>
          <t>13.07.22 20:00</t>
        </is>
      </c>
      <c r="G309" t="inlineStr">
        <is>
          <t>Кировская обл, г Кирово-Чепецк, ул Сосновая, д 3 к 2</t>
        </is>
      </c>
      <c r="H309" s="4" t="n">
        <v>830000</v>
      </c>
      <c r="I309" s="4" t="n">
        <v>2852.233676975945</v>
      </c>
      <c r="J309" t="inlineStr">
        <is>
          <t>Нежилое помещение</t>
        </is>
      </c>
      <c r="K309" s="5" t="n">
        <v>0.75</v>
      </c>
      <c r="L309" s="4" t="n">
        <v>142.6</v>
      </c>
      <c r="M309" t="n">
        <v>3780</v>
      </c>
      <c r="N309" s="6" t="n">
        <v>45058</v>
      </c>
      <c r="O309" t="n">
        <v>20</v>
      </c>
      <c r="Q309" t="inlineStr">
        <is>
          <t>BOC</t>
        </is>
      </c>
      <c r="R309" t="inlineStr">
        <is>
          <t>М</t>
        </is>
      </c>
      <c r="S309" s="2">
        <f>HYPERLINK("https://yandex.ru/maps/?&amp;text=58.540024, 50.030798", "58.540024, 50.030798")</f>
        <v/>
      </c>
      <c r="T309" s="2">
        <f>HYPERLINK("D:\venv_torgi\env\cache\objs_in_district/58.540024_50.030798.json", "58.540024_50.030798.json")</f>
        <v/>
      </c>
      <c r="U309" t="inlineStr">
        <is>
          <t>43:42:000057:0012</t>
        </is>
      </c>
      <c r="V309" t="n">
        <v>0</v>
      </c>
      <c r="Y309" t="n">
        <v>0</v>
      </c>
      <c r="AA309" t="n">
        <v>0</v>
      </c>
      <c r="AB309" t="n">
        <v>0</v>
      </c>
    </row>
    <row r="310">
      <c r="A310" s="7" t="n">
        <v>308</v>
      </c>
      <c r="B310" t="n">
        <v>43</v>
      </c>
      <c r="C310" s="1" t="n">
        <v>43.9</v>
      </c>
      <c r="D310" s="2">
        <f>HYPERLINK("https://torgi.gov.ru/new/public/lots/lot/21000016080000000096_6/(lotInfo:info)", "21000016080000000096_6")</f>
        <v/>
      </c>
      <c r="E310" t="inlineStr">
        <is>
          <t>Нежилое помещение площадью 43,9 кв.м с кадастровым номером 43:40:000300:245 (реестровый номер федерального имущества П13440000735), расположенное по адресу: Кировская область, г. Киров, ул. Московская, д. 8, пом. 1003.</t>
        </is>
      </c>
      <c r="F310" s="3" t="inlineStr">
        <is>
          <t>30.05.22 15:00</t>
        </is>
      </c>
      <c r="G310" t="inlineStr">
        <is>
          <t>г Киров, ул Московская, д 8</t>
        </is>
      </c>
      <c r="H310" s="4" t="n">
        <v>141500</v>
      </c>
      <c r="I310" s="4" t="n">
        <v>3223.234624145786</v>
      </c>
      <c r="J310" t="inlineStr">
        <is>
          <t>Нежилое помещение</t>
        </is>
      </c>
      <c r="K310" s="5" t="n">
        <v>0.39</v>
      </c>
      <c r="L310" s="4" t="n">
        <v>54.63</v>
      </c>
      <c r="M310" t="n">
        <v>8346</v>
      </c>
      <c r="N310" s="6" t="n">
        <v>558344</v>
      </c>
      <c r="O310" t="n">
        <v>59</v>
      </c>
      <c r="Q310" t="inlineStr">
        <is>
          <t>PP</t>
        </is>
      </c>
      <c r="R310" t="inlineStr">
        <is>
          <t>М</t>
        </is>
      </c>
      <c r="S310" s="2">
        <f>HYPERLINK("https://yandex.ru/maps/?&amp;text=58.60358, 49.67942", "58.60358, 49.67942")</f>
        <v/>
      </c>
      <c r="T310" s="2">
        <f>HYPERLINK("D:\venv_torgi\env\cache\objs_in_district/58.60358_49.67942.json", "58.60358_49.67942.json")</f>
        <v/>
      </c>
      <c r="U310" t="inlineStr">
        <is>
          <t xml:space="preserve">43:40:000300:245 </t>
        </is>
      </c>
      <c r="V310" t="n">
        <v>0</v>
      </c>
      <c r="Y310" t="n">
        <v>0</v>
      </c>
      <c r="AA310" t="n">
        <v>0</v>
      </c>
      <c r="AB310" t="n">
        <v>0</v>
      </c>
    </row>
    <row r="311">
      <c r="A311" s="7" t="n">
        <v>309</v>
      </c>
      <c r="B311" t="n">
        <v>43</v>
      </c>
      <c r="C311" s="1" t="n">
        <v>32.8</v>
      </c>
      <c r="D311" s="2">
        <f>HYPERLINK("https://torgi.gov.ru/new/public/lots/lot/22000111280000000003_1/(lotInfo:info)", "22000111280000000003_1")</f>
        <v/>
      </c>
      <c r="E311" t="inlineStr">
        <is>
          <t>Нежилое помещение, расположенное на втором этаже, площадью 32,8 кв.м., кадастровый номер 43:39:030232:203, расположенное по адресу: Кировская область, город Яранск, улица Радина, дом 12</t>
        </is>
      </c>
      <c r="F311" s="3" t="inlineStr">
        <is>
          <t>22.08.22 07:00</t>
        </is>
      </c>
      <c r="G311" t="inlineStr">
        <is>
          <t>Кировская обл, г Яранск, ул Радина, д 12</t>
        </is>
      </c>
      <c r="H311" s="4" t="n">
        <v>230880</v>
      </c>
      <c r="I311" s="4" t="n">
        <v>7039.024390243903</v>
      </c>
      <c r="J311" t="inlineStr">
        <is>
          <t>Нежилое помещение</t>
        </is>
      </c>
      <c r="K311" s="5" t="n">
        <v>3.39</v>
      </c>
      <c r="M311" t="n">
        <v>2076</v>
      </c>
      <c r="N311" s="6" t="n">
        <v>16592</v>
      </c>
      <c r="Q311" t="inlineStr">
        <is>
          <t>EA</t>
        </is>
      </c>
      <c r="R311" t="inlineStr">
        <is>
          <t>М</t>
        </is>
      </c>
      <c r="S311" s="2">
        <f>HYPERLINK("https://yandex.ru/maps/?&amp;text=57.302387, 47.877377", "57.302387, 47.877377")</f>
        <v/>
      </c>
      <c r="U311" t="inlineStr">
        <is>
          <t xml:space="preserve">43:39:030232:203, </t>
        </is>
      </c>
      <c r="V311" t="n">
        <v>2</v>
      </c>
      <c r="Y311" t="n">
        <v>0</v>
      </c>
      <c r="AA311" t="n">
        <v>0</v>
      </c>
      <c r="AB311" t="n">
        <v>0</v>
      </c>
    </row>
    <row r="312">
      <c r="A312" s="7" t="n">
        <v>310</v>
      </c>
      <c r="B312" t="n">
        <v>43</v>
      </c>
      <c r="C312" s="1" t="n">
        <v>24</v>
      </c>
      <c r="D312" s="2">
        <f>HYPERLINK("https://torgi.gov.ru/new/public/lots/lot/21000028500000000028_2/(lotInfo:info)", "21000028500000000028_2")</f>
        <v/>
      </c>
      <c r="E312" t="inlineStr">
        <is>
          <t>нежилое помещение с кадастровым номером 43:40:002205:242 расположено на первом этаже, общая площадь составляет 24 кв. метра, год постройки 1969.</t>
        </is>
      </c>
      <c r="F312" s="3" t="inlineStr">
        <is>
          <t>11.08.22 20:00</t>
        </is>
      </c>
      <c r="G312" t="inlineStr">
        <is>
          <t>г Киров, поселок Ганино, ул Мира, д 2</t>
        </is>
      </c>
      <c r="H312" s="4" t="n">
        <v>233000</v>
      </c>
      <c r="I312" s="4" t="n">
        <v>9708.333333333334</v>
      </c>
      <c r="J312" t="inlineStr">
        <is>
          <t>Нежилое помещение</t>
        </is>
      </c>
      <c r="K312" s="5" t="n">
        <v>7.67</v>
      </c>
      <c r="M312" t="n">
        <v>1265</v>
      </c>
      <c r="N312" s="6" t="n">
        <v>558344</v>
      </c>
      <c r="Q312" t="inlineStr">
        <is>
          <t>EA</t>
        </is>
      </c>
      <c r="R312" t="inlineStr">
        <is>
          <t>М</t>
        </is>
      </c>
      <c r="S312" s="2">
        <f>HYPERLINK("https://yandex.ru/maps/?&amp;text=58.63958, 49.55471", "58.63958, 49.55471")</f>
        <v/>
      </c>
      <c r="U312" t="inlineStr">
        <is>
          <t xml:space="preserve">43:40:002205:242 </t>
        </is>
      </c>
      <c r="V312" t="n">
        <v>1</v>
      </c>
      <c r="Y312" t="n">
        <v>0</v>
      </c>
      <c r="AA312" t="n">
        <v>0</v>
      </c>
      <c r="AB312" t="n">
        <v>0</v>
      </c>
    </row>
    <row r="313">
      <c r="A313" s="7" t="n">
        <v>311</v>
      </c>
      <c r="B313" t="n">
        <v>43</v>
      </c>
      <c r="C313" s="1" t="n">
        <v>64</v>
      </c>
      <c r="D313" s="2">
        <f>HYPERLINK("https://torgi.gov.ru/new/public/lots/lot/22000006140000000014_1/(lotInfo:info)", "22000006140000000014_1")</f>
        <v/>
      </c>
      <c r="E313" t="inlineStr">
        <is>
          <t>нежилое помещение, назначение: торговое. Площадь 64,6 кв.м. Этаж 1. Адрес объекта: Кировская область, город Кирово-Чепецк, улица Ленина, дом 6/5. Кадастровый номер: 43:42:000061:0023:33:407:001:005387080:0100:20004</t>
        </is>
      </c>
      <c r="F313" s="3" t="inlineStr">
        <is>
          <t>26.02.22 20:00</t>
        </is>
      </c>
      <c r="G313" t="inlineStr">
        <is>
          <t>Кировская обл, г Кирово-Чепецк, ул Ленина, д 6 к 5</t>
        </is>
      </c>
      <c r="H313" s="4" t="n">
        <v>623000</v>
      </c>
      <c r="I313" s="4" t="n">
        <v>9734.375</v>
      </c>
      <c r="J313" t="inlineStr">
        <is>
          <t>торговое. Площадь</t>
        </is>
      </c>
      <c r="K313" s="5" t="n">
        <v>3.55</v>
      </c>
      <c r="L313" s="4" t="n">
        <v>231.76</v>
      </c>
      <c r="M313" t="n">
        <v>2745</v>
      </c>
      <c r="N313" s="6" t="n">
        <v>45058</v>
      </c>
      <c r="O313" t="n">
        <v>42</v>
      </c>
      <c r="Q313" t="inlineStr">
        <is>
          <t>EA</t>
        </is>
      </c>
      <c r="R313" t="inlineStr">
        <is>
          <t>М</t>
        </is>
      </c>
      <c r="S313" s="2">
        <f>HYPERLINK("https://yandex.ru/maps/?&amp;text=58.5342016, 50.0221059", "58.5342016, 50.0221059")</f>
        <v/>
      </c>
      <c r="T313" s="2">
        <f>HYPERLINK("D:\venv_torgi\env\cache\objs_in_district/58.5342016_50.0221059.json", "58.5342016_50.0221059.json")</f>
        <v/>
      </c>
      <c r="U313" t="inlineStr">
        <is>
          <t>43:42:000061:0023</t>
        </is>
      </c>
      <c r="V313" t="n">
        <v>1</v>
      </c>
      <c r="Y313" t="n">
        <v>0</v>
      </c>
      <c r="AA313" t="n">
        <v>0</v>
      </c>
      <c r="AB313" t="n">
        <v>0</v>
      </c>
    </row>
    <row r="314">
      <c r="A314" s="7" t="n">
        <v>312</v>
      </c>
      <c r="B314" t="n">
        <v>43</v>
      </c>
      <c r="C314" s="1" t="n">
        <v>36.1</v>
      </c>
      <c r="D314" s="2">
        <f>HYPERLINK("https://torgi.gov.ru/new/public/lots/lot/22000085140000000001_1/(lotInfo:info)", "22000085140000000001_1")</f>
        <v/>
      </c>
      <c r="E314" t="inlineStr">
        <is>
          <t>Нежилое помещение, расположенного по адресу: г. Вятские Поляны, ул. Ленина, д. 114а, пом. № 24, общей площадью 36,1 кв.м, кадастровый номер 43:41:000040:1167.</t>
        </is>
      </c>
      <c r="F314" s="3" t="inlineStr">
        <is>
          <t>02.06.22 21:00</t>
        </is>
      </c>
      <c r="G314" t="inlineStr">
        <is>
          <t>Кировская обл, г Вятские Поляны, ул Ленина, д 114а</t>
        </is>
      </c>
      <c r="H314" s="4" t="n">
        <v>365000</v>
      </c>
      <c r="I314" s="4" t="n">
        <v>10110.80332409972</v>
      </c>
      <c r="J314" t="inlineStr">
        <is>
          <t>Нежилое помещение</t>
        </is>
      </c>
      <c r="K314" s="5" t="n">
        <v>15.11</v>
      </c>
      <c r="M314" t="n">
        <v>669</v>
      </c>
      <c r="N314" s="6" t="n">
        <v>33719</v>
      </c>
      <c r="Q314" t="inlineStr">
        <is>
          <t>EA</t>
        </is>
      </c>
      <c r="R314" t="inlineStr">
        <is>
          <t>М</t>
        </is>
      </c>
      <c r="S314" s="2">
        <f>HYPERLINK("https://yandex.ru/maps/?&amp;text=56.231733, 51.0765", "56.231733, 51.0765")</f>
        <v/>
      </c>
      <c r="U314" t="inlineStr">
        <is>
          <t>43:41:000040:1167</t>
        </is>
      </c>
      <c r="V314" t="n">
        <v>2</v>
      </c>
      <c r="Y314" t="n">
        <v>0</v>
      </c>
      <c r="AA314" t="n">
        <v>0</v>
      </c>
      <c r="AB314" t="n">
        <v>0</v>
      </c>
    </row>
    <row r="315">
      <c r="A315" s="7" t="n">
        <v>313</v>
      </c>
      <c r="B315" t="n">
        <v>43</v>
      </c>
      <c r="C315" s="1" t="n">
        <v>12.9</v>
      </c>
      <c r="D315" s="2">
        <f>HYPERLINK("https://torgi.gov.ru/new/public/lots/lot/22000083240000000005_1/(lotInfo:info)", "22000083240000000005_1")</f>
        <v/>
      </c>
      <c r="E315" t="inlineStr">
        <is>
          <t>Нежилое помещение, площадью 12,9 кв. м. расположенное по адресу: Кировская обл., г. Котельнич, ул. Кирова, д. 17, пом. № 62, кадастровый номер 43:43:311135:252, на 2-м этаже 4-этажного нежилого здания 1986 года постройки, материал стен – кирпич, помещение обеспечено инженерными коммуникациями; водоснабжение, канализация, теплоснабжение, электроснабжение отключено.</t>
        </is>
      </c>
      <c r="F315" s="3" t="inlineStr">
        <is>
          <t>28.08.22 20:59</t>
        </is>
      </c>
      <c r="G315" t="inlineStr">
        <is>
          <t>Кировская обл, г Котельнич, ул Кирова, д 17</t>
        </is>
      </c>
      <c r="H315" s="4" t="n">
        <v>136000</v>
      </c>
      <c r="I315" s="4" t="n">
        <v>10542.63565891473</v>
      </c>
      <c r="J315" t="inlineStr">
        <is>
          <t>Нежилое помещение</t>
        </is>
      </c>
      <c r="K315" s="5" t="n">
        <v>4.23</v>
      </c>
      <c r="M315" t="n">
        <v>2490</v>
      </c>
      <c r="N315" s="6" t="n">
        <v>23943</v>
      </c>
      <c r="Q315" t="inlineStr">
        <is>
          <t>EA</t>
        </is>
      </c>
      <c r="R315" t="inlineStr">
        <is>
          <t>М</t>
        </is>
      </c>
      <c r="S315" s="2">
        <f>HYPERLINK("https://yandex.ru/maps/?&amp;text=58.305124, 48.342639", "58.305124, 48.342639")</f>
        <v/>
      </c>
      <c r="U315" t="inlineStr">
        <is>
          <t xml:space="preserve">43:43:311135:252, </t>
        </is>
      </c>
      <c r="V315" t="n">
        <v>2</v>
      </c>
      <c r="Y315" t="n">
        <v>0</v>
      </c>
      <c r="AA315" t="n">
        <v>0</v>
      </c>
      <c r="AB315" t="n">
        <v>0</v>
      </c>
    </row>
    <row r="316">
      <c r="A316" s="7" t="n">
        <v>314</v>
      </c>
      <c r="B316" t="n">
        <v>43</v>
      </c>
      <c r="C316" s="1" t="n">
        <v>13.3</v>
      </c>
      <c r="D316" s="2">
        <f>HYPERLINK("https://torgi.gov.ru/new/public/lots/lot/22000083240000000005_2/(lotInfo:info)", "22000083240000000005_2")</f>
        <v/>
      </c>
      <c r="E316" t="inlineStr">
        <is>
          <t>Нежилое помещение, площадью 13,3 кв. м. расположенное по адресу: Кировская обл., г. Котельнич, ул. Кирова, д. 17, пом. № 1020, кадастровый номер 43:43:311135:148, на 2-м этаже 4-этажного нежилого здания 1986 года постройки, материал стен – кирпич, помещение обеспечено инженерными коммуникациями; водоснабжение, канализация, теплоснабжение, электроснабжение отключено.</t>
        </is>
      </c>
      <c r="F316" s="3" t="inlineStr">
        <is>
          <t>28.08.22 20:59</t>
        </is>
      </c>
      <c r="G316" t="inlineStr">
        <is>
          <t>Кировская обл, г Котельнич, ул Кирова, д 17</t>
        </is>
      </c>
      <c r="H316" s="4" t="n">
        <v>151300</v>
      </c>
      <c r="I316" s="4" t="n">
        <v>11375.93984962406</v>
      </c>
      <c r="J316" t="inlineStr">
        <is>
          <t>Нежилое помещение</t>
        </is>
      </c>
      <c r="K316" s="5" t="n">
        <v>4.57</v>
      </c>
      <c r="M316" t="n">
        <v>2490</v>
      </c>
      <c r="N316" s="6" t="n">
        <v>23943</v>
      </c>
      <c r="Q316" t="inlineStr">
        <is>
          <t>EA</t>
        </is>
      </c>
      <c r="R316" t="inlineStr">
        <is>
          <t>М</t>
        </is>
      </c>
      <c r="S316" s="2">
        <f>HYPERLINK("https://yandex.ru/maps/?&amp;text=58.305124, 48.342639", "58.305124, 48.342639")</f>
        <v/>
      </c>
      <c r="U316" t="inlineStr">
        <is>
          <t xml:space="preserve">43:43:311135:148, </t>
        </is>
      </c>
      <c r="V316" t="n">
        <v>2</v>
      </c>
      <c r="Y316" t="n">
        <v>0</v>
      </c>
      <c r="AA316" t="n">
        <v>0</v>
      </c>
      <c r="AB316" t="n">
        <v>0</v>
      </c>
    </row>
    <row r="317">
      <c r="A317" s="7" t="n">
        <v>315</v>
      </c>
      <c r="B317" t="n">
        <v>43</v>
      </c>
      <c r="C317" s="1" t="n">
        <v>70</v>
      </c>
      <c r="D317" s="2">
        <f>HYPERLINK("https://torgi.gov.ru/new/public/lots/lot/21000013520000000001_2/(lotInfo:info)", "21000013520000000001_2")</f>
        <v/>
      </c>
      <c r="E317" t="inlineStr">
        <is>
          <t>Помещение, назначение: нежилое помещение, этажность (этаж): 1, расположенное по адресу: Кировская область, г. Киров, ул. Спасская, зд. 12г1, помещ. 2</t>
        </is>
      </c>
      <c r="F317" s="3" t="inlineStr">
        <is>
          <t>24.02.22 15:00</t>
        </is>
      </c>
      <c r="G317" t="inlineStr">
        <is>
          <t>г Киров, ул Спасская, зд 12г1</t>
        </is>
      </c>
      <c r="H317" s="4" t="n">
        <v>853650</v>
      </c>
      <c r="I317" s="4" t="n">
        <v>12195</v>
      </c>
      <c r="J317" t="inlineStr">
        <is>
          <t>Нежилое помещение</t>
        </is>
      </c>
      <c r="K317" s="5" t="n">
        <v>2.06</v>
      </c>
      <c r="L317" s="4" t="n">
        <v>329.59</v>
      </c>
      <c r="M317" t="n">
        <v>5925</v>
      </c>
      <c r="N317" s="6" t="n">
        <v>558344</v>
      </c>
      <c r="O317" t="n">
        <v>37</v>
      </c>
      <c r="Q317" t="inlineStr">
        <is>
          <t>EA</t>
        </is>
      </c>
      <c r="R317" t="inlineStr">
        <is>
          <t>М</t>
        </is>
      </c>
      <c r="S317" s="2">
        <f>HYPERLINK("https://yandex.ru/maps/?&amp;text=58.601987, 49.674248", "58.601987, 49.674248")</f>
        <v/>
      </c>
      <c r="T317" s="2">
        <f>HYPERLINK("D:\venv_torgi\env\cache\objs_in_district/58.601987_49.674248.json", "58.601987_49.674248.json")</f>
        <v/>
      </c>
      <c r="U317" t="inlineStr">
        <is>
          <t>43:40:000306:239</t>
        </is>
      </c>
      <c r="V317" t="n">
        <v>1</v>
      </c>
      <c r="Y317" t="n">
        <v>0</v>
      </c>
      <c r="AA317" t="n">
        <v>0</v>
      </c>
      <c r="AB317" t="n">
        <v>0</v>
      </c>
    </row>
    <row r="318">
      <c r="A318" s="7" t="n">
        <v>316</v>
      </c>
      <c r="B318" t="n">
        <v>43</v>
      </c>
      <c r="C318" s="1" t="n">
        <v>69.90000000000001</v>
      </c>
      <c r="D318" s="2">
        <f>HYPERLINK("https://torgi.gov.ru/new/public/lots/lot/21000013520000000001_3/(lotInfo:info)", "21000013520000000001_3")</f>
        <v/>
      </c>
      <c r="E318" t="inlineStr">
        <is>
          <t>Помещение, назначение: нежилое помещение, этажность (этаж): 1, расположенное по адресу: Кировская область, г. Киров, ул. Спасская, зд. 12г1, помещ. 3</t>
        </is>
      </c>
      <c r="F318" s="3" t="inlineStr">
        <is>
          <t>24.02.22 15:00</t>
        </is>
      </c>
      <c r="G318" t="inlineStr">
        <is>
          <t>г Киров, ул Спасская, зд 12г1</t>
        </is>
      </c>
      <c r="H318" s="4" t="n">
        <v>852600</v>
      </c>
      <c r="I318" s="4" t="n">
        <v>12197.42489270386</v>
      </c>
      <c r="J318" t="inlineStr">
        <is>
          <t>Нежилое помещение</t>
        </is>
      </c>
      <c r="K318" s="5" t="n">
        <v>2.06</v>
      </c>
      <c r="L318" s="4" t="n">
        <v>329.65</v>
      </c>
      <c r="M318" t="n">
        <v>5925</v>
      </c>
      <c r="N318" s="6" t="n">
        <v>558344</v>
      </c>
      <c r="O318" t="n">
        <v>37</v>
      </c>
      <c r="Q318" t="inlineStr">
        <is>
          <t>EA</t>
        </is>
      </c>
      <c r="R318" t="inlineStr">
        <is>
          <t>М</t>
        </is>
      </c>
      <c r="S318" s="2">
        <f>HYPERLINK("https://yandex.ru/maps/?&amp;text=58.601987, 49.674248", "58.601987, 49.674248")</f>
        <v/>
      </c>
      <c r="T318" s="2">
        <f>HYPERLINK("D:\venv_torgi\env\cache\objs_in_district/58.601987_49.674248.json", "58.601987_49.674248.json")</f>
        <v/>
      </c>
      <c r="U318" t="inlineStr">
        <is>
          <t>43:40:000306:238</t>
        </is>
      </c>
      <c r="V318" t="n">
        <v>1</v>
      </c>
      <c r="Y318" t="n">
        <v>0</v>
      </c>
      <c r="AA318" t="n">
        <v>0</v>
      </c>
      <c r="AB318" t="n">
        <v>0</v>
      </c>
    </row>
    <row r="319">
      <c r="A319" s="7" t="n">
        <v>317</v>
      </c>
      <c r="B319" t="n">
        <v>43</v>
      </c>
      <c r="C319" s="1" t="n">
        <v>52.5</v>
      </c>
      <c r="D319" s="2">
        <f>HYPERLINK("https://torgi.gov.ru/new/public/lots/lot/21000013520000000001_1/(lotInfo:info)", "21000013520000000001_1")</f>
        <v/>
      </c>
      <c r="E319" t="inlineStr">
        <is>
          <t>Помещение, назначение: нежилое помещение, этажность (этаж): 1, расположенное по адресу: Кировская область, г. Киров, ул. Спасская, зд. 12г1, помещ. 1</t>
        </is>
      </c>
      <c r="F319" s="3" t="inlineStr">
        <is>
          <t>24.02.22 15:00</t>
        </is>
      </c>
      <c r="G319" t="inlineStr">
        <is>
          <t>г Киров, ул Спасская, зд 12г1</t>
        </is>
      </c>
      <c r="H319" s="4" t="n">
        <v>640500</v>
      </c>
      <c r="I319" s="4" t="n">
        <v>12200</v>
      </c>
      <c r="J319" t="inlineStr">
        <is>
          <t>Нежилое помещение</t>
        </is>
      </c>
      <c r="K319" s="5" t="n">
        <v>2.06</v>
      </c>
      <c r="L319" s="4" t="n">
        <v>329.73</v>
      </c>
      <c r="M319" t="n">
        <v>5925</v>
      </c>
      <c r="N319" s="6" t="n">
        <v>558344</v>
      </c>
      <c r="O319" t="n">
        <v>37</v>
      </c>
      <c r="Q319" t="inlineStr">
        <is>
          <t>EA</t>
        </is>
      </c>
      <c r="R319" t="inlineStr">
        <is>
          <t>М</t>
        </is>
      </c>
      <c r="S319" s="2">
        <f>HYPERLINK("https://yandex.ru/maps/?&amp;text=58.601987, 49.674248", "58.601987, 49.674248")</f>
        <v/>
      </c>
      <c r="T319" s="2">
        <f>HYPERLINK("D:\venv_torgi\env\cache\objs_in_district/58.601987_49.674248.json", "58.601987_49.674248.json")</f>
        <v/>
      </c>
      <c r="U319" t="inlineStr">
        <is>
          <t>43:40:000306:237</t>
        </is>
      </c>
      <c r="V319" t="n">
        <v>1</v>
      </c>
      <c r="Y319" t="n">
        <v>0</v>
      </c>
      <c r="AA319" t="n">
        <v>0</v>
      </c>
      <c r="AB319" t="n">
        <v>0</v>
      </c>
    </row>
    <row r="320">
      <c r="A320" s="7" t="n">
        <v>318</v>
      </c>
      <c r="B320" t="n">
        <v>43</v>
      </c>
      <c r="C320" s="1" t="n">
        <v>17.1</v>
      </c>
      <c r="D320" s="2">
        <f>HYPERLINK("https://torgi.gov.ru/new/public/lots/lot/21000013520000000001_4/(lotInfo:info)", "21000013520000000001_4")</f>
        <v/>
      </c>
      <c r="E320" t="inlineStr">
        <is>
          <t>Помещение, назначение: нежилое помещение, этажность (этаж): 1, расположенное по адресу: Кировская область, г. Киров, ул. Московская, д. 150г, пом. 8</t>
        </is>
      </c>
      <c r="F320" s="3" t="inlineStr">
        <is>
          <t>24.02.22 15:00</t>
        </is>
      </c>
      <c r="G320" t="inlineStr">
        <is>
          <t>г Киров, ул Московская, д 150г</t>
        </is>
      </c>
      <c r="H320" s="4" t="n">
        <v>354600</v>
      </c>
      <c r="I320" s="4" t="n">
        <v>20736.84210526316</v>
      </c>
      <c r="J320" t="inlineStr">
        <is>
          <t>Нежилое помещение</t>
        </is>
      </c>
      <c r="K320" s="5" t="n">
        <v>5.32</v>
      </c>
      <c r="M320" t="n">
        <v>3901</v>
      </c>
      <c r="N320" s="6" t="n">
        <v>558344</v>
      </c>
      <c r="Q320" t="inlineStr">
        <is>
          <t>EA</t>
        </is>
      </c>
      <c r="R320" t="inlineStr">
        <is>
          <t>М</t>
        </is>
      </c>
      <c r="S320" s="2">
        <f>HYPERLINK("https://yandex.ru/maps/?&amp;text=58.60051, 49.59619", "58.60051, 49.59619")</f>
        <v/>
      </c>
      <c r="U320" t="inlineStr">
        <is>
          <t>43:40:000130:4105</t>
        </is>
      </c>
      <c r="V320" t="n">
        <v>1</v>
      </c>
      <c r="Y320" t="n">
        <v>0</v>
      </c>
      <c r="AA320" t="n">
        <v>0</v>
      </c>
      <c r="AB320" t="n">
        <v>0</v>
      </c>
    </row>
    <row r="321">
      <c r="A321" s="7" t="n">
        <v>319</v>
      </c>
      <c r="B321" t="n">
        <v>43</v>
      </c>
      <c r="C321" s="1" t="n">
        <v>224.2</v>
      </c>
      <c r="D321" s="2">
        <f>HYPERLINK("https://torgi.gov.ru/new/public/lots/lot/21000016080000000030_4/(lotInfo:info)", "21000016080000000030_4")</f>
        <v/>
      </c>
      <c r="E321" t="inlineStr">
        <is>
          <t>Нежилое помещение площадью 224,2 кв.м. с кадастровым номером 43:40:000300:246 (реестровый номер федерального имущества П13440000733), расположенное по адресу: Кировская область, г. Киров, ул. Московская, д. 8, пом. 1004.</t>
        </is>
      </c>
      <c r="F321" s="3" t="inlineStr">
        <is>
          <t>14.03.22 11:00</t>
        </is>
      </c>
      <c r="G321" t="inlineStr">
        <is>
          <t>г Киров, ул Московская, д 8</t>
        </is>
      </c>
      <c r="H321" s="4" t="n">
        <v>6541000</v>
      </c>
      <c r="I321" s="4" t="n">
        <v>29174.84388938448</v>
      </c>
      <c r="J321" t="inlineStr">
        <is>
          <t>Нежилое помещение</t>
        </is>
      </c>
      <c r="K321" s="5" t="n">
        <v>3.5</v>
      </c>
      <c r="L321" s="4" t="n">
        <v>494.47</v>
      </c>
      <c r="M321" t="n">
        <v>8346</v>
      </c>
      <c r="N321" s="6" t="n">
        <v>558344</v>
      </c>
      <c r="O321" t="n">
        <v>59</v>
      </c>
      <c r="Q321" t="inlineStr">
        <is>
          <t>EA</t>
        </is>
      </c>
      <c r="R321" t="inlineStr">
        <is>
          <t>М</t>
        </is>
      </c>
      <c r="S321" s="2">
        <f>HYPERLINK("https://yandex.ru/maps/?&amp;text=58.60358, 49.67942", "58.60358, 49.67942")</f>
        <v/>
      </c>
      <c r="T321" s="2">
        <f>HYPERLINK("D:\venv_torgi\env\cache\objs_in_district/58.60358_49.67942.json", "58.60358_49.67942.json")</f>
        <v/>
      </c>
      <c r="U321" t="inlineStr">
        <is>
          <t xml:space="preserve">43:40:000300:246 </t>
        </is>
      </c>
      <c r="V321" t="n">
        <v>1</v>
      </c>
      <c r="Y321" t="n">
        <v>0</v>
      </c>
      <c r="AA321" t="n">
        <v>0</v>
      </c>
      <c r="AB321" t="n">
        <v>0</v>
      </c>
    </row>
    <row r="322">
      <c r="A322" s="7" t="n">
        <v>320</v>
      </c>
      <c r="B322" t="n">
        <v>44</v>
      </c>
      <c r="C322" s="1" t="n">
        <v>630.3</v>
      </c>
      <c r="D322" s="2">
        <f>HYPERLINK("https://torgi.gov.ru/new/public/lots/lot/22000005110000000002_1/(lotInfo:info)", "22000005110000000002_1")</f>
        <v/>
      </c>
      <c r="E322" t="inlineStr">
        <is>
          <t>часть здания-склада, расположенного по адресу: Костромская обл., г. Буй, ул. Островского, д. 6, общей площадью 630,3 кв.м. Состояние удовлетворительное.</t>
        </is>
      </c>
      <c r="F322" s="3" t="inlineStr">
        <is>
          <t>14.05.22 14:00</t>
        </is>
      </c>
      <c r="G322" t="inlineStr">
        <is>
          <t>Костромская обл, г Буй, ул Островского, д 6</t>
        </is>
      </c>
      <c r="H322" s="4" t="n">
        <v>3333000</v>
      </c>
      <c r="I322" s="4" t="n">
        <v>5287.958115183246</v>
      </c>
      <c r="J322" t="inlineStr">
        <is>
          <t>Нежилое помещение</t>
        </is>
      </c>
      <c r="K322" s="5" t="n">
        <v>2.32</v>
      </c>
      <c r="L322" s="4" t="n">
        <v>165.22</v>
      </c>
      <c r="M322" t="n">
        <v>2283</v>
      </c>
      <c r="N322" s="6" t="n">
        <v>29434</v>
      </c>
      <c r="O322" t="n">
        <v>32</v>
      </c>
      <c r="Q322" t="inlineStr">
        <is>
          <t>EA</t>
        </is>
      </c>
      <c r="R322" t="inlineStr">
        <is>
          <t>М</t>
        </is>
      </c>
      <c r="S322" s="2">
        <f>HYPERLINK("https://yandex.ru/maps/?&amp;text=58.477207, 41.544135", "58.477207, 41.544135")</f>
        <v/>
      </c>
      <c r="T322" s="2">
        <f>HYPERLINK("D:\venv_torgi\env\cache\objs_in_district/58.477207_41.544135.json", "58.477207_41.544135.json")</f>
        <v/>
      </c>
      <c r="U322" t="inlineStr">
        <is>
          <t>44:25:030307:163</t>
        </is>
      </c>
      <c r="V322" t="n">
        <v>1</v>
      </c>
      <c r="Y322" t="n">
        <v>0</v>
      </c>
      <c r="AA322" t="n">
        <v>0</v>
      </c>
      <c r="AB322" t="n">
        <v>0</v>
      </c>
    </row>
    <row r="323">
      <c r="A323" s="7" t="n">
        <v>321</v>
      </c>
      <c r="B323" t="n">
        <v>44</v>
      </c>
      <c r="C323" s="1" t="n">
        <v>30</v>
      </c>
      <c r="D323" s="2">
        <f>HYPERLINK("https://torgi.gov.ru/new/public/lots/lot/21000012860000000001_12/(lotInfo:info)", "21000012860000000001_12")</f>
        <v/>
      </c>
      <c r="E323" t="inlineStr">
        <is>
          <t>помещение с кадастровым номером 44:27:040511:657, назначение: нежилое помещение, площадью 30 кв.м на первом этаже</t>
        </is>
      </c>
      <c r="F323" s="3" t="inlineStr">
        <is>
          <t>21.02.22 14:00</t>
        </is>
      </c>
      <c r="G323" t="inlineStr">
        <is>
          <t>г Кострома, ул Шагова, д 101, помещ 2</t>
        </is>
      </c>
      <c r="H323" s="4" t="n">
        <v>642000</v>
      </c>
      <c r="I323" s="4" t="n">
        <v>21400</v>
      </c>
      <c r="J323" t="inlineStr">
        <is>
          <t>Нежилое помещение</t>
        </is>
      </c>
      <c r="K323" s="5" t="n">
        <v>5.79</v>
      </c>
      <c r="L323" s="4" t="n">
        <v>3566.67</v>
      </c>
      <c r="M323" t="n">
        <v>3696</v>
      </c>
      <c r="N323" s="6" t="n">
        <v>280466</v>
      </c>
      <c r="O323" t="n">
        <v>6</v>
      </c>
      <c r="Q323" t="inlineStr">
        <is>
          <t>EA</t>
        </is>
      </c>
      <c r="R323" t="inlineStr">
        <is>
          <t>М</t>
        </is>
      </c>
      <c r="S323" s="2">
        <f>HYPERLINK("https://yandex.ru/maps/?&amp;text=57.772243, 40.952882", "57.772243, 40.952882")</f>
        <v/>
      </c>
      <c r="T323" s="2">
        <f>HYPERLINK("D:\venv_torgi\env\cache\objs_in_district/57.772243_40.952882.json", "57.772243_40.952882.json")</f>
        <v/>
      </c>
      <c r="U323" t="inlineStr">
        <is>
          <t xml:space="preserve">44:27:040511:657, </t>
        </is>
      </c>
      <c r="V323" t="n">
        <v>1</v>
      </c>
      <c r="Y323" t="n">
        <v>0</v>
      </c>
      <c r="AA323" t="n">
        <v>0</v>
      </c>
      <c r="AB323" t="n">
        <v>0</v>
      </c>
    </row>
    <row r="324">
      <c r="A324" s="7" t="n">
        <v>322</v>
      </c>
      <c r="B324" t="n">
        <v>44</v>
      </c>
      <c r="C324" s="1" t="n">
        <v>84.2</v>
      </c>
      <c r="D324" s="2">
        <f>HYPERLINK("https://torgi.gov.ru/new/public/lots/lot/21000024540000000002_1/(lotInfo:info)", "21000024540000000002_1")</f>
        <v/>
      </c>
      <c r="E324" t="inlineStr">
        <is>
          <t>нежилое помещение, расположенное на 1 этаже МКД, общей площадью 84,2 кв.м., кадастровый номер 44:31:020408:578</t>
        </is>
      </c>
      <c r="F324" s="3" t="inlineStr">
        <is>
          <t>19.04.22 14:00</t>
        </is>
      </c>
      <c r="G324" t="inlineStr">
        <is>
          <t>Костромская обл, г Шарья, ул Ивана Шатрова, д 14</t>
        </is>
      </c>
      <c r="H324" s="4" t="n">
        <v>2892676.65</v>
      </c>
      <c r="I324" s="4" t="n">
        <v>34354.82957244656</v>
      </c>
      <c r="J324" t="inlineStr">
        <is>
          <t>Нежилое помещение</t>
        </is>
      </c>
      <c r="K324" s="5" t="n">
        <v>32.02</v>
      </c>
      <c r="L324" s="4" t="n">
        <v>1635.9</v>
      </c>
      <c r="M324" t="n">
        <v>1073</v>
      </c>
      <c r="N324" s="6" t="n">
        <v>38844</v>
      </c>
      <c r="O324" t="n">
        <v>21</v>
      </c>
      <c r="Q324" t="inlineStr">
        <is>
          <t>EA</t>
        </is>
      </c>
      <c r="R324" t="inlineStr">
        <is>
          <t>М</t>
        </is>
      </c>
      <c r="S324" s="2">
        <f>HYPERLINK("https://yandex.ru/maps/?&amp;text=58.380085, 45.515165", "58.380085, 45.515165")</f>
        <v/>
      </c>
      <c r="T324" s="2">
        <f>HYPERLINK("D:\venv_torgi\env\cache\objs_in_district/58.380085_45.515165.json", "58.380085_45.515165.json")</f>
        <v/>
      </c>
      <c r="U324" t="inlineStr">
        <is>
          <t>44:31:020408:578</t>
        </is>
      </c>
      <c r="V324" t="n">
        <v>1</v>
      </c>
      <c r="Y324" t="n">
        <v>0</v>
      </c>
      <c r="AA324" t="n">
        <v>0</v>
      </c>
      <c r="AB324" t="n">
        <v>0</v>
      </c>
    </row>
    <row r="325">
      <c r="A325" s="7" t="n">
        <v>323</v>
      </c>
      <c r="B325" t="n">
        <v>44</v>
      </c>
      <c r="C325" s="1" t="n">
        <v>32.3</v>
      </c>
      <c r="D325" s="2">
        <f>HYPERLINK("https://torgi.gov.ru/new/public/lots/lot/21000012860000000007_3/(lotInfo:info)", "21000012860000000007_3")</f>
        <v/>
      </c>
      <c r="E325" t="inlineStr">
        <is>
          <t>Помещение с кадастровым номером 44:27:060402:58, назначение: нежилое помещение, площадью 32,3 квадратного метра, расположенное по адресу: Российская Федерация, Костромская область, городской округ город Кострома, город Кострома, улица Центральная, дом 4, помещение 1а.</t>
        </is>
      </c>
      <c r="F325" s="3" t="inlineStr">
        <is>
          <t>16.05.22 14:00</t>
        </is>
      </c>
      <c r="G325" t="inlineStr">
        <is>
          <t>г Кострома, ул Центральная, д 4</t>
        </is>
      </c>
      <c r="H325" s="4" t="n">
        <v>1170000</v>
      </c>
      <c r="I325" s="4" t="n">
        <v>36222.91021671827</v>
      </c>
      <c r="J325" t="inlineStr">
        <is>
          <t>Нежилое помещение</t>
        </is>
      </c>
      <c r="K325" s="5" t="n">
        <v>10.64</v>
      </c>
      <c r="L325" s="4" t="n">
        <v>978.97</v>
      </c>
      <c r="M325" t="n">
        <v>3405</v>
      </c>
      <c r="N325" s="6" t="n">
        <v>280466</v>
      </c>
      <c r="O325" t="n">
        <v>37</v>
      </c>
      <c r="Q325" t="inlineStr">
        <is>
          <t>EA</t>
        </is>
      </c>
      <c r="R325" t="inlineStr">
        <is>
          <t>М</t>
        </is>
      </c>
      <c r="S325" s="2">
        <f>HYPERLINK("https://yandex.ru/maps/?&amp;text=57.7481, 41.001232", "57.7481, 41.001232")</f>
        <v/>
      </c>
      <c r="T325" s="2">
        <f>HYPERLINK("D:\venv_torgi\env\cache\objs_in_district/57.7481_41.001232.json", "57.7481_41.001232.json")</f>
        <v/>
      </c>
      <c r="U325" t="inlineStr">
        <is>
          <t xml:space="preserve">44:27:060402:58, </t>
        </is>
      </c>
      <c r="V325" t="n">
        <v>1</v>
      </c>
      <c r="Y325" t="n">
        <v>0</v>
      </c>
      <c r="AA325" t="n">
        <v>0</v>
      </c>
      <c r="AB325" t="n">
        <v>0</v>
      </c>
    </row>
    <row r="326">
      <c r="A326" s="7" t="n">
        <v>324</v>
      </c>
      <c r="B326" t="n">
        <v>44</v>
      </c>
      <c r="C326" s="1" t="n">
        <v>33</v>
      </c>
      <c r="D326" s="2">
        <f>HYPERLINK("https://torgi.gov.ru/new/public/lots/lot/21000004310000000234_1/(lotInfo:info)", "21000004310000000234_1")</f>
        <v/>
      </c>
      <c r="E326" t="inlineStr">
        <is>
          <t>Квартира</t>
        </is>
      </c>
      <c r="F326" s="3" t="inlineStr">
        <is>
          <t>10.08.22 20:59</t>
        </is>
      </c>
      <c r="G326" t="inlineStr">
        <is>
          <t>г Кострома, ул Новый Быт, д 6, кв 133</t>
        </is>
      </c>
      <c r="H326" s="4" t="n">
        <v>1400845.8</v>
      </c>
      <c r="I326" s="4" t="n">
        <v>42449.87272727273</v>
      </c>
      <c r="J326" t="inlineStr">
        <is>
          <t>Нежилое помещение</t>
        </is>
      </c>
      <c r="K326" s="5" t="n">
        <v>6.71</v>
      </c>
      <c r="L326" s="4" t="n">
        <v>4716.56</v>
      </c>
      <c r="M326" t="n">
        <v>6330</v>
      </c>
      <c r="N326" s="6" t="n">
        <v>280466</v>
      </c>
      <c r="O326" t="n">
        <v>9</v>
      </c>
      <c r="Q326" t="inlineStr">
        <is>
          <t>EA</t>
        </is>
      </c>
      <c r="R326" t="inlineStr">
        <is>
          <t>Д</t>
        </is>
      </c>
      <c r="S326" s="2">
        <f>HYPERLINK("https://yandex.ru/maps/?&amp;text=57.78616, 40.933209", "57.78616, 40.933209")</f>
        <v/>
      </c>
      <c r="T326" s="2">
        <f>HYPERLINK("D:\venv_torgi\env\cache\objs_in_district/57.78616_40.933209.json", "57.78616_40.933209.json")</f>
        <v/>
      </c>
      <c r="U326" t="inlineStr">
        <is>
          <t xml:space="preserve">44:27:040311:1489 </t>
        </is>
      </c>
      <c r="V326" t="n">
        <v>0</v>
      </c>
      <c r="Y326" t="n">
        <v>0</v>
      </c>
      <c r="AA326" t="n">
        <v>0</v>
      </c>
      <c r="AB326" t="n">
        <v>0</v>
      </c>
    </row>
    <row r="327">
      <c r="A327" s="7" t="n">
        <v>325</v>
      </c>
      <c r="B327" t="n">
        <v>44</v>
      </c>
      <c r="C327" s="1" t="n">
        <v>131.9</v>
      </c>
      <c r="D327" s="2">
        <f>HYPERLINK("https://torgi.gov.ru/new/public/lots/lot/22000031330000000004_1/(lotInfo:info)", "22000031330000000004_1")</f>
        <v/>
      </c>
      <c r="E327" t="inlineStr">
        <is>
          <t>помещение с кадастровым номером 44:27:040205:116, назначение: нежилое помещение, площадью 131,9 квадратного метра, имеющее местоположение: Костромская область, городской округ город Кострома, город Кострома, улица Симановского, дом 11, помещение 1, комнаты № № 1, 2, 25-27</t>
        </is>
      </c>
      <c r="F327" s="3" t="inlineStr">
        <is>
          <t>08.08.22 14:00</t>
        </is>
      </c>
      <c r="G327" t="inlineStr">
        <is>
          <t>г Кострома, ул Симановского, д 11</t>
        </is>
      </c>
      <c r="H327" s="4" t="n">
        <v>6798000</v>
      </c>
      <c r="I327" s="4" t="n">
        <v>51539.04473085671</v>
      </c>
      <c r="J327" t="inlineStr">
        <is>
          <t>Нежилое помещение</t>
        </is>
      </c>
      <c r="K327" s="5" t="n">
        <v>12.95</v>
      </c>
      <c r="L327" s="4" t="n">
        <v>1356.29</v>
      </c>
      <c r="M327" t="n">
        <v>3981</v>
      </c>
      <c r="N327" s="6" t="n">
        <v>280466</v>
      </c>
      <c r="O327" t="n">
        <v>38</v>
      </c>
      <c r="Q327" t="inlineStr">
        <is>
          <t>EA</t>
        </is>
      </c>
      <c r="R327" t="inlineStr">
        <is>
          <t>М</t>
        </is>
      </c>
      <c r="S327" s="2">
        <f>HYPERLINK("https://yandex.ru/maps/?&amp;text=57.772171, 40.922896", "57.772171, 40.922896")</f>
        <v/>
      </c>
      <c r="T327" s="2">
        <f>HYPERLINK("D:\venv_torgi\env\cache\objs_in_district/57.772171_40.922896.json", "57.772171_40.922896.json")</f>
        <v/>
      </c>
      <c r="U327" t="inlineStr">
        <is>
          <t xml:space="preserve">44:27:040205:116, </t>
        </is>
      </c>
      <c r="V327" t="n">
        <v>1</v>
      </c>
      <c r="Y327" t="n">
        <v>0</v>
      </c>
      <c r="AA327" t="n">
        <v>0</v>
      </c>
      <c r="AB327" t="n">
        <v>0</v>
      </c>
    </row>
    <row r="328">
      <c r="A328" s="7" t="n">
        <v>326</v>
      </c>
      <c r="B328" t="n">
        <v>45</v>
      </c>
      <c r="C328" s="1" t="n">
        <v>116.1</v>
      </c>
      <c r="D328" s="2">
        <f>HYPERLINK("https://torgi.gov.ru/new/public/lots/lot/21000021650000000005_1/(lotInfo:info)", "21000021650000000005_1")</f>
        <v/>
      </c>
      <c r="E328" t="inlineStr">
        <is>
          <t>Помещение №5 в здании, общей площадью 116,1 кв.м., этаж №1. Назначение: нежилое. Кадастровый номер 45:13:020202:299, адрес (местоположение): Курганская область, Мокроусовский район, с. Мокроусово, ул. Береговая, д.7а.</t>
        </is>
      </c>
      <c r="F328" s="3" t="inlineStr">
        <is>
          <t>27.05.22 11:00</t>
        </is>
      </c>
      <c r="G328" t="inlineStr">
        <is>
          <t>Курганская обл, село Мокроусово, ул Береговая, д 7А</t>
        </is>
      </c>
      <c r="H328" s="4" t="n">
        <v>151800</v>
      </c>
      <c r="I328" s="4" t="n">
        <v>1307.49354005168</v>
      </c>
      <c r="J328" t="inlineStr">
        <is>
          <t>Нежилое помещение</t>
        </is>
      </c>
      <c r="K328" s="5" t="n">
        <v>1.7</v>
      </c>
      <c r="M328" t="n">
        <v>768</v>
      </c>
      <c r="N328" s="6" t="n">
        <v>4500</v>
      </c>
      <c r="Q328" t="inlineStr">
        <is>
          <t>PP</t>
        </is>
      </c>
      <c r="R328" t="inlineStr">
        <is>
          <t>М</t>
        </is>
      </c>
      <c r="S328" s="2">
        <f>HYPERLINK("https://yandex.ru/maps/?&amp;text=55.815342, 66.76169", "55.815342, 66.76169")</f>
        <v/>
      </c>
      <c r="U328" t="inlineStr">
        <is>
          <t xml:space="preserve">45:13:020202:299, </t>
        </is>
      </c>
      <c r="V328" t="n">
        <v>1</v>
      </c>
      <c r="Y328" t="n">
        <v>0</v>
      </c>
      <c r="AA328" t="n">
        <v>0</v>
      </c>
      <c r="AB328" t="n">
        <v>0</v>
      </c>
    </row>
    <row r="329">
      <c r="A329" s="7" t="n">
        <v>327</v>
      </c>
      <c r="B329" t="n">
        <v>45</v>
      </c>
      <c r="C329" s="1" t="n">
        <v>137.8</v>
      </c>
      <c r="D329" s="2">
        <f>HYPERLINK("https://torgi.gov.ru/new/public/lots/lot/21000009230000000025_1/(lotInfo:info)", "21000009230000000025_1")</f>
        <v/>
      </c>
      <c r="E329" t="inlineStr">
        <is>
          <t>Объект недвижимого имущества - нежилое помещение, назначение: нежилое, кадастровый номер: 45:24:020105:1541, площадь 137,8 кв. м, номер, тип этажа, на котором расположено помещение, машино-место: этаж № 2, по адресу: Курганская область, Юргамышский район, раб. пос. Юргамыш, ул. Соседовой, д. 23.</t>
        </is>
      </c>
      <c r="F329" s="3" t="inlineStr">
        <is>
          <t>30.03.22 11:00</t>
        </is>
      </c>
      <c r="G329" t="inlineStr">
        <is>
          <t>Курганская обл, рп Юргамыш, ул Соседовой, д 23</t>
        </is>
      </c>
      <c r="H329" s="4" t="n">
        <v>229090</v>
      </c>
      <c r="I329" s="4" t="n">
        <v>1662.481857764876</v>
      </c>
      <c r="J329" t="inlineStr">
        <is>
          <t>Нежилое помещение</t>
        </is>
      </c>
      <c r="K329" s="5" t="n">
        <v>1.64</v>
      </c>
      <c r="M329" t="n">
        <v>1011</v>
      </c>
      <c r="N329" s="6" t="n">
        <v>7696</v>
      </c>
      <c r="Q329" t="inlineStr">
        <is>
          <t>EA</t>
        </is>
      </c>
      <c r="R329" t="inlineStr">
        <is>
          <t>М</t>
        </is>
      </c>
      <c r="S329" s="2">
        <f>HYPERLINK("https://yandex.ru/maps/?&amp;text=55.373552, 64.45281", "55.373552, 64.45281")</f>
        <v/>
      </c>
      <c r="U329" t="inlineStr">
        <is>
          <t xml:space="preserve">45:24:020105:1541, </t>
        </is>
      </c>
      <c r="V329" t="n">
        <v>2</v>
      </c>
      <c r="Y329" t="n">
        <v>0</v>
      </c>
      <c r="AA329" t="n">
        <v>0</v>
      </c>
      <c r="AB329" t="n">
        <v>0</v>
      </c>
    </row>
    <row r="330">
      <c r="A330" s="7" t="n">
        <v>328</v>
      </c>
      <c r="B330" t="n">
        <v>45</v>
      </c>
      <c r="C330" s="1" t="n">
        <v>75.09999999999999</v>
      </c>
      <c r="D330" s="2">
        <f>HYPERLINK("https://torgi.gov.ru/new/public/lots/lot/21000021650000000006_1/(lotInfo:info)", "21000021650000000006_1")</f>
        <v/>
      </c>
      <c r="E330" t="inlineStr">
        <is>
          <t>Нежилые помещения №6,7,8 в здании, общей площадью 75,1 кв.м., этаж №1. Назначение: нежилое. Кадастровый номер 45:13:020202:265, адрес (местоположение): Курганская область, Мокроусовский район, с. Мокроусово, ул. Береговая, д.7а.</t>
        </is>
      </c>
      <c r="F330" s="3" t="inlineStr">
        <is>
          <t>27.05.22 11:00</t>
        </is>
      </c>
      <c r="G330" t="inlineStr">
        <is>
          <t>Курганская обл, село Мокроусово, ул Береговая, д 7А</t>
        </is>
      </c>
      <c r="H330" s="4" t="n">
        <v>175000</v>
      </c>
      <c r="I330" s="4" t="n">
        <v>2330.226364846871</v>
      </c>
      <c r="J330" t="inlineStr">
        <is>
          <t>Нежилое помещение</t>
        </is>
      </c>
      <c r="K330" s="5" t="n">
        <v>3.03</v>
      </c>
      <c r="M330" t="n">
        <v>768</v>
      </c>
      <c r="N330" s="6" t="n">
        <v>4500</v>
      </c>
      <c r="Q330" t="inlineStr">
        <is>
          <t>PP</t>
        </is>
      </c>
      <c r="R330" t="inlineStr">
        <is>
          <t>М</t>
        </is>
      </c>
      <c r="S330" s="2">
        <f>HYPERLINK("https://yandex.ru/maps/?&amp;text=55.815342, 66.76169", "55.815342, 66.76169")</f>
        <v/>
      </c>
      <c r="U330" t="inlineStr">
        <is>
          <t xml:space="preserve">45:13:020202:265, </t>
        </is>
      </c>
      <c r="V330" t="n">
        <v>1</v>
      </c>
      <c r="Y330" t="n">
        <v>0</v>
      </c>
      <c r="AA330" t="n">
        <v>0</v>
      </c>
      <c r="AB330" t="n">
        <v>0</v>
      </c>
    </row>
    <row r="331">
      <c r="A331" s="7" t="n">
        <v>329</v>
      </c>
      <c r="B331" t="n">
        <v>45</v>
      </c>
      <c r="C331" s="1" t="n">
        <v>101.5</v>
      </c>
      <c r="D331" s="2">
        <f>HYPERLINK("https://torgi.gov.ru/new/public/lots/lot/22000032110000000001_1/(lotInfo:info)", "22000032110000000001_1")</f>
        <v/>
      </c>
      <c r="E331" t="inlineStr">
        <is>
          <t>В соответствии с разделом 1.3 информационного сообщения</t>
        </is>
      </c>
      <c r="F331" s="3" t="inlineStr">
        <is>
          <t>01.03.22 11:00</t>
        </is>
      </c>
      <c r="G331" t="inlineStr">
        <is>
          <t>Курганская обл, Сафакулевский р-н, село Сарт-Абдрашево, ул Октябрьская, д 42</t>
        </is>
      </c>
      <c r="H331" s="4" t="n">
        <v>315000</v>
      </c>
      <c r="I331" s="4" t="n">
        <v>3103.448275862069</v>
      </c>
      <c r="J331" t="inlineStr">
        <is>
          <t>торговли, назначение</t>
        </is>
      </c>
      <c r="K331" s="5" t="n">
        <v>15.91</v>
      </c>
      <c r="M331" t="n">
        <v>195</v>
      </c>
      <c r="N331" s="6" t="n">
        <v>774</v>
      </c>
      <c r="Q331" t="inlineStr">
        <is>
          <t>EA</t>
        </is>
      </c>
      <c r="R331" t="inlineStr">
        <is>
          <t>М</t>
        </is>
      </c>
      <c r="S331" s="2">
        <f>HYPERLINK("https://yandex.ru/maps/?&amp;text=54.777588, 62.246386", "54.777588, 62.246386")</f>
        <v/>
      </c>
      <c r="U331" t="inlineStr">
        <is>
          <t>45:17:000000:1794</t>
        </is>
      </c>
      <c r="V331" t="n">
        <v>0</v>
      </c>
      <c r="Y331" t="n">
        <v>0</v>
      </c>
      <c r="AA331" t="n">
        <v>0</v>
      </c>
      <c r="AB331" t="n">
        <v>0</v>
      </c>
    </row>
    <row r="332">
      <c r="A332" s="7" t="n">
        <v>330</v>
      </c>
      <c r="B332" t="n">
        <v>45</v>
      </c>
      <c r="C332" s="1" t="n">
        <v>1084.8</v>
      </c>
      <c r="D332" s="2">
        <f>HYPERLINK("https://torgi.gov.ru/new/public/lots/lot/22000039800000000001_1/(lotInfo:info)", "22000039800000000001_1")</f>
        <v/>
      </c>
      <c r="E332" t="inlineStr">
        <is>
          <t>Нежилые помещения в здании гостиницы, кадастровый номер 45:04:020201:735, общей площадью 1084,8 кв.м., расположенные по адресу: Курганская обл., г. Далматово, ул. Энгельса, 17.</t>
        </is>
      </c>
      <c r="F332" s="3" t="inlineStr">
        <is>
          <t>16.03.22 12:00</t>
        </is>
      </c>
      <c r="G332" t="inlineStr">
        <is>
          <t>Курганская обл, г Далматово, ул Энгельса, д 17</t>
        </is>
      </c>
      <c r="H332" s="4" t="n">
        <v>5000000</v>
      </c>
      <c r="I332" s="4" t="n">
        <v>4609.144542772861</v>
      </c>
      <c r="J332" t="inlineStr">
        <is>
          <t>Нежилое помещение</t>
        </is>
      </c>
      <c r="K332" s="5" t="n">
        <v>4.69</v>
      </c>
      <c r="L332" s="4" t="n">
        <v>768.17</v>
      </c>
      <c r="M332" t="n">
        <v>982</v>
      </c>
      <c r="N332" s="6" t="n">
        <v>12413</v>
      </c>
      <c r="O332" t="n">
        <v>6</v>
      </c>
      <c r="Q332" t="inlineStr">
        <is>
          <t>PP</t>
        </is>
      </c>
      <c r="R332" t="inlineStr">
        <is>
          <t>М</t>
        </is>
      </c>
      <c r="S332" s="2">
        <f>HYPERLINK("https://yandex.ru/maps/?&amp;text=56.261707, 62.934074", "56.261707, 62.934074")</f>
        <v/>
      </c>
      <c r="T332" s="2">
        <f>HYPERLINK("D:\venv_torgi\env\cache\objs_in_district/56.261707_62.934074.json", "56.261707_62.934074.json")</f>
        <v/>
      </c>
      <c r="U332" t="inlineStr">
        <is>
          <t xml:space="preserve">45:04:020201:735, </t>
        </is>
      </c>
      <c r="V332" t="n">
        <v>0</v>
      </c>
      <c r="Y332" t="n">
        <v>0</v>
      </c>
      <c r="AA332" t="n">
        <v>0</v>
      </c>
      <c r="AB332" t="n">
        <v>0</v>
      </c>
    </row>
    <row r="333">
      <c r="A333" s="7" t="n">
        <v>331</v>
      </c>
      <c r="B333" t="n">
        <v>45</v>
      </c>
      <c r="C333" s="1" t="n">
        <v>120.8</v>
      </c>
      <c r="D333" s="2">
        <f>HYPERLINK("https://torgi.gov.ru/new/public/lots/lot/21000009230000000043_1/(lotInfo:info)", "21000009230000000043_1")</f>
        <v/>
      </c>
      <c r="E333" t="inlineStr">
        <is>
          <t>Объект недвижимого имущества - нежилое помещение, назначение: нежилое, кадастровый номер: 45:03:020109:1035, площадь 120,8 кв. м, номер, тип этажа, на котором расположено помещение, машино-место: этаж № 1, по адресу: Курганская область, Варгашинский район, р.п. Варгаши, ул. Социалистическая, д. 88.</t>
        </is>
      </c>
      <c r="F333" s="3" t="inlineStr">
        <is>
          <t>20.04.22 11:00</t>
        </is>
      </c>
      <c r="G333" t="inlineStr">
        <is>
          <t>Курганская обл, рп Варгаши, ул Социалистическая, д 88</t>
        </is>
      </c>
      <c r="H333" s="4" t="n">
        <v>580000</v>
      </c>
      <c r="I333" s="4" t="n">
        <v>4801.324503311258</v>
      </c>
      <c r="J333" t="inlineStr">
        <is>
          <t>Нежилое помещение</t>
        </is>
      </c>
      <c r="K333" s="5" t="n">
        <v>4.16</v>
      </c>
      <c r="L333" s="4" t="n">
        <v>533.4400000000001</v>
      </c>
      <c r="M333" t="n">
        <v>1155</v>
      </c>
      <c r="N333" s="6" t="n">
        <v>9724</v>
      </c>
      <c r="O333" t="n">
        <v>9</v>
      </c>
      <c r="Q333" t="inlineStr">
        <is>
          <t>EA</t>
        </is>
      </c>
      <c r="R333" t="inlineStr">
        <is>
          <t>М</t>
        </is>
      </c>
      <c r="S333" s="2">
        <f>HYPERLINK("https://yandex.ru/maps/?&amp;text=55.375787, 65.816066", "55.375787, 65.816066")</f>
        <v/>
      </c>
      <c r="T333" s="2">
        <f>HYPERLINK("D:\venv_torgi\env\cache\objs_in_district/55.375787_65.816066.json", "55.375787_65.816066.json")</f>
        <v/>
      </c>
      <c r="U333" t="inlineStr">
        <is>
          <t xml:space="preserve">45:03:020109:1035, </t>
        </is>
      </c>
      <c r="V333" t="n">
        <v>1</v>
      </c>
      <c r="Y333" t="n">
        <v>0</v>
      </c>
      <c r="AA333" t="n">
        <v>0</v>
      </c>
      <c r="AB333" t="n">
        <v>0</v>
      </c>
    </row>
    <row r="334">
      <c r="A334" s="7" t="n">
        <v>332</v>
      </c>
      <c r="B334" t="n">
        <v>45</v>
      </c>
      <c r="C334" s="1" t="n">
        <v>37.6</v>
      </c>
      <c r="D334" s="2">
        <f>HYPERLINK("https://torgi.gov.ru/new/public/lots/lot/21000025240000000030_1/(lotInfo:info)", "21000025240000000030_1")</f>
        <v/>
      </c>
      <c r="E334" t="inlineStr">
        <is>
          <t>г. Курган, ул. Пролетарская, д. 71б, нежилое здание, хозяйственный сарай, этаж 1, кадастровый номер: 45:25:070307:2820, общей площадью 37,6 кв.м., земельный участок, категория земель: земли населенных пунктов – для эксплуатации хозяйственного сарая, кадастровый номер: 45:25:070307:3016, общей площадью 48,0 кв.м.</t>
        </is>
      </c>
      <c r="F334" s="3" t="inlineStr">
        <is>
          <t>18.05.22 13:00</t>
        </is>
      </c>
      <c r="G334" t="inlineStr">
        <is>
          <t>г Курган, ул Пролетарская, д 71б</t>
        </is>
      </c>
      <c r="H334" s="4" t="n">
        <v>214200</v>
      </c>
      <c r="I334" s="4" t="n">
        <v>5696.808510638298</v>
      </c>
      <c r="J334" t="inlineStr">
        <is>
          <t>жилое здание</t>
        </is>
      </c>
      <c r="K334" s="5" t="n">
        <v>1.53</v>
      </c>
      <c r="M334" t="n">
        <v>3726</v>
      </c>
      <c r="N334" s="6" t="n">
        <v>477920</v>
      </c>
      <c r="Q334" t="inlineStr">
        <is>
          <t>EA</t>
        </is>
      </c>
      <c r="R334" t="inlineStr">
        <is>
          <t>М</t>
        </is>
      </c>
      <c r="S334" s="2">
        <f>HYPERLINK("https://yandex.ru/maps/?&amp;text=55.447468, 65.344011", "55.447468, 65.344011")</f>
        <v/>
      </c>
      <c r="U334" t="inlineStr">
        <is>
          <t xml:space="preserve">45:25:070307:2820, </t>
        </is>
      </c>
      <c r="V334" t="n">
        <v>1</v>
      </c>
      <c r="Y334" t="n">
        <v>0</v>
      </c>
      <c r="AA334" t="n">
        <v>0</v>
      </c>
      <c r="AB334" t="n">
        <v>1</v>
      </c>
    </row>
    <row r="335">
      <c r="A335" s="7" t="n">
        <v>333</v>
      </c>
      <c r="B335" t="n">
        <v>45</v>
      </c>
      <c r="C335" s="1" t="n">
        <v>70</v>
      </c>
      <c r="D335" s="2">
        <f>HYPERLINK("https://torgi.gov.ru/new/public/lots/lot/21000020130000000006_1/(lotInfo:info)", "21000020130000000006_1")</f>
        <v/>
      </c>
      <c r="E335" t="inlineStr">
        <is>
          <t>площадь: 70 кв.м., этаж: 1, кадастровый номер: 45:10:030108:1730, адрес (местоположение): Россия, Курганская область, Лебяжьевский район, р.п. Лебяжье, ул. Лукияновская, д. 62</t>
        </is>
      </c>
      <c r="F335" s="3" t="inlineStr">
        <is>
          <t>27.06.22 12:00</t>
        </is>
      </c>
      <c r="G335" t="inlineStr">
        <is>
          <t>Ленинградская обл, Выборгский р-н, поселок Лебяжье</t>
        </is>
      </c>
      <c r="H335" s="4" t="n">
        <v>400000</v>
      </c>
      <c r="I335" s="4" t="n">
        <v>5714.285714285715</v>
      </c>
      <c r="J335" t="inlineStr">
        <is>
          <t>Нежилое помещение</t>
        </is>
      </c>
      <c r="K335" s="5" t="n">
        <v>35.71</v>
      </c>
      <c r="M335" t="n">
        <v>160</v>
      </c>
      <c r="N335" s="6" t="n">
        <v>528</v>
      </c>
      <c r="Q335" t="inlineStr">
        <is>
          <t>EA</t>
        </is>
      </c>
      <c r="R335" t="inlineStr">
        <is>
          <t>М</t>
        </is>
      </c>
      <c r="S335" s="2">
        <f>HYPERLINK("https://yandex.ru/maps/?&amp;text=60.310513, 29.540784", "60.310513, 29.540784")</f>
        <v/>
      </c>
      <c r="U335" t="inlineStr">
        <is>
          <t xml:space="preserve">45:10:030108:1730, </t>
        </is>
      </c>
      <c r="V335" t="n">
        <v>1</v>
      </c>
      <c r="Y335" t="n">
        <v>0</v>
      </c>
      <c r="AA335" t="n">
        <v>0</v>
      </c>
      <c r="AB335" t="n">
        <v>0</v>
      </c>
    </row>
    <row r="336">
      <c r="A336" s="7" t="n">
        <v>334</v>
      </c>
      <c r="B336" t="n">
        <v>45</v>
      </c>
      <c r="C336" s="1" t="n">
        <v>67.40000000000001</v>
      </c>
      <c r="D336" s="2">
        <f>HYPERLINK("https://torgi.gov.ru/new/public/lots/lot/21000020130000000007_1/(lotInfo:info)", "21000020130000000007_1")</f>
        <v/>
      </c>
      <c r="E336" t="inlineStr">
        <is>
          <t>помещение, назначение: нежилое; площадь: общая 67,4 кв.м., номера на поэтажном плане: №18-20, кадастровый номер: 45:10:030105:230, адрес (местоположение): Россия, Курганская область, Лебяжьевский район, р.п. Лебяжье, ул. Спортивная, д. 36/II</t>
        </is>
      </c>
      <c r="F336" s="3" t="inlineStr">
        <is>
          <t>03.07.22 18:00</t>
        </is>
      </c>
      <c r="G336" t="inlineStr">
        <is>
          <t>Курганская обл, рп Лебяжье, ул Спортивная, д 36, помещ 2</t>
        </is>
      </c>
      <c r="H336" s="4" t="n">
        <v>705000</v>
      </c>
      <c r="I336" s="4" t="n">
        <v>10459.94065281899</v>
      </c>
      <c r="J336" t="inlineStr">
        <is>
          <t>Нежилое помещение</t>
        </is>
      </c>
      <c r="K336" s="5" t="n">
        <v>8.92</v>
      </c>
      <c r="L336" s="4" t="n">
        <v>1494.14</v>
      </c>
      <c r="M336" t="n">
        <v>1173</v>
      </c>
      <c r="N336" s="6" t="n">
        <v>13547</v>
      </c>
      <c r="O336" t="n">
        <v>7</v>
      </c>
      <c r="Q336" t="inlineStr">
        <is>
          <t>EA</t>
        </is>
      </c>
      <c r="R336" t="inlineStr">
        <is>
          <t>М</t>
        </is>
      </c>
      <c r="S336" s="2">
        <f>HYPERLINK("https://yandex.ru/maps/?&amp;text=55.277565, 66.509808", "55.277565, 66.509808")</f>
        <v/>
      </c>
      <c r="T336" s="2">
        <f>HYPERLINK("D:\venv_torgi\env\cache\objs_in_district/55.277565_66.509808.json", "55.277565_66.509808.json")</f>
        <v/>
      </c>
      <c r="U336" t="inlineStr">
        <is>
          <t xml:space="preserve">45:10:030105:230, </t>
        </is>
      </c>
      <c r="V336" t="n">
        <v>1</v>
      </c>
      <c r="Y336" t="n">
        <v>0</v>
      </c>
      <c r="AA336" t="n">
        <v>0</v>
      </c>
      <c r="AB336" t="n">
        <v>0</v>
      </c>
    </row>
    <row r="337">
      <c r="A337" s="7" t="n">
        <v>335</v>
      </c>
      <c r="B337" t="n">
        <v>45</v>
      </c>
      <c r="C337" s="1" t="n">
        <v>174.7</v>
      </c>
      <c r="D337" s="2">
        <f>HYPERLINK("https://torgi.gov.ru/new/public/lots/lot/21000009230000000114_1/(lotInfo:info)", "21000009230000000114_1")</f>
        <v/>
      </c>
      <c r="E337" t="inlineStr">
        <is>
          <t>Помещения расположенные в здании, где работал Курганский революционный трибунал (Дом М.М. Дунаева), назначение: нежилое, кадастровый номер: 45:25:070310:4198, площадь: 174,7 кв. м, этаж: № 1, 2, по адресу: Курганская область, г. Курган, ул. Куйбышева, д. 87</t>
        </is>
      </c>
      <c r="F337" s="3" t="inlineStr">
        <is>
          <t>24.07.22 11:00</t>
        </is>
      </c>
      <c r="G337" t="inlineStr">
        <is>
          <t>г Курган, ул Куйбышева, д 87</t>
        </is>
      </c>
      <c r="H337" s="4" t="n">
        <v>2008000</v>
      </c>
      <c r="I337" s="4" t="n">
        <v>11493.98969662278</v>
      </c>
      <c r="J337" t="inlineStr">
        <is>
          <t>Нежилое помещение</t>
        </is>
      </c>
      <c r="K337" s="5" t="n">
        <v>2.68</v>
      </c>
      <c r="L337" s="4" t="n">
        <v>442.04</v>
      </c>
      <c r="M337" t="n">
        <v>4292</v>
      </c>
      <c r="N337" s="6" t="n">
        <v>477920</v>
      </c>
      <c r="O337" t="n">
        <v>26</v>
      </c>
      <c r="Q337" t="inlineStr">
        <is>
          <t>EK</t>
        </is>
      </c>
      <c r="R337" t="inlineStr">
        <is>
          <t>М</t>
        </is>
      </c>
      <c r="S337" s="2">
        <f>HYPERLINK("https://yandex.ru/maps/?&amp;text=55.437107, 65.353587", "55.437107, 65.353587")</f>
        <v/>
      </c>
      <c r="T337" s="2">
        <f>HYPERLINK("D:\venv_torgi\env\cache\objs_in_district/55.437107_65.353587.json", "55.437107_65.353587.json")</f>
        <v/>
      </c>
      <c r="U337" t="inlineStr">
        <is>
          <t xml:space="preserve">45:25:070310:4198, </t>
        </is>
      </c>
      <c r="V337" t="n">
        <v>1</v>
      </c>
      <c r="Y337" t="n">
        <v>0</v>
      </c>
      <c r="AA337" t="n">
        <v>0</v>
      </c>
      <c r="AB337" t="n">
        <v>0</v>
      </c>
    </row>
    <row r="338">
      <c r="A338" s="7" t="n">
        <v>336</v>
      </c>
      <c r="B338" t="n">
        <v>45</v>
      </c>
      <c r="C338" s="1" t="n">
        <v>31.8</v>
      </c>
      <c r="D338" s="2">
        <f>HYPERLINK("https://torgi.gov.ru/new/public/lots/lot/21000025240000000011_1/(lotInfo:info)", "21000025240000000011_1")</f>
        <v/>
      </c>
      <c r="E338" t="inlineStr">
        <is>
          <t>г. Курган, ул. Пролетарская, д. 82, нежилое помещение, кадастровый номер: 45:25:070401:2692, общей площадью 31,8 кв.м.</t>
        </is>
      </c>
      <c r="F338" s="3" t="inlineStr">
        <is>
          <t>25.03.22 13:00</t>
        </is>
      </c>
      <c r="G338" t="inlineStr">
        <is>
          <t>г Курган, ул Пролетарская, д 82</t>
        </is>
      </c>
      <c r="H338" s="4" t="n">
        <v>707041</v>
      </c>
      <c r="I338" s="4" t="n">
        <v>22233.99371069182</v>
      </c>
      <c r="J338" t="inlineStr">
        <is>
          <t>Нежилое помещение</t>
        </is>
      </c>
      <c r="K338" s="5" t="n">
        <v>5.97</v>
      </c>
      <c r="L338" s="4" t="n">
        <v>1588.07</v>
      </c>
      <c r="M338" t="n">
        <v>3726</v>
      </c>
      <c r="N338" s="6" t="n">
        <v>477920</v>
      </c>
      <c r="O338" t="n">
        <v>14</v>
      </c>
      <c r="Q338" t="inlineStr">
        <is>
          <t>EA</t>
        </is>
      </c>
      <c r="R338" t="inlineStr">
        <is>
          <t>М</t>
        </is>
      </c>
      <c r="S338" s="2">
        <f>HYPERLINK("https://yandex.ru/maps/?&amp;text=55.448239, 65.345098", "55.448239, 65.345098")</f>
        <v/>
      </c>
      <c r="T338" s="2">
        <f>HYPERLINK("D:\venv_torgi\env\cache\objs_in_district/55.448239_65.345098.json", "55.448239_65.345098.json")</f>
        <v/>
      </c>
      <c r="U338" t="inlineStr">
        <is>
          <t xml:space="preserve">45:25:070401:2692, </t>
        </is>
      </c>
      <c r="V338" t="n">
        <v>0</v>
      </c>
      <c r="Y338" t="n">
        <v>0</v>
      </c>
      <c r="AA338" t="n">
        <v>0</v>
      </c>
      <c r="AB338" t="n">
        <v>0</v>
      </c>
    </row>
    <row r="339">
      <c r="A339" s="7" t="n">
        <v>337</v>
      </c>
      <c r="B339" t="n">
        <v>45</v>
      </c>
      <c r="C339" s="1" t="n">
        <v>111.6</v>
      </c>
      <c r="D339" s="2">
        <f>HYPERLINK("https://torgi.gov.ru/new/public/lots/lot/21000009230000000047_1/(lotInfo:info)", "21000009230000000047_1")</f>
        <v/>
      </c>
      <c r="E339" t="inlineStr">
        <is>
          <t>Объект недвижимого имущества - помещение офиса, назначение: нежилое, кадастровый номер: 45:25:070402:793, площадь: 111,6 кв. м, номер, тип этажа, на котором расположено помещение, машино-место: этаж № 01 по адресу: Курганская область, г. Курган, ул. Савельева, д. 58, пом. I.</t>
        </is>
      </c>
      <c r="F339" s="3" t="inlineStr">
        <is>
          <t>24.04.22 11:00</t>
        </is>
      </c>
      <c r="G339" t="inlineStr">
        <is>
          <t>г Курган, ул Савельева, д 58</t>
        </is>
      </c>
      <c r="H339" s="4" t="n">
        <v>7273000</v>
      </c>
      <c r="I339" s="4" t="n">
        <v>65170.25089605735</v>
      </c>
      <c r="J339" t="inlineStr">
        <is>
          <t>офиса</t>
        </is>
      </c>
      <c r="K339" s="5" t="n">
        <v>16.09</v>
      </c>
      <c r="L339" s="4" t="n">
        <v>3620.56</v>
      </c>
      <c r="M339" t="n">
        <v>4050</v>
      </c>
      <c r="N339" s="6" t="n">
        <v>477920</v>
      </c>
      <c r="O339" t="n">
        <v>18</v>
      </c>
      <c r="Q339" t="inlineStr">
        <is>
          <t>EA</t>
        </is>
      </c>
      <c r="R339" t="inlineStr">
        <is>
          <t>М</t>
        </is>
      </c>
      <c r="S339" s="2">
        <f>HYPERLINK("https://yandex.ru/maps/?&amp;text=55.447504, 65.353578", "55.447504, 65.353578")</f>
        <v/>
      </c>
      <c r="T339" s="2">
        <f>HYPERLINK("D:\venv_torgi\env\cache\objs_in_district/55.447504_65.353578.json", "55.447504_65.353578.json")</f>
        <v/>
      </c>
      <c r="U339" t="inlineStr">
        <is>
          <t xml:space="preserve">45:25:070402:793, </t>
        </is>
      </c>
      <c r="V339" t="n">
        <v>1</v>
      </c>
      <c r="Y339" t="n">
        <v>0</v>
      </c>
      <c r="AA339" t="n">
        <v>0</v>
      </c>
      <c r="AB339" t="n">
        <v>0</v>
      </c>
    </row>
    <row r="340">
      <c r="A340" s="7" t="n">
        <v>338</v>
      </c>
      <c r="B340" t="n">
        <v>46</v>
      </c>
      <c r="C340" s="1" t="n">
        <v>89.40000000000001</v>
      </c>
      <c r="D340" s="2">
        <f>HYPERLINK("https://torgi.gov.ru/new/public/lots/lot/21000016220000000010_1/(lotInfo:info)", "21000016220000000010_1")</f>
        <v/>
      </c>
      <c r="E340" t="inlineStr">
        <is>
          <t>Нежилое помещение III мезонин (к/н 46:29:102279:162), площадью 89,4 кв.м. (объект культурного наследия) расположенное по адресу: г. Курск, ул. Дзержинского, 74.</t>
        </is>
      </c>
      <c r="F340" s="3" t="inlineStr">
        <is>
          <t>10.06.22 06:00</t>
        </is>
      </c>
      <c r="G340" t="inlineStr">
        <is>
          <t>г Курск, ул Дзержинского, д 74</t>
        </is>
      </c>
      <c r="H340" s="4" t="n">
        <v>376000</v>
      </c>
      <c r="I340" s="4" t="n">
        <v>4205.816554809843</v>
      </c>
      <c r="J340" t="inlineStr">
        <is>
          <t>Нежилое помещение</t>
        </is>
      </c>
      <c r="K340" s="5" t="n">
        <v>1.13</v>
      </c>
      <c r="M340" t="n">
        <v>3725</v>
      </c>
      <c r="N340" s="6" t="n">
        <v>449556</v>
      </c>
      <c r="Q340" t="inlineStr">
        <is>
          <t>EK</t>
        </is>
      </c>
      <c r="R340" t="inlineStr">
        <is>
          <t>М</t>
        </is>
      </c>
      <c r="S340" s="2">
        <f>HYPERLINK("https://yandex.ru/maps/?&amp;text=51.723817, 36.176513", "51.723817, 36.176513")</f>
        <v/>
      </c>
      <c r="U340" t="inlineStr">
        <is>
          <t>46:29:102279:162</t>
        </is>
      </c>
      <c r="V340" t="n">
        <v>0</v>
      </c>
      <c r="Y340" t="n">
        <v>0</v>
      </c>
      <c r="Z340" t="n">
        <v>1</v>
      </c>
      <c r="AA340" t="n">
        <v>0</v>
      </c>
      <c r="AB340" t="n">
        <v>0</v>
      </c>
    </row>
    <row r="341">
      <c r="A341" s="7" t="n">
        <v>339</v>
      </c>
      <c r="B341" t="n">
        <v>46</v>
      </c>
      <c r="C341" s="1" t="n">
        <v>208.2</v>
      </c>
      <c r="D341" s="2">
        <f>HYPERLINK("https://torgi.gov.ru/new/public/lots/lot/21000002210000000689_1/(lotInfo:info)", "21000002210000000689_1")</f>
        <v/>
      </c>
      <c r="E341" t="inlineStr">
        <is>
          <t>Помещение, назначение: нежилое, наименование: нежилое помещение I в здании литер А, вид разрешенного использования: нежилое, площадь – 208.2 кв.м, номер, тип этажа, на котором расположено помещение, машиноместо: этаж № 1, адрес объекта: Курская область, г. Курск, ул. Хуторская, д. 3, кадастровый  номер: 46:29:102153:1220</t>
        </is>
      </c>
      <c r="F341" s="3" t="inlineStr">
        <is>
          <t>25.07.22 14:00</t>
        </is>
      </c>
      <c r="G341" t="inlineStr">
        <is>
          <t>г Курск, ул Хуторская, д 3</t>
        </is>
      </c>
      <c r="H341" s="4" t="n">
        <v>4950000</v>
      </c>
      <c r="I341" s="4" t="n">
        <v>23775.21613832853</v>
      </c>
      <c r="J341" t="inlineStr">
        <is>
          <t>Нежилое помещение</t>
        </is>
      </c>
      <c r="K341" s="5" t="n">
        <v>2.58</v>
      </c>
      <c r="L341" s="4" t="n">
        <v>201.48</v>
      </c>
      <c r="M341" t="n">
        <v>9211</v>
      </c>
      <c r="N341" s="6" t="n">
        <v>449556</v>
      </c>
      <c r="O341" t="n">
        <v>118</v>
      </c>
      <c r="Q341" t="inlineStr">
        <is>
          <t>EA</t>
        </is>
      </c>
      <c r="R341" t="inlineStr">
        <is>
          <t>М</t>
        </is>
      </c>
      <c r="S341" s="2">
        <f>HYPERLINK("https://yandex.ru/maps/?&amp;text=51.757474, 36.191281", "51.757474, 36.191281")</f>
        <v/>
      </c>
      <c r="T341" s="2">
        <f>HYPERLINK("D:\venv_torgi\env\cache\objs_in_district/51.757474_36.191281.json", "51.757474_36.191281.json")</f>
        <v/>
      </c>
      <c r="U341" t="inlineStr">
        <is>
          <t>46:29:102153:1220</t>
        </is>
      </c>
      <c r="V341" t="n">
        <v>1</v>
      </c>
      <c r="Y341" t="n">
        <v>0</v>
      </c>
      <c r="AA341" t="n">
        <v>0</v>
      </c>
      <c r="AB341" t="n">
        <v>0</v>
      </c>
    </row>
    <row r="342">
      <c r="A342" s="7" t="n">
        <v>340</v>
      </c>
      <c r="B342" t="n">
        <v>46</v>
      </c>
      <c r="C342" s="1" t="n">
        <v>59.6</v>
      </c>
      <c r="D342" s="2">
        <f>HYPERLINK("https://torgi.gov.ru/new/public/lots/lot/21000003800000000001_1/(lotInfo:info)", "21000003800000000001_1")</f>
        <v/>
      </c>
      <c r="E342" t="inlineStr">
        <is>
          <t>Нежилое помещение. Этаж № 1. Площадь 59,6 кв.м. Кадастровый номер 46:32:010101:11347, расположенное по адресу: Курская обл., г. Льгов, ул. К. Маркса, д. 21, пом. II;</t>
        </is>
      </c>
      <c r="F342" s="3" t="inlineStr">
        <is>
          <t>30.06.22 13:00</t>
        </is>
      </c>
      <c r="G342" t="inlineStr">
        <is>
          <t>Курская обл, г Льгов, ул К.Маркса, д 21</t>
        </is>
      </c>
      <c r="H342" s="4" t="n">
        <v>2165404.5</v>
      </c>
      <c r="I342" s="4" t="n">
        <v>36332.29026845637</v>
      </c>
      <c r="J342" t="inlineStr">
        <is>
          <t>Нежилое помещение</t>
        </is>
      </c>
      <c r="K342" s="5" t="n">
        <v>12.43</v>
      </c>
      <c r="L342" s="4" t="n">
        <v>519.03</v>
      </c>
      <c r="M342" t="n">
        <v>2922</v>
      </c>
      <c r="N342" s="6" t="n">
        <v>18435</v>
      </c>
      <c r="O342" t="n">
        <v>70</v>
      </c>
      <c r="Q342" t="inlineStr">
        <is>
          <t>EA</t>
        </is>
      </c>
      <c r="R342" t="inlineStr">
        <is>
          <t>М</t>
        </is>
      </c>
      <c r="S342" s="2">
        <f>HYPERLINK("https://yandex.ru/maps/?&amp;text=51.686696, 35.278988", "51.686696, 35.278988")</f>
        <v/>
      </c>
      <c r="T342" s="2">
        <f>HYPERLINK("D:\venv_torgi\env\cache\objs_in_district/51.686696_35.278988.json", "51.686696_35.278988.json")</f>
        <v/>
      </c>
      <c r="U342" t="inlineStr">
        <is>
          <t xml:space="preserve">46:32:010101:11347, </t>
        </is>
      </c>
      <c r="V342" t="n">
        <v>1</v>
      </c>
      <c r="Y342" t="n">
        <v>0</v>
      </c>
      <c r="AA342" t="n">
        <v>0</v>
      </c>
      <c r="AB342" t="n">
        <v>0</v>
      </c>
    </row>
    <row r="343">
      <c r="A343" s="7" t="n">
        <v>341</v>
      </c>
      <c r="B343" t="n">
        <v>46</v>
      </c>
      <c r="C343" s="1" t="n">
        <v>26.1</v>
      </c>
      <c r="D343" s="2">
        <f>HYPERLINK("https://torgi.gov.ru/new/public/lots/lot/21000016220000000010_2/(lotInfo:info)", "21000016220000000010_2")</f>
        <v/>
      </c>
      <c r="E343" t="inlineStr">
        <is>
          <t>Нежилое помещение VI 1-го этажа (к/н 46:29:102330:513), площадью 26,1 кв.м. (объект культурного наследия) расположенное по адресу: г. Курск, ул. Ленина, 95.</t>
        </is>
      </c>
      <c r="F343" s="3" t="inlineStr">
        <is>
          <t>10.06.22 06:00</t>
        </is>
      </c>
      <c r="G343" t="inlineStr">
        <is>
          <t>г Курск, ул Ленина, д 95</t>
        </is>
      </c>
      <c r="H343" s="4" t="n">
        <v>1820000</v>
      </c>
      <c r="I343" s="4" t="n">
        <v>69731.80076628352</v>
      </c>
      <c r="J343" t="inlineStr">
        <is>
          <t>Нежилое помещение</t>
        </is>
      </c>
      <c r="K343" s="5" t="n">
        <v>7.06</v>
      </c>
      <c r="L343" s="4" t="n">
        <v>378.97</v>
      </c>
      <c r="M343" t="n">
        <v>9878</v>
      </c>
      <c r="N343" s="6" t="n">
        <v>449556</v>
      </c>
      <c r="O343" t="n">
        <v>184</v>
      </c>
      <c r="Q343" t="inlineStr">
        <is>
          <t>EK</t>
        </is>
      </c>
      <c r="R343" t="inlineStr">
        <is>
          <t>М</t>
        </is>
      </c>
      <c r="S343" s="2">
        <f>HYPERLINK("https://yandex.ru/maps/?&amp;text=51.74719, 36.19498", "51.74719, 36.19498")</f>
        <v/>
      </c>
      <c r="T343" s="2">
        <f>HYPERLINK("D:\venv_torgi\env\cache\objs_in_district/51.74719_36.19498.json", "51.74719_36.19498.json")</f>
        <v/>
      </c>
      <c r="U343" t="inlineStr">
        <is>
          <t>46:29:102330:513</t>
        </is>
      </c>
      <c r="V343" t="n">
        <v>1</v>
      </c>
      <c r="Y343" t="n">
        <v>0</v>
      </c>
      <c r="Z343" t="n">
        <v>1</v>
      </c>
      <c r="AA343" t="n">
        <v>0</v>
      </c>
      <c r="AB343" t="n">
        <v>0</v>
      </c>
    </row>
    <row r="344">
      <c r="A344" s="7" t="n">
        <v>342</v>
      </c>
      <c r="B344" t="n">
        <v>47</v>
      </c>
      <c r="C344" s="1" t="n">
        <v>198</v>
      </c>
      <c r="D344" s="2">
        <f>HYPERLINK("https://torgi.gov.ru/new/public/lots/lot/21000022030000000003_1/(lotInfo:info)", "21000022030000000003_1")</f>
        <v/>
      </c>
      <c r="E344" t="inlineStr">
        <is>
          <t>Одноэтажное здание бани общей площадью 198,4 кв.м с КН 47:22:0145005:99, расположенное на земельном участке площадью 1794 кв.м, с КН 47:22:0145005:98, по адресу: Ленинградская область, Волосовский район, пос. Зимитицы, д.40а.</t>
        </is>
      </c>
      <c r="F344" s="3" t="inlineStr">
        <is>
          <t>24.06.22 14:00</t>
        </is>
      </c>
      <c r="G344" t="inlineStr">
        <is>
          <t>Ленинградская обл, Волосовский р-н, поселок Зимитицы, д 40а</t>
        </is>
      </c>
      <c r="H344" s="4" t="n">
        <v>351450</v>
      </c>
      <c r="I344" s="4" t="n">
        <v>1775</v>
      </c>
      <c r="J344" t="inlineStr">
        <is>
          <t>здание бани</t>
        </is>
      </c>
      <c r="K344" s="5" t="n">
        <v>11.31</v>
      </c>
      <c r="M344" t="n">
        <v>157</v>
      </c>
      <c r="N344" s="6" t="n">
        <v>1427</v>
      </c>
      <c r="Q344" t="inlineStr">
        <is>
          <t>PP</t>
        </is>
      </c>
      <c r="R344" t="inlineStr">
        <is>
          <t>М</t>
        </is>
      </c>
      <c r="S344" s="2">
        <f>HYPERLINK("https://yandex.ru/maps/?&amp;text=59.549512, 29.117138", "59.549512, 29.117138")</f>
        <v/>
      </c>
      <c r="U344" t="inlineStr">
        <is>
          <t xml:space="preserve"> 47:22:0145005:99 </t>
        </is>
      </c>
      <c r="V344" t="n">
        <v>0</v>
      </c>
      <c r="Y344" t="n">
        <v>0</v>
      </c>
      <c r="AA344" t="n">
        <v>0</v>
      </c>
      <c r="AB344" t="n">
        <v>1</v>
      </c>
    </row>
    <row r="345">
      <c r="A345" s="7" t="n">
        <v>343</v>
      </c>
      <c r="B345" t="n">
        <v>47</v>
      </c>
      <c r="C345" s="1" t="n">
        <v>586</v>
      </c>
      <c r="D345" s="2">
        <f>HYPERLINK("https://torgi.gov.ru/new/public/lots/lot/21000022100000000002_1/(lotInfo:info)", "21000022100000000002_1")</f>
        <v/>
      </c>
      <c r="E345" t="inlineStr">
        <is>
          <t>Нежилое помещение, назначение: нежилое помещение, общей площадью 586 кв.метров, кадастровый номер 47:28:0000000:3509, расположенное по адресу: Ленинградская область, г. Сланцы, ул. Свердлова, д.1/8, пом.1.</t>
        </is>
      </c>
      <c r="F345" s="3" t="inlineStr">
        <is>
          <t>22.03.22 14:00</t>
        </is>
      </c>
      <c r="G345" t="inlineStr">
        <is>
          <t>Ленинградская область, г. Сланцы, ул. Свердлова, д.1/8</t>
        </is>
      </c>
      <c r="H345" s="4" t="n">
        <v>1872000</v>
      </c>
      <c r="I345" s="4" t="n">
        <v>3194.539249146758</v>
      </c>
      <c r="J345" t="inlineStr">
        <is>
          <t>Нежилое помещение</t>
        </is>
      </c>
      <c r="K345" s="5" t="n">
        <v>1.4</v>
      </c>
      <c r="L345" s="4" t="n">
        <v>532.33</v>
      </c>
      <c r="M345" t="n">
        <v>2277</v>
      </c>
      <c r="N345" s="6" t="n">
        <v>32337</v>
      </c>
      <c r="O345" t="n">
        <v>6</v>
      </c>
      <c r="Q345" t="inlineStr">
        <is>
          <t>PP</t>
        </is>
      </c>
      <c r="R345" t="inlineStr">
        <is>
          <t>М</t>
        </is>
      </c>
      <c r="S345" s="2">
        <f>HYPERLINK("https://yandex.ru/maps/?&amp;text=59.093227, 28.162193", "59.093227, 28.162193")</f>
        <v/>
      </c>
      <c r="T345" s="2">
        <f>HYPERLINK("D:\venv_torgi\env\cache\objs_in_district/59.093227_28.162193.json", "59.093227_28.162193.json")</f>
        <v/>
      </c>
      <c r="U345" t="inlineStr">
        <is>
          <t xml:space="preserve">47:28:0000000:3509, </t>
        </is>
      </c>
      <c r="V345" t="n">
        <v>1</v>
      </c>
      <c r="Y345" t="n">
        <v>0</v>
      </c>
      <c r="AA345" t="n">
        <v>0</v>
      </c>
      <c r="AB345" t="n">
        <v>0</v>
      </c>
    </row>
    <row r="346">
      <c r="A346" s="7" t="n">
        <v>344</v>
      </c>
      <c r="B346" t="n">
        <v>47</v>
      </c>
      <c r="C346" s="1" t="n">
        <v>672.6</v>
      </c>
      <c r="D346" s="2">
        <f>HYPERLINK("https://torgi.gov.ru/new/public/lots/lot/22000042440000000019_1/(lotInfo:info)", "22000042440000000019_1")</f>
        <v/>
      </c>
      <c r="E346" t="inlineStr">
        <is>
          <t>Нежилое встроенное помещение (кадастровый номер 47:10:0601023:328) площадью 672,6 кв. м, Расположено в кирпичном трехэтажном здании.</t>
        </is>
      </c>
      <c r="F346" s="3" t="inlineStr">
        <is>
          <t>15.08.22 14:00</t>
        </is>
      </c>
      <c r="G346" t="inlineStr">
        <is>
          <t>Ленинградская обл, Волховский р-н, г Сясьстрой, ул 25 Октября, д 1</t>
        </is>
      </c>
      <c r="H346" s="4" t="n">
        <v>5225000</v>
      </c>
      <c r="I346" s="4" t="n">
        <v>7768.361581920904</v>
      </c>
      <c r="J346" t="inlineStr">
        <is>
          <t>Нежилое помещение</t>
        </is>
      </c>
      <c r="K346" s="5" t="n">
        <v>6.69</v>
      </c>
      <c r="M346" t="n">
        <v>1161</v>
      </c>
      <c r="N346" s="6" t="n">
        <v>12549</v>
      </c>
      <c r="Q346" t="inlineStr">
        <is>
          <t>EA</t>
        </is>
      </c>
      <c r="R346" t="inlineStr">
        <is>
          <t>М</t>
        </is>
      </c>
      <c r="S346" s="2">
        <f>HYPERLINK("https://yandex.ru/maps/?&amp;text=60.136354, 32.561261", "60.136354, 32.561261")</f>
        <v/>
      </c>
      <c r="U346" t="inlineStr">
        <is>
          <t>47:10:0601023:328</t>
        </is>
      </c>
      <c r="V346" t="n">
        <v>1</v>
      </c>
      <c r="Y346" t="n">
        <v>0</v>
      </c>
      <c r="AA346" t="n">
        <v>0</v>
      </c>
      <c r="AB346" t="n">
        <v>0</v>
      </c>
    </row>
    <row r="347">
      <c r="A347" s="7" t="n">
        <v>345</v>
      </c>
      <c r="B347" t="n">
        <v>47</v>
      </c>
      <c r="C347" s="1" t="n">
        <v>22.8</v>
      </c>
      <c r="D347" s="2">
        <f>HYPERLINK("https://torgi.gov.ru/new/public/lots/lot/21000033860000000004_1/(lotInfo:info)", "21000033860000000004_1")</f>
        <v/>
      </c>
      <c r="E347" t="inlineStr">
        <is>
          <t>нежилое помещение</t>
        </is>
      </c>
      <c r="F347" s="3" t="inlineStr">
        <is>
          <t>21.06.22 20:00</t>
        </is>
      </c>
      <c r="G347" t="inlineStr">
        <is>
          <t>Ленинградская обл, г Тихвин, мкр 4, д 13, помещ 3</t>
        </is>
      </c>
      <c r="H347" s="4" t="n">
        <v>362460</v>
      </c>
      <c r="I347" s="4" t="n">
        <v>15897.36842105263</v>
      </c>
      <c r="J347" t="inlineStr">
        <is>
          <t>Нежилое помещение</t>
        </is>
      </c>
      <c r="K347" s="5" t="n">
        <v>18.88</v>
      </c>
      <c r="M347" t="n">
        <v>842</v>
      </c>
      <c r="N347" s="6" t="n">
        <v>58068</v>
      </c>
      <c r="Q347" t="inlineStr">
        <is>
          <t>PP</t>
        </is>
      </c>
      <c r="R347" t="inlineStr">
        <is>
          <t>М</t>
        </is>
      </c>
      <c r="S347" s="2">
        <f>HYPERLINK("https://yandex.ru/maps/?&amp;text=59.647633, 33.537128", "59.647633, 33.537128")</f>
        <v/>
      </c>
      <c r="U347" t="inlineStr">
        <is>
          <t>47:13:1202018:2224</t>
        </is>
      </c>
      <c r="V347" t="n">
        <v>1</v>
      </c>
      <c r="Y347" t="n">
        <v>0</v>
      </c>
      <c r="AA347" t="n">
        <v>0</v>
      </c>
      <c r="AB347" t="n">
        <v>0</v>
      </c>
    </row>
    <row r="348">
      <c r="A348" s="7" t="n">
        <v>346</v>
      </c>
      <c r="B348" t="n">
        <v>47</v>
      </c>
      <c r="C348" s="1" t="n">
        <v>251.7</v>
      </c>
      <c r="D348" s="2">
        <f>HYPERLINK("https://torgi.gov.ru/new/public/lots/lot/22000066050000000004_1/(lotInfo:info)", "22000066050000000004_1")</f>
        <v/>
      </c>
      <c r="E348" t="inlineStr">
        <is>
          <t>общая площадь 251,7 кв.м., количество этажей - 1, кадастровый номер 47:07:0000000:82397, условный номер 47-78-12/001/2010-182,инвентарный номер 41:212:002:000001530:01080:00000,адрес объекта: Российская Федерация, Ленинградская область, Всеволожский район, пос. Углово;- земельный участок кадастровый № 47:07:0915007:530, общая площадь 1303 кв.м., категория земель: 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назначения, вид разрешенного использования: для спецнадобностей территориальная зона ж2-зона застройки малоэтажными жилыми домами, адрес объекта: Ленинградская область, Всеволожский муниципальный район, Романовское сельское поселение, п.Углово.</t>
        </is>
      </c>
      <c r="F348" s="3" t="inlineStr">
        <is>
          <t>08.08.22 09:00</t>
        </is>
      </c>
      <c r="G348" t="inlineStr">
        <is>
          <t>Ленинградская обл, Всеволожский р-н, поселок Углово</t>
        </is>
      </c>
      <c r="H348" s="4" t="n">
        <v>9158600</v>
      </c>
      <c r="I348" s="4" t="n">
        <v>36386.96861342869</v>
      </c>
      <c r="J348" t="inlineStr">
        <is>
          <t>магазин</t>
        </is>
      </c>
      <c r="K348" s="5" t="n">
        <v>23.28</v>
      </c>
      <c r="L348" s="4" t="n">
        <v>2425.73</v>
      </c>
      <c r="M348" t="n">
        <v>1563</v>
      </c>
      <c r="N348" s="6" t="n">
        <v>1577</v>
      </c>
      <c r="O348" t="n">
        <v>15</v>
      </c>
      <c r="Q348" t="inlineStr">
        <is>
          <t>EA</t>
        </is>
      </c>
      <c r="R348" t="inlineStr">
        <is>
          <t>М</t>
        </is>
      </c>
      <c r="S348" s="2">
        <f>HYPERLINK("https://yandex.ru/maps/?&amp;text=60.06918, 30.737708", "60.06918, 30.737708")</f>
        <v/>
      </c>
      <c r="T348" s="2">
        <f>HYPERLINK("D:\venv_torgi\env\cache\objs_in_district/60.06918_30.737708.json", "60.06918_30.737708.json")</f>
        <v/>
      </c>
      <c r="U348" t="inlineStr">
        <is>
          <t xml:space="preserve">47:07:0000000:82397, </t>
        </is>
      </c>
      <c r="V348" t="n">
        <v>1</v>
      </c>
      <c r="Y348" t="n">
        <v>0</v>
      </c>
      <c r="AA348" t="n">
        <v>0</v>
      </c>
      <c r="AB348" t="n">
        <v>1</v>
      </c>
    </row>
    <row r="349">
      <c r="A349" s="7" t="n">
        <v>347</v>
      </c>
      <c r="B349" t="n">
        <v>47</v>
      </c>
      <c r="C349" s="1" t="n">
        <v>19.6</v>
      </c>
      <c r="D349" s="2">
        <f>HYPERLINK("https://torgi.gov.ru/new/public/lots/lot/22000031890000000003_1/(lotInfo:info)", "22000031890000000003_1")</f>
        <v/>
      </c>
      <c r="E349" t="inlineStr">
        <is>
          <t>Описание имущества в приложенном файле: «Описание имущества»</t>
        </is>
      </c>
      <c r="F349" s="3" t="inlineStr">
        <is>
          <t>06.06.22 20:59</t>
        </is>
      </c>
      <c r="G349" t="inlineStr">
        <is>
          <t>Ленинградская обл, Ломоносовский р-н, деревня Горбунки, д 9</t>
        </is>
      </c>
      <c r="H349" s="4" t="n">
        <v>762000</v>
      </c>
      <c r="I349" s="4" t="n">
        <v>38877.55102040816</v>
      </c>
      <c r="J349" t="inlineStr">
        <is>
          <t>Нежилое помещение</t>
        </is>
      </c>
      <c r="K349" s="5" t="n">
        <v>16.9</v>
      </c>
      <c r="L349" s="4" t="n">
        <v>2776.93</v>
      </c>
      <c r="M349" t="n">
        <v>2301</v>
      </c>
      <c r="N349" s="6" t="n">
        <v>6640</v>
      </c>
      <c r="O349" t="n">
        <v>14</v>
      </c>
      <c r="Q349" t="inlineStr">
        <is>
          <t>EA</t>
        </is>
      </c>
      <c r="R349" t="inlineStr">
        <is>
          <t>М</t>
        </is>
      </c>
      <c r="S349" s="2">
        <f>HYPERLINK("https://yandex.ru/maps/?&amp;text=59.813889, 29.982126", "59.813889, 29.982126")</f>
        <v/>
      </c>
      <c r="T349" s="2">
        <f>HYPERLINK("D:\venv_torgi\env\cache\objs_in_district/59.813889_29.982126.json", "59.813889_29.982126.json")</f>
        <v/>
      </c>
      <c r="U349" t="inlineStr">
        <is>
          <t>47:14:0413001:2543</t>
        </is>
      </c>
      <c r="V349" t="n">
        <v>1</v>
      </c>
      <c r="Y349" t="n">
        <v>0</v>
      </c>
      <c r="AA349" t="n">
        <v>0</v>
      </c>
      <c r="AB349" t="n">
        <v>0</v>
      </c>
    </row>
    <row r="350">
      <c r="A350" s="7" t="n">
        <v>348</v>
      </c>
      <c r="B350" t="n">
        <v>47</v>
      </c>
      <c r="C350" s="1" t="n">
        <v>122.2</v>
      </c>
      <c r="D350" s="2">
        <f>HYPERLINK("https://torgi.gov.ru/new/public/lots/lot/21000029540000000001_1/(lotInfo:info)", "21000029540000000001_1")</f>
        <v/>
      </c>
      <c r="E350" t="inlineStr">
        <is>
          <t>нежилое помещение с кадастровым номером 47:11:0101034:67, площадью 122,23 кв.м. по адресу: Ленинградская область, Волховский район, г. Новая Ладога, пр.Карла Маркса, д.22</t>
        </is>
      </c>
      <c r="F350" s="3" t="inlineStr">
        <is>
          <t>29.06.22 07:59</t>
        </is>
      </c>
      <c r="G350" t="inlineStr">
        <is>
          <t>Ленинградская обл, Волховский р-н, г Новая Ладога, пр-кт Карла Маркса, д 22</t>
        </is>
      </c>
      <c r="H350" s="4" t="n">
        <v>5177901</v>
      </c>
      <c r="I350" s="4" t="n">
        <v>42372.34860883797</v>
      </c>
      <c r="J350" t="inlineStr">
        <is>
          <t>Нежилое помещение</t>
        </is>
      </c>
      <c r="K350" s="5" t="n">
        <v>14.56</v>
      </c>
      <c r="L350" s="4" t="n">
        <v>662.0599999999999</v>
      </c>
      <c r="M350" t="n">
        <v>2910</v>
      </c>
      <c r="N350" s="6" t="n">
        <v>8027</v>
      </c>
      <c r="O350" t="n">
        <v>64</v>
      </c>
      <c r="Q350" t="inlineStr">
        <is>
          <t>EA</t>
        </is>
      </c>
      <c r="R350" t="inlineStr">
        <is>
          <t>М</t>
        </is>
      </c>
      <c r="S350" s="2">
        <f>HYPERLINK("https://yandex.ru/maps/?&amp;text=60.104836, 32.313137", "60.104836, 32.313137")</f>
        <v/>
      </c>
      <c r="T350" s="2">
        <f>HYPERLINK("D:\venv_torgi\env\cache\objs_in_district/60.104836_32.313137.json", "60.104836_32.313137.json")</f>
        <v/>
      </c>
      <c r="U350" t="inlineStr">
        <is>
          <t xml:space="preserve">47:11:0101034:67, </t>
        </is>
      </c>
      <c r="V350" t="n">
        <v>0</v>
      </c>
      <c r="Y350" t="n">
        <v>0</v>
      </c>
      <c r="AA350" t="n">
        <v>0</v>
      </c>
      <c r="AB350" t="n">
        <v>0</v>
      </c>
    </row>
    <row r="351">
      <c r="A351" s="7" t="n">
        <v>349</v>
      </c>
      <c r="B351" t="n">
        <v>47</v>
      </c>
      <c r="C351" s="1" t="n">
        <v>14.4</v>
      </c>
      <c r="D351" s="2">
        <f>HYPERLINK("https://torgi.gov.ru/new/public/lots/lot/22000031890000000002_1/(lotInfo:info)", "22000031890000000002_1")</f>
        <v/>
      </c>
      <c r="E351" t="inlineStr">
        <is>
          <t>Описание имущества в приложенном файле: «Описание имущества»</t>
        </is>
      </c>
      <c r="F351" s="3" t="inlineStr">
        <is>
          <t>06.06.22 20:59</t>
        </is>
      </c>
      <c r="G351" t="inlineStr">
        <is>
          <t>Ленинградская обл, Ломоносовский р-н, деревня Горбунки, д 16 к 1</t>
        </is>
      </c>
      <c r="H351" s="4" t="n">
        <v>660000</v>
      </c>
      <c r="I351" s="4" t="n">
        <v>45833.33333333334</v>
      </c>
      <c r="J351" t="inlineStr">
        <is>
          <t>Нежилое помещение</t>
        </is>
      </c>
      <c r="K351" s="5" t="n">
        <v>12.52</v>
      </c>
      <c r="L351" s="4" t="n">
        <v>3273.79</v>
      </c>
      <c r="M351" t="n">
        <v>3660</v>
      </c>
      <c r="N351" s="6" t="n">
        <v>6640</v>
      </c>
      <c r="O351" t="n">
        <v>14</v>
      </c>
      <c r="Q351" t="inlineStr">
        <is>
          <t>EA</t>
        </is>
      </c>
      <c r="R351" t="inlineStr">
        <is>
          <t>М</t>
        </is>
      </c>
      <c r="S351" s="2">
        <f>HYPERLINK("https://yandex.ru/maps/?&amp;text=59.81674, 29.980823", "59.81674, 29.980823")</f>
        <v/>
      </c>
      <c r="T351" s="2">
        <f>HYPERLINK("D:\venv_torgi\env\cache\objs_in_district/59.81674_29.980823.json", "59.81674_29.980823.json")</f>
        <v/>
      </c>
      <c r="U351" t="inlineStr">
        <is>
          <t>47:14:0000000:32179</t>
        </is>
      </c>
      <c r="V351" t="n">
        <v>1</v>
      </c>
      <c r="Y351" t="n">
        <v>0</v>
      </c>
      <c r="AA351" t="n">
        <v>0</v>
      </c>
      <c r="AB351" t="n">
        <v>0</v>
      </c>
    </row>
    <row r="352">
      <c r="A352" s="7" t="n">
        <v>350</v>
      </c>
      <c r="B352" t="n">
        <v>49</v>
      </c>
      <c r="C352" s="1" t="n">
        <v>208.1</v>
      </c>
      <c r="D352" s="2">
        <f>HYPERLINK("https://torgi.gov.ru/new/public/lots/lot/22000038950000000001_1/(lotInfo:info)", "22000038950000000001_1")</f>
        <v/>
      </c>
      <c r="E352" t="inlineStr">
        <is>
          <t>Помещение площадью 208,10 кв.м.</t>
        </is>
      </c>
      <c r="F352" s="3" t="inlineStr">
        <is>
          <t>10.03.22 06:00</t>
        </is>
      </c>
      <c r="G352" t="inlineStr">
        <is>
          <t>Магаданская обл, пгт Ягодное, ул Металлистов, д 8</t>
        </is>
      </c>
      <c r="H352" s="4" t="n">
        <v>963000</v>
      </c>
      <c r="I352" s="4" t="n">
        <v>4627.582892839981</v>
      </c>
      <c r="J352" t="inlineStr">
        <is>
          <t>Нежилое помещение</t>
        </is>
      </c>
      <c r="K352" s="5" t="n">
        <v>13.98</v>
      </c>
      <c r="L352" s="4" t="n">
        <v>330.5</v>
      </c>
      <c r="M352" t="n">
        <v>331</v>
      </c>
      <c r="N352" s="6" t="n">
        <v>3241</v>
      </c>
      <c r="O352" t="n">
        <v>14</v>
      </c>
      <c r="Q352" t="inlineStr">
        <is>
          <t>EA</t>
        </is>
      </c>
      <c r="R352" t="inlineStr">
        <is>
          <t>М</t>
        </is>
      </c>
      <c r="S352" s="2">
        <f>HYPERLINK("https://yandex.ru/maps/?&amp;text=62.523613, 149.62122", "62.523613, 149.62122")</f>
        <v/>
      </c>
      <c r="T352" s="2">
        <f>HYPERLINK("D:\venv_torgi\env\cache\objs_in_district/62.523613_149.62122.json", "62.523613_149.62122.json")</f>
        <v/>
      </c>
      <c r="U352" t="inlineStr">
        <is>
          <t>49:08:070103:758</t>
        </is>
      </c>
      <c r="V352" t="n">
        <v>0</v>
      </c>
      <c r="Y352" t="n">
        <v>0</v>
      </c>
      <c r="AA352" t="n">
        <v>0</v>
      </c>
      <c r="AB352" t="n">
        <v>0</v>
      </c>
    </row>
    <row r="353">
      <c r="A353" s="7" t="n">
        <v>351</v>
      </c>
      <c r="B353" t="n">
        <v>49</v>
      </c>
      <c r="C353" s="1" t="n">
        <v>114.9</v>
      </c>
      <c r="D353" s="2">
        <f>HYPERLINK("https://torgi.gov.ru/new/public/lots/lot/21000013960000000004_8/(lotInfo:info)", "21000013960000000004_8")</f>
        <v/>
      </c>
      <c r="E353" t="inlineStr">
        <is>
          <t>Наименование имущества: Котельная, назначение объекта: нежилое, площадь 114,9 кв. м, адрес (местоположение) объекта: Магаданская область, г. Магадан, ул. Продольная, д.22, кадастровый номер 49:09:031002:251.</t>
        </is>
      </c>
      <c r="F353" s="3" t="inlineStr">
        <is>
          <t>19.07.22 06:00</t>
        </is>
      </c>
      <c r="G353" t="inlineStr">
        <is>
          <t>г Магадан, ул Продольная, д 22</t>
        </is>
      </c>
      <c r="H353" s="4" t="n">
        <v>2039940</v>
      </c>
      <c r="I353" s="4" t="n">
        <v>17754.04699738903</v>
      </c>
      <c r="J353" t="inlineStr">
        <is>
          <t>Котельная</t>
        </is>
      </c>
      <c r="K353" s="5" t="n">
        <v>18.65</v>
      </c>
      <c r="L353" s="4" t="inlineStr"/>
      <c r="M353" t="n">
        <v>952</v>
      </c>
      <c r="N353" s="6" t="n">
        <v>98671</v>
      </c>
      <c r="O353" t="inlineStr"/>
      <c r="Q353" t="inlineStr">
        <is>
          <t>EA</t>
        </is>
      </c>
      <c r="R353" t="inlineStr">
        <is>
          <t>Д</t>
        </is>
      </c>
      <c r="S353" s="2">
        <f>HYPERLINK("https://yandex.ru/maps/?&amp;text=59.58926, 150.83209", "59.58926, 150.83209")</f>
        <v/>
      </c>
      <c r="T353" s="8">
        <f>HYPERLINK("D:\venv_torgi\env\cache\objs_in_district/59.58926_150.83209.json", "59.58926_150.83209.json")</f>
        <v/>
      </c>
      <c r="U353" t="inlineStr">
        <is>
          <t>49:09:031002:251</t>
        </is>
      </c>
      <c r="V353" t="n">
        <v>0</v>
      </c>
      <c r="Y353" t="n">
        <v>0</v>
      </c>
      <c r="AA353" t="n">
        <v>0</v>
      </c>
      <c r="AB353" t="n">
        <v>0</v>
      </c>
    </row>
    <row r="354">
      <c r="A354" s="7" t="n">
        <v>352</v>
      </c>
      <c r="B354" t="n">
        <v>49</v>
      </c>
      <c r="C354" s="1" t="n">
        <v>242.6</v>
      </c>
      <c r="D354" s="2">
        <f>HYPERLINK("https://torgi.gov.ru/new/public/lots/lot/21000013960000000004_26/(lotInfo:info)", "21000013960000000004_26")</f>
        <v/>
      </c>
      <c r="E354" t="inlineStr">
        <is>
          <t>Наименование имущества: Нежилое помещение; назначение: нежилое помещение; площадь: 242,6 кв. м, адрес: Магаданская обл., р-н Ягоднинский, п. Синегорье, ул. Первая, д.2; кадастровый номер: 49:08:050002:1444.</t>
        </is>
      </c>
      <c r="F354" s="3" t="inlineStr">
        <is>
          <t>19.07.22 06:00</t>
        </is>
      </c>
      <c r="G354" t="inlineStr">
        <is>
          <t>Магаданская обл, Ягоднинский р-н, пгт Синегорье, ул Первая, д 2</t>
        </is>
      </c>
      <c r="H354" s="4" t="n">
        <v>7125300</v>
      </c>
      <c r="I354" s="4" t="n">
        <v>29370.56883759275</v>
      </c>
      <c r="J354" t="inlineStr">
        <is>
          <t>Нежилое помещение</t>
        </is>
      </c>
      <c r="K354" s="5" t="n">
        <v>10.22</v>
      </c>
      <c r="L354" s="4" t="n">
        <v>14685</v>
      </c>
      <c r="M354" t="n">
        <v>2874</v>
      </c>
      <c r="N354" s="6" t="n">
        <v>2050</v>
      </c>
      <c r="O354" t="n">
        <v>2</v>
      </c>
      <c r="Q354" t="inlineStr">
        <is>
          <t>EA</t>
        </is>
      </c>
      <c r="R354" t="inlineStr">
        <is>
          <t>Д</t>
        </is>
      </c>
      <c r="S354" s="2">
        <f>HYPERLINK("https://yandex.ru/maps/?&amp;text=62.08512, 150.52081", "62.08512, 150.52081")</f>
        <v/>
      </c>
      <c r="T354" s="2">
        <f>HYPERLINK("D:\venv_torgi\env\cache\objs_in_district/62.08512_150.52081.json", "62.08512_150.52081.json")</f>
        <v/>
      </c>
      <c r="U354" t="inlineStr">
        <is>
          <t>49:08:050002:1444</t>
        </is>
      </c>
      <c r="V354" t="n">
        <v>0</v>
      </c>
      <c r="Y354" t="n">
        <v>0</v>
      </c>
      <c r="AA354" t="n">
        <v>0</v>
      </c>
      <c r="AB354" t="n">
        <v>0</v>
      </c>
    </row>
    <row r="355">
      <c r="A355" s="7" t="n">
        <v>353</v>
      </c>
      <c r="B355" t="n">
        <v>49</v>
      </c>
      <c r="C355" s="1" t="n">
        <v>208.6</v>
      </c>
      <c r="D355" s="2">
        <f>HYPERLINK("https://torgi.gov.ru/new/public/lots/lot/21000013960000000004_29/(lotInfo:info)", "21000013960000000004_29")</f>
        <v/>
      </c>
      <c r="E355" t="inlineStr">
        <is>
          <t>Наименование имущества: Водозабор; назначение: нежилое здание; площадь: 208,6 кв. м, адрес: Магаданская обл., р-н Ягоднинский, п. Синегорье; кадастровый номер: 49:08:000000:576 и право аренды на земельный участок, площадь 930,00 кв. м;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кадастровый номер: 49:08:050004:15.</t>
        </is>
      </c>
      <c r="F355" s="3" t="inlineStr">
        <is>
          <t>19.07.22 06:00</t>
        </is>
      </c>
      <c r="G355" t="inlineStr">
        <is>
          <t>Магаданская обл, Ягоднинский р-н, пгт Синегорье</t>
        </is>
      </c>
      <c r="H355" s="4" t="n">
        <v>6834240</v>
      </c>
      <c r="I355" s="4" t="n">
        <v>32762.41610738255</v>
      </c>
      <c r="J355" t="inlineStr">
        <is>
          <t>Водозабор</t>
        </is>
      </c>
      <c r="K355" s="5" t="n">
        <v>15.46</v>
      </c>
      <c r="L355" s="4" t="n">
        <v>16381</v>
      </c>
      <c r="M355" t="n">
        <v>2119</v>
      </c>
      <c r="N355" s="6" t="n">
        <v>2050</v>
      </c>
      <c r="O355" t="n">
        <v>2</v>
      </c>
      <c r="Q355" t="inlineStr">
        <is>
          <t>EA</t>
        </is>
      </c>
      <c r="R355" t="inlineStr">
        <is>
          <t>Д</t>
        </is>
      </c>
      <c r="S355" s="2">
        <f>HYPERLINK("https://yandex.ru/maps/?&amp;text=62.087879, 150.521071", "62.087879, 150.521071")</f>
        <v/>
      </c>
      <c r="T355" s="2">
        <f>HYPERLINK("D:\venv_torgi\env\cache\objs_in_district/62.087879_150.521071.json", "62.087879_150.521071.json")</f>
        <v/>
      </c>
      <c r="U355" t="inlineStr">
        <is>
          <t xml:space="preserve">49:08:000000:576 </t>
        </is>
      </c>
      <c r="V355" t="n">
        <v>1</v>
      </c>
      <c r="Y355" t="n">
        <v>0</v>
      </c>
      <c r="AA355" t="n">
        <v>0</v>
      </c>
      <c r="AB355" t="n">
        <v>1</v>
      </c>
    </row>
    <row r="356">
      <c r="A356" s="7" t="n">
        <v>354</v>
      </c>
      <c r="B356" t="n">
        <v>50</v>
      </c>
      <c r="C356" s="1" t="n">
        <v>37.1</v>
      </c>
      <c r="D356" s="2">
        <f>HYPERLINK("https://torgi.gov.ru/new/public/lots/lot/21000004710000000416_1/(lotInfo:info)", "21000004710000000416_1")</f>
        <v/>
      </c>
      <c r="E356" t="inlineStr">
        <is>
          <t>Продажа нежилого помещения 37,1 кв.м. в Рузском г.о.</t>
        </is>
      </c>
      <c r="F356" s="3" t="inlineStr">
        <is>
          <t>04.04.22 15:00</t>
        </is>
      </c>
      <c r="G356" t="inlineStr">
        <is>
          <t>Московская обл, г Руза, пл Партизан, д 3</t>
        </is>
      </c>
      <c r="H356" s="4" t="n">
        <v>202335</v>
      </c>
      <c r="I356" s="4" t="n">
        <v>5453.77358490566</v>
      </c>
      <c r="J356" t="inlineStr">
        <is>
          <t>Нежилое помещение</t>
        </is>
      </c>
      <c r="K356" s="5" t="n">
        <v>23.92</v>
      </c>
      <c r="M356" t="n">
        <v>228</v>
      </c>
      <c r="N356" s="6" t="n">
        <v>13495</v>
      </c>
      <c r="Q356" t="inlineStr">
        <is>
          <t>EA</t>
        </is>
      </c>
      <c r="R356" t="inlineStr">
        <is>
          <t>М</t>
        </is>
      </c>
      <c r="S356" s="2">
        <f>HYPERLINK("https://yandex.ru/maps/?&amp;text=55.699776, 36.193554", "55.699776, 36.193554")</f>
        <v/>
      </c>
      <c r="U356" t="inlineStr">
        <is>
          <t>50:19:0010202:3962</t>
        </is>
      </c>
      <c r="V356" t="n">
        <v>1</v>
      </c>
      <c r="Y356" t="n">
        <v>0</v>
      </c>
      <c r="AA356" t="n">
        <v>0</v>
      </c>
      <c r="AB356" t="n">
        <v>0</v>
      </c>
    </row>
    <row r="357">
      <c r="A357" s="7" t="n">
        <v>355</v>
      </c>
      <c r="B357" t="n">
        <v>50</v>
      </c>
      <c r="C357" s="1" t="n">
        <v>85.5</v>
      </c>
      <c r="D357" s="2">
        <f>HYPERLINK("https://torgi.gov.ru/new/public/lots/lot/21000004710000000765_1/(lotInfo:info)", "21000004710000000765_1")</f>
        <v/>
      </c>
      <c r="E357" t="inlineStr">
        <is>
          <t>Продажа нежилого помещения 85,5 кв.м в Богородском г.о.</t>
        </is>
      </c>
      <c r="F357" s="3" t="inlineStr">
        <is>
          <t>04.05.22 15:00</t>
        </is>
      </c>
      <c r="G357" t="inlineStr">
        <is>
          <t>Московская обл, г Ногинск, ул Текстилей, д 29</t>
        </is>
      </c>
      <c r="H357" s="4" t="n">
        <v>755816</v>
      </c>
      <c r="I357" s="4" t="n">
        <v>8839.95321637427</v>
      </c>
      <c r="J357" t="inlineStr">
        <is>
          <t>Нежилое помещение</t>
        </is>
      </c>
      <c r="K357" s="5" t="n">
        <v>6.9</v>
      </c>
      <c r="L357" s="4" t="n">
        <v>736.58</v>
      </c>
      <c r="M357" t="n">
        <v>1281</v>
      </c>
      <c r="N357" s="6" t="n">
        <v>100072</v>
      </c>
      <c r="O357" t="n">
        <v>12</v>
      </c>
      <c r="Q357" t="inlineStr">
        <is>
          <t>BOC</t>
        </is>
      </c>
      <c r="R357" t="inlineStr">
        <is>
          <t>М</t>
        </is>
      </c>
      <c r="S357" s="2">
        <f>HYPERLINK("https://yandex.ru/maps/?&amp;text=55.881545, 38.436638", "55.881545, 38.436638")</f>
        <v/>
      </c>
      <c r="T357" s="2">
        <f>HYPERLINK("D:\venv_torgi\env\cache\objs_in_district/55.881545_38.436638.json", "55.881545_38.436638.json")</f>
        <v/>
      </c>
      <c r="U357" t="inlineStr">
        <is>
          <t>50:16:0301001:3345</t>
        </is>
      </c>
      <c r="V357" t="n">
        <v>1</v>
      </c>
      <c r="Y357" t="n">
        <v>0</v>
      </c>
      <c r="AA357" t="n">
        <v>0</v>
      </c>
      <c r="AB357" t="n">
        <v>0</v>
      </c>
    </row>
    <row r="358">
      <c r="A358" s="7" t="n">
        <v>356</v>
      </c>
      <c r="B358" t="n">
        <v>50</v>
      </c>
      <c r="C358" s="1" t="n">
        <v>43.5</v>
      </c>
      <c r="D358" s="2">
        <f>HYPERLINK("https://torgi.gov.ru/new/public/lots/lot/21000004710000001644_1/(lotInfo:info)", "21000004710000001644_1")</f>
        <v/>
      </c>
      <c r="E358" t="inlineStr">
        <is>
          <t>Продажа нежилого помещения 43,5 кв.м в г.о. Шатура</t>
        </is>
      </c>
      <c r="F358" s="3" t="inlineStr">
        <is>
          <t>28.06.22 15:00</t>
        </is>
      </c>
      <c r="G358" t="inlineStr">
        <is>
          <t>Московская обл, г Шатура, Больничный проезд, д 2 к 14</t>
        </is>
      </c>
      <c r="H358" s="4" t="n">
        <v>498750</v>
      </c>
      <c r="I358" s="4" t="n">
        <v>11465.51724137931</v>
      </c>
      <c r="J358" t="inlineStr">
        <is>
          <t>Нежилое помещение</t>
        </is>
      </c>
      <c r="K358" s="5" t="n">
        <v>19.24</v>
      </c>
      <c r="M358" t="n">
        <v>596</v>
      </c>
      <c r="N358" s="6" t="n">
        <v>32885</v>
      </c>
      <c r="Q358" t="inlineStr">
        <is>
          <t>EA</t>
        </is>
      </c>
      <c r="R358" t="inlineStr">
        <is>
          <t>М</t>
        </is>
      </c>
      <c r="S358" s="2">
        <f>HYPERLINK("https://yandex.ru/maps/?&amp;text=55.581943, 39.542626", "55.581943, 39.542626")</f>
        <v/>
      </c>
      <c r="U358" t="inlineStr">
        <is>
          <t>50:25:0010107:599</t>
        </is>
      </c>
      <c r="V358" t="n">
        <v>0</v>
      </c>
      <c r="Y358" t="n">
        <v>0</v>
      </c>
      <c r="AA358" t="n">
        <v>0</v>
      </c>
      <c r="AB358" t="n">
        <v>0</v>
      </c>
    </row>
    <row r="359">
      <c r="A359" s="7" t="n">
        <v>357</v>
      </c>
      <c r="B359" t="n">
        <v>50</v>
      </c>
      <c r="C359" s="1" t="n">
        <v>169.9</v>
      </c>
      <c r="D359" s="2">
        <f>HYPERLINK("https://torgi.gov.ru/new/public/lots/lot/21000004710000000856_1/(lotInfo:info)", "21000004710000000856_1")</f>
        <v/>
      </c>
      <c r="E359" t="inlineStr">
        <is>
          <t>Продажа нежилого помещения 169,9 в Сергиево-Посадском г.о.</t>
        </is>
      </c>
      <c r="F359" s="3" t="inlineStr">
        <is>
          <t>04.07.22 15:00</t>
        </is>
      </c>
      <c r="G359" t="inlineStr">
        <is>
          <t>Московская обл, г Сергиев Посад, ул Куликова, д 21, помещ 1</t>
        </is>
      </c>
      <c r="H359" s="4" t="n">
        <v>2187600</v>
      </c>
      <c r="I359" s="4" t="n">
        <v>12875.80929958799</v>
      </c>
      <c r="J359" t="inlineStr">
        <is>
          <t>Нежилое помещение</t>
        </is>
      </c>
      <c r="K359" s="5" t="n">
        <v>1.95</v>
      </c>
      <c r="L359" s="4" t="n">
        <v>643.75</v>
      </c>
      <c r="M359" t="n">
        <v>6600</v>
      </c>
      <c r="N359" s="6" t="n">
        <v>111179</v>
      </c>
      <c r="O359" t="n">
        <v>20</v>
      </c>
      <c r="Q359" t="inlineStr">
        <is>
          <t>PP</t>
        </is>
      </c>
      <c r="R359" t="inlineStr">
        <is>
          <t>М</t>
        </is>
      </c>
      <c r="S359" s="2">
        <f>HYPERLINK("https://yandex.ru/maps/?&amp;text=56.293163, 38.119316", "56.293163, 38.119316")</f>
        <v/>
      </c>
      <c r="T359" s="2">
        <f>HYPERLINK("D:\venv_torgi\env\cache\objs_in_district/56.293163_38.119316.json", "56.293163_38.119316.json")</f>
        <v/>
      </c>
      <c r="U359" t="inlineStr">
        <is>
          <t>50:05:0000000:26263</t>
        </is>
      </c>
      <c r="V359" t="n">
        <v>0</v>
      </c>
      <c r="Y359" t="n">
        <v>0</v>
      </c>
      <c r="AA359" t="n">
        <v>0</v>
      </c>
      <c r="AB359" t="n">
        <v>0</v>
      </c>
    </row>
    <row r="360">
      <c r="A360" s="7" t="n">
        <v>358</v>
      </c>
      <c r="B360" t="n">
        <v>50</v>
      </c>
      <c r="C360" s="1" t="n">
        <v>79.40000000000001</v>
      </c>
      <c r="D360" s="2">
        <f>HYPERLINK("https://torgi.gov.ru/new/public/lots/lot/21000004710000001722_1/(lotInfo:info)", "21000004710000001722_1")</f>
        <v/>
      </c>
      <c r="E360" t="inlineStr">
        <is>
          <t>Продажа нежилого помещения 79,4 кв.м в г.о. Кашира</t>
        </is>
      </c>
      <c r="F360" s="3" t="inlineStr">
        <is>
          <t>16.08.22 15:00</t>
        </is>
      </c>
      <c r="G360" t="inlineStr">
        <is>
          <t>Московская обл, г Кашира, ул Сергея Ионова, д 3</t>
        </is>
      </c>
      <c r="H360" s="4" t="n">
        <v>1156450</v>
      </c>
      <c r="I360" s="4" t="n">
        <v>14564.86146095718</v>
      </c>
      <c r="J360" t="inlineStr">
        <is>
          <t>Нежилое помещение</t>
        </is>
      </c>
      <c r="K360" s="5" t="n">
        <v>2.73</v>
      </c>
      <c r="L360" s="4" t="n">
        <v>662</v>
      </c>
      <c r="M360" t="n">
        <v>5331</v>
      </c>
      <c r="N360" s="6" t="n">
        <v>41870</v>
      </c>
      <c r="O360" t="n">
        <v>22</v>
      </c>
      <c r="Q360" t="inlineStr">
        <is>
          <t>EA</t>
        </is>
      </c>
      <c r="R360" t="inlineStr">
        <is>
          <t>М</t>
        </is>
      </c>
      <c r="S360" s="2">
        <f>HYPERLINK("https://yandex.ru/maps/?&amp;text=54.848655, 38.248738", "54.848655, 38.248738")</f>
        <v/>
      </c>
      <c r="T360" s="2">
        <f>HYPERLINK("D:\venv_torgi\env\cache\objs_in_district/54.848655_38.248738.json", "54.848655_38.248738.json")</f>
        <v/>
      </c>
      <c r="U360" t="inlineStr">
        <is>
          <t>50:37:0060613:128</t>
        </is>
      </c>
      <c r="V360" t="n">
        <v>0</v>
      </c>
      <c r="Y360" t="n">
        <v>0</v>
      </c>
      <c r="AA360" t="n">
        <v>0</v>
      </c>
      <c r="AB360" t="n">
        <v>0</v>
      </c>
    </row>
    <row r="361">
      <c r="A361" s="7" t="n">
        <v>359</v>
      </c>
      <c r="B361" t="n">
        <v>50</v>
      </c>
      <c r="C361" s="1" t="n">
        <v>82</v>
      </c>
      <c r="D361" s="2">
        <f>HYPERLINK("https://torgi.gov.ru/new/public/lots/lot/21000004710000001724_1/(lotInfo:info)", "21000004710000001724_1")</f>
        <v/>
      </c>
      <c r="E361" t="inlineStr">
        <is>
          <t>Продажа нежилого помещения 82 кв.м в г.о. Кашира</t>
        </is>
      </c>
      <c r="F361" s="3" t="inlineStr">
        <is>
          <t>16.08.22 15:00</t>
        </is>
      </c>
      <c r="G361" t="inlineStr">
        <is>
          <t>Московская обл, г Кашира, ул Клубная, д 1</t>
        </is>
      </c>
      <c r="H361" s="4" t="n">
        <v>1269950</v>
      </c>
      <c r="I361" s="4" t="n">
        <v>15487.19512195122</v>
      </c>
      <c r="J361" t="inlineStr">
        <is>
          <t>Нежилое помещение</t>
        </is>
      </c>
      <c r="K361" s="5" t="n">
        <v>2.9</v>
      </c>
      <c r="L361" s="4" t="n">
        <v>360.16</v>
      </c>
      <c r="M361" t="n">
        <v>5340</v>
      </c>
      <c r="N361" s="6" t="n">
        <v>41870</v>
      </c>
      <c r="O361" t="n">
        <v>43</v>
      </c>
      <c r="Q361" t="inlineStr">
        <is>
          <t>EA</t>
        </is>
      </c>
      <c r="R361" t="inlineStr">
        <is>
          <t>М</t>
        </is>
      </c>
      <c r="S361" s="2">
        <f>HYPERLINK("https://yandex.ru/maps/?&amp;text=54.851143, 38.245935", "54.851143, 38.245935")</f>
        <v/>
      </c>
      <c r="T361" s="2">
        <f>HYPERLINK("D:\venv_torgi\env\cache\objs_in_district/54.851143_38.245935.json", "54.851143_38.245935.json")</f>
        <v/>
      </c>
      <c r="U361" t="inlineStr">
        <is>
          <t>50:37:0070116:828</t>
        </is>
      </c>
      <c r="V361" t="n">
        <v>0</v>
      </c>
      <c r="Y361" t="n">
        <v>0</v>
      </c>
      <c r="AA361" t="n">
        <v>0</v>
      </c>
      <c r="AB361" t="n">
        <v>0</v>
      </c>
    </row>
    <row r="362">
      <c r="A362" s="7" t="n">
        <v>360</v>
      </c>
      <c r="B362" t="n">
        <v>50</v>
      </c>
      <c r="C362" s="1" t="n">
        <v>108</v>
      </c>
      <c r="D362" s="2">
        <f>HYPERLINK("https://torgi.gov.ru/new/public/lots/lot/21000004710000001361_1/(lotInfo:info)", "21000004710000001361_1")</f>
        <v/>
      </c>
      <c r="E362" t="inlineStr">
        <is>
          <t>Продажа нежилого помещения 108 кв.м в Дмитровском г.о.</t>
        </is>
      </c>
      <c r="F362" s="3" t="inlineStr">
        <is>
          <t>16.06.22 15:00</t>
        </is>
      </c>
      <c r="G362" t="inlineStr">
        <is>
          <t>Московская обл, г Дмитров, село Рогачево, пл Осипова, д 22, помещ 3</t>
        </is>
      </c>
      <c r="H362" s="4" t="n">
        <v>3536062.5</v>
      </c>
      <c r="I362" s="4" t="n">
        <v>32741.31944444445</v>
      </c>
      <c r="J362" t="inlineStr">
        <is>
          <t>Нежилое помещение</t>
        </is>
      </c>
      <c r="K362" s="5" t="n">
        <v>36.87</v>
      </c>
      <c r="L362" s="4" t="n">
        <v>935.46</v>
      </c>
      <c r="M362" t="n">
        <v>888</v>
      </c>
      <c r="N362" s="6" t="n">
        <v>61305</v>
      </c>
      <c r="O362" t="n">
        <v>35</v>
      </c>
      <c r="Q362" t="inlineStr">
        <is>
          <t>EA</t>
        </is>
      </c>
      <c r="R362" t="inlineStr">
        <is>
          <t>М</t>
        </is>
      </c>
      <c r="S362" s="2">
        <f>HYPERLINK("https://yandex.ru/maps/?&amp;text=56.434203, 37.159045", "56.434203, 37.159045")</f>
        <v/>
      </c>
      <c r="T362" s="2">
        <f>HYPERLINK("D:\venv_torgi\env\cache\objs_in_district/56.434203_37.159045.json", "56.434203_37.159045.json")</f>
        <v/>
      </c>
      <c r="U362" t="inlineStr">
        <is>
          <t>50:04:0080501:4733</t>
        </is>
      </c>
      <c r="V362" t="n">
        <v>0</v>
      </c>
      <c r="Y362" t="n">
        <v>0</v>
      </c>
      <c r="AA362" t="n">
        <v>0</v>
      </c>
      <c r="AB362" t="n">
        <v>0</v>
      </c>
    </row>
    <row r="363">
      <c r="A363" s="7" t="n">
        <v>361</v>
      </c>
      <c r="B363" t="n">
        <v>50</v>
      </c>
      <c r="C363" s="1" t="n">
        <v>16.6</v>
      </c>
      <c r="D363" s="2">
        <f>HYPERLINK("https://torgi.gov.ru/new/public/lots/lot/21000004710000001532_1/(lotInfo:info)", "21000004710000001532_1")</f>
        <v/>
      </c>
      <c r="E363" t="inlineStr">
        <is>
          <t>Продажа нежилого помещения 16,6 кв.м в Раменском г.о.</t>
        </is>
      </c>
      <c r="F363" s="3" t="inlineStr">
        <is>
          <t>27.06.22 15:00</t>
        </is>
      </c>
      <c r="G363" t="inlineStr">
        <is>
          <t>Московская обл, г Раменское, Донинское шоссе, д 6</t>
        </is>
      </c>
      <c r="H363" s="4" t="n">
        <v>694212</v>
      </c>
      <c r="I363" s="4" t="n">
        <v>41820</v>
      </c>
      <c r="J363" t="inlineStr">
        <is>
          <t>Нежилое помещение</t>
        </is>
      </c>
      <c r="K363" s="5" t="n">
        <v>4.49</v>
      </c>
      <c r="L363" s="4" t="n">
        <v>972.5599999999999</v>
      </c>
      <c r="M363" t="n">
        <v>9324</v>
      </c>
      <c r="N363" s="6" t="n">
        <v>96317</v>
      </c>
      <c r="O363" t="n">
        <v>43</v>
      </c>
      <c r="Q363" t="inlineStr">
        <is>
          <t>EA</t>
        </is>
      </c>
      <c r="R363" t="inlineStr">
        <is>
          <t>М</t>
        </is>
      </c>
      <c r="S363" s="2">
        <f>HYPERLINK("https://yandex.ru/maps/?&amp;text=55.577638, 38.24289", "55.577638, 38.24289")</f>
        <v/>
      </c>
      <c r="T363" s="2">
        <f>HYPERLINK("D:\venv_torgi\env\cache\objs_in_district/55.577638_38.24289.json", "55.577638_38.24289.json")</f>
        <v/>
      </c>
      <c r="U363" t="inlineStr">
        <is>
          <t>50:23:0000000:101055</t>
        </is>
      </c>
      <c r="V363" t="n">
        <v>1</v>
      </c>
      <c r="Y363" t="n">
        <v>0</v>
      </c>
      <c r="AA363" t="n">
        <v>0</v>
      </c>
      <c r="AB363" t="n">
        <v>0</v>
      </c>
    </row>
    <row r="364">
      <c r="A364" s="7" t="n">
        <v>362</v>
      </c>
      <c r="B364" t="n">
        <v>50</v>
      </c>
      <c r="C364" s="1" t="n">
        <v>18.3</v>
      </c>
      <c r="D364" s="2">
        <f>HYPERLINK("https://torgi.gov.ru/new/public/lots/lot/21000004710000001428_1/(lotInfo:info)", "21000004710000001428_1")</f>
        <v/>
      </c>
      <c r="E364" t="inlineStr">
        <is>
          <t>Продажа нежилого помещения (машино-место) 18,3 кв.м в г.о. Реутов</t>
        </is>
      </c>
      <c r="F364" s="3" t="inlineStr">
        <is>
          <t>16.06.22 15:00</t>
        </is>
      </c>
      <c r="G364" t="inlineStr">
        <is>
          <t>Московская обл, г Реутов, ул Октября, д 32</t>
        </is>
      </c>
      <c r="H364" s="4" t="n">
        <v>832000</v>
      </c>
      <c r="I364" s="4" t="n">
        <v>45464.48087431694</v>
      </c>
      <c r="J364" t="inlineStr">
        <is>
          <t>Нежилое помещение</t>
        </is>
      </c>
      <c r="K364" s="5" t="n">
        <v>4.13</v>
      </c>
      <c r="L364" s="4" t="n">
        <v>454.64</v>
      </c>
      <c r="M364" t="n">
        <v>11004</v>
      </c>
      <c r="N364" s="6" t="n">
        <v>87314</v>
      </c>
      <c r="O364" t="n">
        <v>100</v>
      </c>
      <c r="Q364" t="inlineStr">
        <is>
          <t>EA</t>
        </is>
      </c>
      <c r="R364" t="inlineStr">
        <is>
          <t>М</t>
        </is>
      </c>
      <c r="S364" s="2">
        <f>HYPERLINK("https://yandex.ru/maps/?&amp;text=55.753895, 37.874084", "55.753895, 37.874084")</f>
        <v/>
      </c>
      <c r="T364" s="2">
        <f>HYPERLINK("D:\venv_torgi\env\cache\objs_in_district/55.753895_37.874084.json", "55.753895_37.874084.json")</f>
        <v/>
      </c>
      <c r="U364" t="inlineStr">
        <is>
          <t>50:48:0030203:5536</t>
        </is>
      </c>
      <c r="V364" t="n">
        <v>0</v>
      </c>
      <c r="Y364" t="n">
        <v>0</v>
      </c>
      <c r="AA364" t="n">
        <v>0</v>
      </c>
      <c r="AB364" t="n">
        <v>0</v>
      </c>
    </row>
    <row r="365">
      <c r="A365" s="7" t="n">
        <v>363</v>
      </c>
      <c r="B365" t="n">
        <v>50</v>
      </c>
      <c r="C365" s="1" t="n">
        <v>13.6</v>
      </c>
      <c r="D365" s="2">
        <f>HYPERLINK("https://torgi.gov.ru/new/public/lots/lot/21000004710000001340_1/(lotInfo:info)", "21000004710000001340_1")</f>
        <v/>
      </c>
      <c r="E365" t="inlineStr">
        <is>
          <t>Продажа нежилого помещения (машино-место) 13,6 кв.м в г.о. Подольск</t>
        </is>
      </c>
      <c r="F365" s="3" t="inlineStr">
        <is>
          <t>17.06.22 15:00</t>
        </is>
      </c>
      <c r="G365" t="inlineStr">
        <is>
          <t>Российская Федерация, Московская область, городской округ Подольск, город Подольск, улица Рабочая, дом 4, машино-место 150</t>
        </is>
      </c>
      <c r="H365" s="4" t="n">
        <v>632646</v>
      </c>
      <c r="I365" s="4" t="n">
        <v>46518.08823529412</v>
      </c>
      <c r="J365" t="inlineStr">
        <is>
          <t>Нежилое помещение</t>
        </is>
      </c>
      <c r="Q365" t="inlineStr">
        <is>
          <t>EA</t>
        </is>
      </c>
      <c r="R365" t="inlineStr">
        <is>
          <t>М</t>
        </is>
      </c>
      <c r="U365" t="inlineStr">
        <is>
          <t>50:55:0030321:678</t>
        </is>
      </c>
      <c r="V365" t="n">
        <v>0</v>
      </c>
      <c r="Y365" t="n">
        <v>0</v>
      </c>
      <c r="AA365" t="n">
        <v>0</v>
      </c>
      <c r="AB365" t="n">
        <v>0</v>
      </c>
    </row>
    <row r="366">
      <c r="A366" s="7" t="n">
        <v>364</v>
      </c>
      <c r="B366" t="n">
        <v>50</v>
      </c>
      <c r="C366" s="1" t="n">
        <v>46.3</v>
      </c>
      <c r="D366" s="2">
        <f>HYPERLINK("https://torgi.gov.ru/new/public/lots/lot/21000004710000000452_1/(lotInfo:info)", "21000004710000000452_1")</f>
        <v/>
      </c>
      <c r="E366" t="inlineStr">
        <is>
          <t>Продажа нежилого помещения 46,3 кв.м. в Рузском г.о.</t>
        </is>
      </c>
      <c r="F366" s="3" t="inlineStr">
        <is>
          <t>04.04.22 15:00</t>
        </is>
      </c>
      <c r="G366" t="inlineStr">
        <is>
          <t>Московская обл, г Руза, поселок Дорохово, ул Красная, д 1</t>
        </is>
      </c>
      <c r="H366" s="4" t="n">
        <v>2171470</v>
      </c>
      <c r="I366" s="4" t="n">
        <v>46900</v>
      </c>
      <c r="J366" t="inlineStr">
        <is>
          <t>Нежилое помещение</t>
        </is>
      </c>
      <c r="K366" s="5" t="n">
        <v>142.99</v>
      </c>
      <c r="L366" s="4" t="n">
        <v>1617.24</v>
      </c>
      <c r="M366" t="n">
        <v>328</v>
      </c>
      <c r="N366" s="6" t="n">
        <v>13495</v>
      </c>
      <c r="O366" t="n">
        <v>29</v>
      </c>
      <c r="Q366" t="inlineStr">
        <is>
          <t>EA</t>
        </is>
      </c>
      <c r="R366" t="inlineStr">
        <is>
          <t>М</t>
        </is>
      </c>
      <c r="S366" s="2">
        <f>HYPERLINK("https://yandex.ru/maps/?&amp;text=55.548197, 36.371088", "55.548197, 36.371088")</f>
        <v/>
      </c>
      <c r="T366" s="2">
        <f>HYPERLINK("D:\venv_torgi\env\cache\objs_in_district/55.548197_36.371088.json", "55.548197_36.371088.json")</f>
        <v/>
      </c>
      <c r="U366" t="inlineStr">
        <is>
          <t xml:space="preserve">50:19:0010203:1730 </t>
        </is>
      </c>
      <c r="V366" t="n">
        <v>1</v>
      </c>
      <c r="Y366" t="n">
        <v>0</v>
      </c>
      <c r="AA366" t="n">
        <v>0</v>
      </c>
      <c r="AB366" t="n">
        <v>0</v>
      </c>
    </row>
    <row r="367">
      <c r="A367" s="7" t="n">
        <v>365</v>
      </c>
      <c r="B367" t="n">
        <v>50</v>
      </c>
      <c r="C367" s="1" t="n">
        <v>20.5</v>
      </c>
      <c r="D367" s="2">
        <f>HYPERLINK("https://torgi.gov.ru/new/public/lots/lot/21000004710000001891_1/(lotInfo:info)", "21000004710000001891_1")</f>
        <v/>
      </c>
      <c r="E367" t="inlineStr">
        <is>
          <t>Продажа нежилого помещения 20,5 кв.м в Богородском г.о.</t>
        </is>
      </c>
      <c r="F367" s="3" t="inlineStr">
        <is>
          <t>26.08.22 15:00</t>
        </is>
      </c>
      <c r="G367" t="inlineStr">
        <is>
          <t>Московская обл, г Ногинск, ул Декабристов, д 110</t>
        </is>
      </c>
      <c r="H367" s="4" t="n">
        <v>1218000</v>
      </c>
      <c r="I367" s="4" t="n">
        <v>59414.63414634146</v>
      </c>
      <c r="J367" t="inlineStr">
        <is>
          <t>Нежилое помещение</t>
        </is>
      </c>
      <c r="K367" s="5" t="n">
        <v>22.33</v>
      </c>
      <c r="L367" s="4" t="n">
        <v>3713.38</v>
      </c>
      <c r="M367" t="n">
        <v>2661</v>
      </c>
      <c r="N367" s="6" t="n">
        <v>100072</v>
      </c>
      <c r="O367" t="n">
        <v>16</v>
      </c>
      <c r="Q367" t="inlineStr">
        <is>
          <t>EA</t>
        </is>
      </c>
      <c r="R367" t="inlineStr">
        <is>
          <t>М</t>
        </is>
      </c>
      <c r="S367" s="2">
        <f>HYPERLINK("https://yandex.ru/maps/?&amp;text=55.878666, 38.43054", "55.878666, 38.43054")</f>
        <v/>
      </c>
      <c r="T367" s="2">
        <f>HYPERLINK("D:\venv_torgi\env\cache\objs_in_district/55.878666_38.43054.json", "55.878666_38.43054.json")</f>
        <v/>
      </c>
      <c r="U367" t="inlineStr">
        <is>
          <t>50:16:0000000:67459</t>
        </is>
      </c>
      <c r="V367" t="n">
        <v>0</v>
      </c>
      <c r="Y367" t="n">
        <v>0</v>
      </c>
      <c r="AA367" t="n">
        <v>0</v>
      </c>
      <c r="AB367" t="n">
        <v>0</v>
      </c>
    </row>
    <row r="368">
      <c r="A368" s="7" t="n">
        <v>366</v>
      </c>
      <c r="B368" t="n">
        <v>50</v>
      </c>
      <c r="C368" s="1" t="n">
        <v>78.5</v>
      </c>
      <c r="D368" s="2">
        <f>HYPERLINK("https://torgi.gov.ru/new/public/lots/lot/21000004710000000454_1/(lotInfo:info)", "21000004710000000454_1")</f>
        <v/>
      </c>
      <c r="E368" t="inlineStr">
        <is>
          <t>Продажа нежилого помещения 78,5 кв.м в г.о. Подольск</t>
        </is>
      </c>
      <c r="F368" s="3" t="inlineStr">
        <is>
          <t>19.05.22 15:00</t>
        </is>
      </c>
      <c r="G368" t="inlineStr">
        <is>
          <t>Московская обл, г Подольск, мкр Климовск, ул Железнодорожная, д 3</t>
        </is>
      </c>
      <c r="H368" s="4" t="n">
        <v>5447880</v>
      </c>
      <c r="I368" s="4" t="n">
        <v>69399.74522292994</v>
      </c>
      <c r="J368" t="inlineStr">
        <is>
          <t>Нежилое помещение</t>
        </is>
      </c>
      <c r="K368" s="5" t="n">
        <v>16.37</v>
      </c>
      <c r="L368" s="4" t="n">
        <v>2103</v>
      </c>
      <c r="M368" t="n">
        <v>4239</v>
      </c>
      <c r="N368" s="6" t="n">
        <v>279085</v>
      </c>
      <c r="O368" t="n">
        <v>33</v>
      </c>
      <c r="Q368" t="inlineStr">
        <is>
          <t>EA</t>
        </is>
      </c>
      <c r="R368" t="inlineStr">
        <is>
          <t>М</t>
        </is>
      </c>
      <c r="S368" s="2">
        <f>HYPERLINK("https://yandex.ru/maps/?&amp;text=55.35637, 37.525163", "55.35637, 37.525163")</f>
        <v/>
      </c>
      <c r="T368" s="2">
        <f>HYPERLINK("D:\venv_torgi\env\cache\objs_in_district/55.35637_37.525163.json", "55.35637_37.525163.json")</f>
        <v/>
      </c>
      <c r="U368" t="inlineStr">
        <is>
          <t>50:56:0000000:7959</t>
        </is>
      </c>
      <c r="V368" t="n">
        <v>1</v>
      </c>
      <c r="Y368" t="n">
        <v>0</v>
      </c>
      <c r="AA368" t="n">
        <v>0</v>
      </c>
      <c r="AB368" t="n">
        <v>0</v>
      </c>
    </row>
    <row r="369">
      <c r="A369" s="7" t="n">
        <v>367</v>
      </c>
      <c r="B369" t="n">
        <v>50</v>
      </c>
      <c r="C369" s="1" t="n">
        <v>18.2</v>
      </c>
      <c r="D369" s="2">
        <f>HYPERLINK("https://torgi.gov.ru/new/public/lots/lot/21000004710000000239_1/(lotInfo:info)", "21000004710000000239_1")</f>
        <v/>
      </c>
      <c r="E369" t="inlineStr">
        <is>
          <t>Продажа нежилого помещения 18,2 кв.м в г.о. Королёв</t>
        </is>
      </c>
      <c r="F369" s="3" t="inlineStr">
        <is>
          <t>06.06.22 15:00</t>
        </is>
      </c>
      <c r="G369" t="inlineStr">
        <is>
          <t>Московская область, г. Королев, ул. Первомайская, 7а, блок 1</t>
        </is>
      </c>
      <c r="H369" s="4" t="n">
        <v>1562542</v>
      </c>
      <c r="I369" s="4" t="n">
        <v>85853.95604395604</v>
      </c>
      <c r="J369" t="inlineStr">
        <is>
          <t>Нежилое помещение</t>
        </is>
      </c>
      <c r="K369" s="5" t="n">
        <v>26.86</v>
      </c>
      <c r="L369" s="4" t="n">
        <v>9539.219999999999</v>
      </c>
      <c r="M369" t="n">
        <v>3196</v>
      </c>
      <c r="N369" s="6" t="n">
        <v>216639</v>
      </c>
      <c r="O369" t="n">
        <v>9</v>
      </c>
      <c r="Q369" t="inlineStr">
        <is>
          <t>EA</t>
        </is>
      </c>
      <c r="R369" t="inlineStr">
        <is>
          <t>М</t>
        </is>
      </c>
      <c r="S369" s="2">
        <f>HYPERLINK("https://yandex.ru/maps/?&amp;text=55.928658, 37.800766", "55.928658, 37.800766")</f>
        <v/>
      </c>
      <c r="T369" s="2">
        <f>HYPERLINK("D:\venv_torgi\env\cache\objs_in_district/55.928658_37.800766.json", "55.928658_37.800766.json")</f>
        <v/>
      </c>
      <c r="U369" t="inlineStr">
        <is>
          <t>50:45:0040202:88</t>
        </is>
      </c>
      <c r="V369" t="n">
        <v>1</v>
      </c>
      <c r="Y369" t="n">
        <v>0</v>
      </c>
      <c r="AA369" t="n">
        <v>0</v>
      </c>
      <c r="AB369" t="n">
        <v>0</v>
      </c>
    </row>
    <row r="370">
      <c r="A370" s="7" t="n">
        <v>368</v>
      </c>
      <c r="B370" t="n">
        <v>50</v>
      </c>
      <c r="C370" s="1" t="n">
        <v>39.5</v>
      </c>
      <c r="D370" s="2">
        <f>HYPERLINK("https://torgi.gov.ru/new/public/lots/lot/21000004710000000472_1/(lotInfo:info)", "21000004710000000472_1")</f>
        <v/>
      </c>
      <c r="E370" t="inlineStr">
        <is>
          <t>Продажа нежилого помещения 39,5 кв.м в г.о. Королёв</t>
        </is>
      </c>
      <c r="F370" s="3" t="inlineStr">
        <is>
          <t>12.04.22 15:00</t>
        </is>
      </c>
      <c r="G370" t="inlineStr">
        <is>
          <t>Московская обл, г Королёв, мкр Юбилейный, ул М.К.Тихонравова, д 42, помещ 01</t>
        </is>
      </c>
      <c r="H370" s="4" t="n">
        <v>3562574</v>
      </c>
      <c r="I370" s="4" t="n">
        <v>90191.74683544303</v>
      </c>
      <c r="J370" t="inlineStr">
        <is>
          <t>Нежилое помещение</t>
        </is>
      </c>
      <c r="K370" s="5" t="n">
        <v>16.2</v>
      </c>
      <c r="L370" s="4" t="n">
        <v>10021.22</v>
      </c>
      <c r="M370" t="n">
        <v>5567</v>
      </c>
      <c r="N370" s="6" t="n">
        <v>216639</v>
      </c>
      <c r="O370" t="n">
        <v>9</v>
      </c>
      <c r="Q370" t="inlineStr">
        <is>
          <t>EA</t>
        </is>
      </c>
      <c r="R370" t="inlineStr">
        <is>
          <t>М</t>
        </is>
      </c>
      <c r="S370" s="2">
        <f>HYPERLINK("https://yandex.ru/maps/?&amp;text=55.937003, 37.852572", "55.937003, 37.852572")</f>
        <v/>
      </c>
      <c r="T370" s="2">
        <f>HYPERLINK("D:\venv_torgi\env\cache\objs_in_district/55.937003_37.852572.json", "55.937003_37.852572.json")</f>
        <v/>
      </c>
      <c r="U370" t="inlineStr">
        <is>
          <t>50:45:0000000:46556</t>
        </is>
      </c>
      <c r="V370" t="n">
        <v>1</v>
      </c>
      <c r="Y370" t="n">
        <v>0</v>
      </c>
      <c r="AA370" t="n">
        <v>0</v>
      </c>
      <c r="AB370" t="n">
        <v>0</v>
      </c>
    </row>
    <row r="371">
      <c r="A371" s="7" t="n">
        <v>369</v>
      </c>
      <c r="B371" t="n">
        <v>50</v>
      </c>
      <c r="C371" s="1" t="n">
        <v>13.7</v>
      </c>
      <c r="D371" s="2">
        <f>HYPERLINK("https://torgi.gov.ru/new/public/lots/lot/21000004710000001028_1/(lotInfo:info)", "21000004710000001028_1")</f>
        <v/>
      </c>
      <c r="E371" t="inlineStr">
        <is>
          <t>Продажа нежилого помещения 13,7 кв.м в г.о. Королев</t>
        </is>
      </c>
      <c r="F371" s="3" t="inlineStr">
        <is>
          <t>20.05.22 15:00</t>
        </is>
      </c>
      <c r="G371" t="inlineStr">
        <is>
          <t>Московская обл, г Королёв, пр-кт Королева, д 28</t>
        </is>
      </c>
      <c r="H371" s="4" t="n">
        <v>1371016</v>
      </c>
      <c r="I371" s="4" t="n">
        <v>100074.1605839416</v>
      </c>
      <c r="J371" t="inlineStr">
        <is>
          <t>Нежилое помещение</t>
        </is>
      </c>
      <c r="K371" s="5" t="n">
        <v>12.69</v>
      </c>
      <c r="L371" s="4" t="n">
        <v>2440.83</v>
      </c>
      <c r="M371" t="n">
        <v>7887</v>
      </c>
      <c r="N371" s="6" t="n">
        <v>216639</v>
      </c>
      <c r="O371" t="n">
        <v>41</v>
      </c>
      <c r="Q371" t="inlineStr">
        <is>
          <t>EA</t>
        </is>
      </c>
      <c r="R371" t="inlineStr">
        <is>
          <t>М</t>
        </is>
      </c>
      <c r="S371" s="2">
        <f>HYPERLINK("https://yandex.ru/maps/?&amp;text=55.923096, 37.85644", "55.923096, 37.85644")</f>
        <v/>
      </c>
      <c r="T371" s="2">
        <f>HYPERLINK("D:\venv_torgi\env\cache\objs_in_district/55.923096_37.85644.json", "55.923096_37.85644.json")</f>
        <v/>
      </c>
      <c r="U371" t="inlineStr">
        <is>
          <t>50:45:0040802:363</t>
        </is>
      </c>
      <c r="V371" t="n">
        <v>1</v>
      </c>
      <c r="Y371" t="n">
        <v>0</v>
      </c>
      <c r="AA371" t="n">
        <v>0</v>
      </c>
      <c r="AB371" t="n">
        <v>0</v>
      </c>
    </row>
    <row r="372">
      <c r="A372" s="7" t="n">
        <v>370</v>
      </c>
      <c r="B372" t="n">
        <v>50</v>
      </c>
      <c r="C372" s="1" t="n">
        <v>45.7</v>
      </c>
      <c r="D372" s="2">
        <f>HYPERLINK("https://torgi.gov.ru/new/public/lots/lot/21000004710000000512_1/(lotInfo:info)", "21000004710000000512_1")</f>
        <v/>
      </c>
      <c r="E372" t="inlineStr">
        <is>
          <t>Продажа нежилого помещения 45,7 кв.м в г.о Реутов</t>
        </is>
      </c>
      <c r="F372" s="3" t="inlineStr">
        <is>
          <t>14.04.22 15:00</t>
        </is>
      </c>
      <c r="G372" t="inlineStr">
        <is>
          <t>Московская обл, г Реутов, ул Гагарина, д 11, помещ 34</t>
        </is>
      </c>
      <c r="H372" s="4" t="n">
        <v>5296060</v>
      </c>
      <c r="I372" s="4" t="n">
        <v>115887.5273522976</v>
      </c>
      <c r="J372" t="inlineStr">
        <is>
          <t>Нежилое помещение</t>
        </is>
      </c>
      <c r="K372" s="5" t="n">
        <v>14.13</v>
      </c>
      <c r="L372" s="4" t="n">
        <v>927.1</v>
      </c>
      <c r="M372" t="n">
        <v>8201</v>
      </c>
      <c r="N372" s="6" t="n">
        <v>87314</v>
      </c>
      <c r="O372" t="n">
        <v>125</v>
      </c>
      <c r="Q372" t="inlineStr">
        <is>
          <t>EA</t>
        </is>
      </c>
      <c r="R372" t="inlineStr">
        <is>
          <t>М</t>
        </is>
      </c>
      <c r="S372" s="2">
        <f>HYPERLINK("https://yandex.ru/maps/?&amp;text=55.76424, 37.85888", "55.76424, 37.85888")</f>
        <v/>
      </c>
      <c r="T372" s="2">
        <f>HYPERLINK("D:\venv_torgi\env\cache\objs_in_district/55.76424_37.85888.json", "55.76424_37.85888.json")</f>
        <v/>
      </c>
      <c r="U372" t="inlineStr">
        <is>
          <t>50:48:0000000:23453</t>
        </is>
      </c>
      <c r="V372" t="n">
        <v>1</v>
      </c>
      <c r="Y372" t="n">
        <v>0</v>
      </c>
      <c r="AA372" t="n">
        <v>0</v>
      </c>
      <c r="AB372" t="n">
        <v>0</v>
      </c>
    </row>
    <row r="373">
      <c r="A373" s="7" t="n">
        <v>371</v>
      </c>
      <c r="B373" t="n">
        <v>50</v>
      </c>
      <c r="C373" s="1" t="n">
        <v>20.8</v>
      </c>
      <c r="D373" s="2">
        <f>HYPERLINK("https://torgi.gov.ru/new/public/lots/lot/21000004710000000453_1/(lotInfo:info)", "21000004710000000453_1")</f>
        <v/>
      </c>
      <c r="E373" t="inlineStr">
        <is>
          <t>Продажа нежилого помещения 20,8 кв.м в г.о. Подольск</t>
        </is>
      </c>
      <c r="F373" s="3" t="inlineStr">
        <is>
          <t>19.05.22 15:00</t>
        </is>
      </c>
      <c r="G373" t="inlineStr">
        <is>
          <t>Московская обл, г Подольск, мкр Климовск, Октябрьская пл, д 2а</t>
        </is>
      </c>
      <c r="H373" s="4" t="n">
        <v>2608278</v>
      </c>
      <c r="I373" s="4" t="n">
        <v>125397.9807692308</v>
      </c>
      <c r="J373" t="inlineStr">
        <is>
          <t>Нежилое помещение</t>
        </is>
      </c>
      <c r="K373" s="5" t="n">
        <v>16.4</v>
      </c>
      <c r="L373" s="4" t="n">
        <v>995.21</v>
      </c>
      <c r="M373" t="n">
        <v>7647</v>
      </c>
      <c r="N373" s="6" t="n">
        <v>279085</v>
      </c>
      <c r="O373" t="n">
        <v>126</v>
      </c>
      <c r="Q373" t="inlineStr">
        <is>
          <t>EA</t>
        </is>
      </c>
      <c r="R373" t="inlineStr">
        <is>
          <t>М</t>
        </is>
      </c>
      <c r="S373" s="2">
        <f>HYPERLINK("https://yandex.ru/maps/?&amp;text=55.375521, 37.537658", "55.375521, 37.537658")</f>
        <v/>
      </c>
      <c r="T373" s="2">
        <f>HYPERLINK("D:\venv_torgi\env\cache\objs_in_district/55.375521_37.537658.json", "55.375521_37.537658.json")</f>
        <v/>
      </c>
      <c r="U373" t="inlineStr">
        <is>
          <t>50:56:0000000:8053</t>
        </is>
      </c>
      <c r="V373" t="n">
        <v>1</v>
      </c>
      <c r="Y373" t="n">
        <v>0</v>
      </c>
      <c r="AA373" t="n">
        <v>0</v>
      </c>
      <c r="AB373" t="n">
        <v>0</v>
      </c>
    </row>
    <row r="374">
      <c r="A374" s="7" t="n">
        <v>372</v>
      </c>
      <c r="B374" t="n">
        <v>50</v>
      </c>
      <c r="C374" s="1" t="n">
        <v>14.8</v>
      </c>
      <c r="D374" s="2">
        <f>HYPERLINK("https://torgi.gov.ru/new/public/lots/lot/21000002210000000160_1/(lotInfo:info)", "21000002210000000160_1")</f>
        <v/>
      </c>
      <c r="E374" t="inlineStr">
        <is>
          <t>Нежилое помещение, назначение: нежилое помещение, площадью 14,8 кв.м., кадастровый номер: 50:11:0020410:2295, номер, тип этажа, на котором расположено помещение, машино-место: Этаж № 1, расположенное по адресу: Московская область, Красногорский район, дер. Путилково, ул. Братцевская, д. 12 пом. XVI (ком. 7).</t>
        </is>
      </c>
      <c r="F374" s="3" t="inlineStr">
        <is>
          <t>18.03.22 14:00</t>
        </is>
      </c>
      <c r="G374" t="inlineStr">
        <is>
          <t>Московская область, Красногорский район, дер. Путилково, ул. Братцевская, д. 12 пом. XVI (ком. 7)</t>
        </is>
      </c>
      <c r="H374" s="4" t="n">
        <v>3110452.7</v>
      </c>
      <c r="I374" s="4" t="n">
        <v>210165.722972973</v>
      </c>
      <c r="J374" t="inlineStr">
        <is>
          <t>Нежилое помещение</t>
        </is>
      </c>
      <c r="Q374" t="inlineStr">
        <is>
          <t>EA</t>
        </is>
      </c>
      <c r="R374" t="inlineStr">
        <is>
          <t>М</t>
        </is>
      </c>
      <c r="U374" t="inlineStr">
        <is>
          <t xml:space="preserve">50:11:0020410:2295, </t>
        </is>
      </c>
      <c r="V374" t="n">
        <v>1</v>
      </c>
      <c r="Y374" t="n">
        <v>0</v>
      </c>
      <c r="AA374" t="n">
        <v>0</v>
      </c>
      <c r="AB374" t="n">
        <v>0</v>
      </c>
    </row>
    <row r="375">
      <c r="A375" s="7" t="n">
        <v>373</v>
      </c>
      <c r="B375" t="n">
        <v>51</v>
      </c>
      <c r="C375" s="1" t="n">
        <v>387.9</v>
      </c>
      <c r="D375" s="2">
        <f>HYPERLINK("https://torgi.gov.ru/new/public/lots/lot/22000023110000000005_1/(lotInfo:info)", "22000023110000000005_1")</f>
        <v/>
      </c>
      <c r="E375" t="inlineStr">
        <is>
          <t>нежилое помещение, общая площадь 387,9 кв.м, кадастровый номер 51:01:0203003:808, этаж 01, номер на поэтажном плане I,II,V,VI расположенное по адресу: Мурманская область, Кольский район, п.г.т. Мурмаши, ул.Тягунова, д.4</t>
        </is>
      </c>
      <c r="F375" s="3" t="inlineStr">
        <is>
          <t>29.07.22 20:59</t>
        </is>
      </c>
      <c r="G375" t="inlineStr">
        <is>
          <t>Мурманская обл, п.г.т. Мурмаши, ул. Тягунова, д. 4</t>
        </is>
      </c>
      <c r="H375" s="4" t="n">
        <v>1346000</v>
      </c>
      <c r="I375" s="4" t="n">
        <v>3469.966486207786</v>
      </c>
      <c r="J375" t="inlineStr">
        <is>
          <t>Нежилое помещение</t>
        </is>
      </c>
      <c r="K375" s="5" t="n">
        <v>2.55</v>
      </c>
      <c r="L375" s="4" t="n">
        <v>578.17</v>
      </c>
      <c r="M375" t="n">
        <v>1359</v>
      </c>
      <c r="N375" s="6" t="n">
        <v>11184</v>
      </c>
      <c r="O375" t="n">
        <v>6</v>
      </c>
      <c r="Q375" t="inlineStr">
        <is>
          <t>EA</t>
        </is>
      </c>
      <c r="R375" t="inlineStr">
        <is>
          <t>М</t>
        </is>
      </c>
      <c r="S375" s="2">
        <f>HYPERLINK("https://yandex.ru/maps/?&amp;text=68.812079, 32.786397", "68.812079, 32.786397")</f>
        <v/>
      </c>
      <c r="T375" s="2">
        <f>HYPERLINK("D:\venv_torgi\env\cache\objs_in_district/68.812079_32.786397.json", "68.812079_32.786397.json")</f>
        <v/>
      </c>
      <c r="U375" t="inlineStr">
        <is>
          <t xml:space="preserve">51:01:0203003:808, </t>
        </is>
      </c>
      <c r="V375" t="n">
        <v>1</v>
      </c>
      <c r="Y375" t="n">
        <v>0</v>
      </c>
      <c r="AA375" t="n">
        <v>0</v>
      </c>
      <c r="AB375" t="n">
        <v>0</v>
      </c>
    </row>
    <row r="376">
      <c r="A376" s="7" t="n">
        <v>374</v>
      </c>
      <c r="B376" t="n">
        <v>51</v>
      </c>
      <c r="C376" s="1" t="n">
        <v>642.6</v>
      </c>
      <c r="D376" s="2">
        <f>HYPERLINK("https://torgi.gov.ru/new/public/lots/lot/22000011690000000016_3/(lotInfo:info)", "22000011690000000016_3")</f>
        <v/>
      </c>
      <c r="E376" t="inlineStr">
        <is>
          <t>помещение, назначение: нежилое, кадастровый номер 51:16:0010102:595, площадью 642,6 кв.м., этаж: цокольный, номера на поэтажном плане I(1-15), II(1-20), расположенное по адресу: Мурманская обл., г. Кировск, ул. Кирова д. 3</t>
        </is>
      </c>
      <c r="F376" s="3" t="inlineStr">
        <is>
          <t>19.06.22 14:00</t>
        </is>
      </c>
      <c r="G376" t="inlineStr">
        <is>
          <t>Мурманская обл, г Кировск, ул Кирова, д 3</t>
        </is>
      </c>
      <c r="H376" s="4" t="n">
        <v>3200000</v>
      </c>
      <c r="I376" s="4" t="n">
        <v>4979.769685652039</v>
      </c>
      <c r="J376" t="inlineStr">
        <is>
          <t>Нежилое помещение</t>
        </is>
      </c>
      <c r="K376" s="5" t="n">
        <v>2.23</v>
      </c>
      <c r="L376" s="4" t="n">
        <v>452.64</v>
      </c>
      <c r="M376" t="n">
        <v>2229</v>
      </c>
      <c r="N376" s="6" t="n">
        <v>57833</v>
      </c>
      <c r="O376" t="n">
        <v>11</v>
      </c>
      <c r="Q376" t="inlineStr">
        <is>
          <t>EA</t>
        </is>
      </c>
      <c r="R376" t="inlineStr">
        <is>
          <t>М</t>
        </is>
      </c>
      <c r="S376" s="2">
        <f>HYPERLINK("https://yandex.ru/maps/?&amp;text=67.661255, 33.721024", "67.661255, 33.721024")</f>
        <v/>
      </c>
      <c r="T376" s="2">
        <f>HYPERLINK("D:\venv_torgi\env\cache\objs_in_district/67.661255_33.721024.json", "67.661255_33.721024.json")</f>
        <v/>
      </c>
      <c r="U376" t="inlineStr">
        <is>
          <t xml:space="preserve">51:16:0010102:595, </t>
        </is>
      </c>
      <c r="V376" t="n">
        <v>0</v>
      </c>
      <c r="Y376" t="n">
        <v>0</v>
      </c>
      <c r="AA376" t="n">
        <v>0</v>
      </c>
      <c r="AB376" t="n">
        <v>0</v>
      </c>
    </row>
    <row r="377">
      <c r="A377" s="7" t="n">
        <v>375</v>
      </c>
      <c r="B377" t="n">
        <v>51</v>
      </c>
      <c r="C377" s="1" t="n">
        <v>28.7</v>
      </c>
      <c r="D377" s="2">
        <f>HYPERLINK("https://torgi.gov.ru/new/public/lots/lot/21000029060000000002_1/(lotInfo:info)", "21000029060000000002_1")</f>
        <v/>
      </c>
      <c r="E377" t="inlineStr">
        <is>
          <t>Нежилое помещение, назначение: нежилое, этаж 1. Адрес местонахождения: Мурманская область, муниципальный район Кольский, с.п. Пушной, н.п. Мокрая Кица, дом 11, помещение 2, общая площадь 28,7 кв.м., кадастровый номер объекта 51:01:0000000:8819</t>
        </is>
      </c>
      <c r="F377" s="3" t="inlineStr">
        <is>
          <t>31.03.22 20:00</t>
        </is>
      </c>
      <c r="G377" t="inlineStr">
        <is>
          <t>Мурманская обл, Кольский р-н, нп Мокрая Кица, д 11</t>
        </is>
      </c>
      <c r="H377" s="4" t="n">
        <v>205200</v>
      </c>
      <c r="I377" s="4" t="n">
        <v>7149.825783972125</v>
      </c>
      <c r="J377" t="inlineStr">
        <is>
          <t>Нежилое помещение</t>
        </is>
      </c>
      <c r="K377" s="5" t="n">
        <v>7149</v>
      </c>
      <c r="L377" s="4" t="inlineStr"/>
      <c r="M377" t="n">
        <v>1</v>
      </c>
      <c r="O377" t="inlineStr"/>
      <c r="Q377" t="inlineStr">
        <is>
          <t>EA</t>
        </is>
      </c>
      <c r="R377" t="inlineStr">
        <is>
          <t>М</t>
        </is>
      </c>
      <c r="S377" s="2">
        <f>HYPERLINK("https://yandex.ru/maps/?&amp;text=68.635635, 33.297853", "68.635635, 33.297853")</f>
        <v/>
      </c>
      <c r="T377" s="8">
        <f>HYPERLINK("D:\venv_torgi\env\cache\objs_in_district/68.635635_33.297853.json", "68.635635_33.297853.json")</f>
        <v/>
      </c>
      <c r="U377" t="inlineStr">
        <is>
          <t>51:01:0000000:8819</t>
        </is>
      </c>
      <c r="V377" t="n">
        <v>1</v>
      </c>
      <c r="Y377" t="n">
        <v>0</v>
      </c>
      <c r="AA377" t="n">
        <v>0</v>
      </c>
      <c r="AB377" t="n">
        <v>0</v>
      </c>
    </row>
    <row r="378">
      <c r="A378" s="7" t="n">
        <v>376</v>
      </c>
      <c r="B378" t="n">
        <v>51</v>
      </c>
      <c r="C378" s="1" t="n">
        <v>20.6</v>
      </c>
      <c r="D378" s="2">
        <f>HYPERLINK("https://torgi.gov.ru/new/public/lots/lot/21000029060000000002_2/(lotInfo:info)", "21000029060000000002_2")</f>
        <v/>
      </c>
      <c r="E378" t="inlineStr">
        <is>
          <t>Нежилое помещение, назначение: нежилое, этаж 1. Адрес местонахождения: Мурманская область, муниципальный район Кольский, с.п. Пушной, н.п. Мокрая Кица, дом 11, помещение 3, общая площадь 20,6 кв.м., кадастровый номер объекта 51:01:0000000:8820</t>
        </is>
      </c>
      <c r="F378" s="3" t="inlineStr">
        <is>
          <t>31.03.22 20:00</t>
        </is>
      </c>
      <c r="G378" t="inlineStr">
        <is>
          <t>Мурманская обл, Кольский р-н, нп Мокрая Кица, д 11</t>
        </is>
      </c>
      <c r="H378" s="4" t="n">
        <v>147600</v>
      </c>
      <c r="I378" s="4" t="n">
        <v>7165.04854368932</v>
      </c>
      <c r="J378" t="inlineStr">
        <is>
          <t>Нежилое помещение</t>
        </is>
      </c>
      <c r="K378" s="5" t="n">
        <v>7165</v>
      </c>
      <c r="L378" s="4" t="inlineStr"/>
      <c r="M378" t="n">
        <v>1</v>
      </c>
      <c r="O378" t="inlineStr"/>
      <c r="Q378" t="inlineStr">
        <is>
          <t>EA</t>
        </is>
      </c>
      <c r="R378" t="inlineStr">
        <is>
          <t>М</t>
        </is>
      </c>
      <c r="S378" s="2">
        <f>HYPERLINK("https://yandex.ru/maps/?&amp;text=68.635635, 33.297853", "68.635635, 33.297853")</f>
        <v/>
      </c>
      <c r="T378" s="8">
        <f>HYPERLINK("D:\venv_torgi\env\cache\objs_in_district/68.635635_33.297853.json", "68.635635_33.297853.json")</f>
        <v/>
      </c>
      <c r="U378" t="inlineStr">
        <is>
          <t>51:01:0000000:8820</t>
        </is>
      </c>
      <c r="V378" t="n">
        <v>1</v>
      </c>
      <c r="Y378" t="n">
        <v>0</v>
      </c>
      <c r="AA378" t="n">
        <v>0</v>
      </c>
      <c r="AB378" t="n">
        <v>0</v>
      </c>
    </row>
    <row r="379">
      <c r="A379" s="7" t="n">
        <v>377</v>
      </c>
      <c r="B379" t="n">
        <v>51</v>
      </c>
      <c r="C379" s="1" t="n">
        <v>12.4</v>
      </c>
      <c r="D379" s="2">
        <f>HYPERLINK("https://torgi.gov.ru/new/public/lots/lot/21000007760000000013_2/(lotInfo:info)", "21000007760000000013_2")</f>
        <v/>
      </c>
      <c r="E379" t="inlineStr">
        <is>
          <t>Нежилое помещение по проспекту Кольскому, дом 160, цоколь, площадь 12,4 кв.м, кадастровый номер 51:20:0001306:3396, номера на поэтажном плане: А/цоколь/2а(8,9)</t>
        </is>
      </c>
      <c r="F379" s="3" t="inlineStr">
        <is>
          <t>15.06.22 20:00</t>
        </is>
      </c>
      <c r="G379" t="inlineStr">
        <is>
          <t>г Мурманск, Кольский пр-кт, д 160</t>
        </is>
      </c>
      <c r="H379" s="4" t="n">
        <v>100000</v>
      </c>
      <c r="I379" s="4" t="n">
        <v>8064.516129032258</v>
      </c>
      <c r="J379" t="inlineStr">
        <is>
          <t>Нежилое помещение</t>
        </is>
      </c>
      <c r="K379" s="5" t="n">
        <v>2.58</v>
      </c>
      <c r="M379" t="n">
        <v>3123</v>
      </c>
      <c r="N379" s="6" t="n">
        <v>298096</v>
      </c>
      <c r="Q379" t="inlineStr">
        <is>
          <t>PP</t>
        </is>
      </c>
      <c r="R379" t="inlineStr">
        <is>
          <t>М</t>
        </is>
      </c>
      <c r="S379" s="2">
        <f>HYPERLINK("https://yandex.ru/maps/?&amp;text=68.91439, 33.098957", "68.91439, 33.098957")</f>
        <v/>
      </c>
      <c r="U379" t="inlineStr">
        <is>
          <t xml:space="preserve">51:20:0001306:3396, </t>
        </is>
      </c>
      <c r="V379" t="n">
        <v>0</v>
      </c>
      <c r="Y379" t="n">
        <v>0</v>
      </c>
      <c r="AA379" t="n">
        <v>0</v>
      </c>
      <c r="AB379" t="n">
        <v>0</v>
      </c>
    </row>
    <row r="380">
      <c r="A380" s="7" t="n">
        <v>378</v>
      </c>
      <c r="B380" t="n">
        <v>51</v>
      </c>
      <c r="C380" s="1" t="n">
        <v>12.5</v>
      </c>
      <c r="D380" s="2">
        <f>HYPERLINK("https://torgi.gov.ru/new/public/lots/lot/21000007760000000013_4/(lotInfo:info)", "21000007760000000013_4")</f>
        <v/>
      </c>
      <c r="E380" t="inlineStr">
        <is>
          <t>Нежилое помещение по проспекту Кольскому, дом 17, 1 этаж, площадь 12,5 кв.м, кадастровый номер 51:20:0001010:1083, номера на поэтажном плане: А/1/3а(1,2)</t>
        </is>
      </c>
      <c r="F380" s="3" t="inlineStr">
        <is>
          <t>15.06.22 20:00</t>
        </is>
      </c>
      <c r="G380" t="inlineStr">
        <is>
          <t>г Мурманск, Кольский пр-кт, д 17</t>
        </is>
      </c>
      <c r="H380" s="4" t="n">
        <v>126000</v>
      </c>
      <c r="I380" s="4" t="n">
        <v>10080</v>
      </c>
      <c r="J380" t="inlineStr">
        <is>
          <t>Нежилое помещение</t>
        </is>
      </c>
      <c r="K380" s="5" t="n">
        <v>2.45</v>
      </c>
      <c r="M380" t="n">
        <v>4122</v>
      </c>
      <c r="N380" s="6" t="n">
        <v>298096</v>
      </c>
      <c r="Q380" t="inlineStr">
        <is>
          <t>PP</t>
        </is>
      </c>
      <c r="R380" t="inlineStr">
        <is>
          <t>М</t>
        </is>
      </c>
      <c r="S380" s="2">
        <f>HYPERLINK("https://yandex.ru/maps/?&amp;text=68.948105, 33.093216", "68.948105, 33.093216")</f>
        <v/>
      </c>
      <c r="U380" t="inlineStr">
        <is>
          <t xml:space="preserve">51:20:0001010:1083, </t>
        </is>
      </c>
      <c r="V380" t="n">
        <v>1</v>
      </c>
      <c r="Y380" t="n">
        <v>0</v>
      </c>
      <c r="AA380" t="n">
        <v>0</v>
      </c>
      <c r="AB380" t="n">
        <v>0</v>
      </c>
    </row>
    <row r="381">
      <c r="A381" s="7" t="n">
        <v>379</v>
      </c>
      <c r="B381" t="n">
        <v>51</v>
      </c>
      <c r="C381" s="1" t="n">
        <v>10.3</v>
      </c>
      <c r="D381" s="2">
        <f>HYPERLINK("https://torgi.gov.ru/new/public/lots/lot/21000007760000000013_3/(lotInfo:info)", "21000007760000000013_3")</f>
        <v/>
      </c>
      <c r="E381" t="inlineStr">
        <is>
          <t>Нежилое помещение по проспекту Кольскому, дом 17, 1 этаж, площадь 10,3 кв.м, кадастровый номер 51:20:0001010:1084, номера на поэтажном плане: А/1/4а(1)</t>
        </is>
      </c>
      <c r="F381" s="3" t="inlineStr">
        <is>
          <t>15.06.22 20:00</t>
        </is>
      </c>
      <c r="G381" t="inlineStr">
        <is>
          <t>г Мурманск, Кольский пр-кт, д 17</t>
        </is>
      </c>
      <c r="H381" s="4" t="n">
        <v>104000</v>
      </c>
      <c r="I381" s="4" t="n">
        <v>10097.08737864078</v>
      </c>
      <c r="J381" t="inlineStr">
        <is>
          <t>Нежилое помещение</t>
        </is>
      </c>
      <c r="K381" s="5" t="n">
        <v>2.45</v>
      </c>
      <c r="M381" t="n">
        <v>4122</v>
      </c>
      <c r="N381" s="6" t="n">
        <v>298096</v>
      </c>
      <c r="Q381" t="inlineStr">
        <is>
          <t>PP</t>
        </is>
      </c>
      <c r="R381" t="inlineStr">
        <is>
          <t>М</t>
        </is>
      </c>
      <c r="S381" s="2">
        <f>HYPERLINK("https://yandex.ru/maps/?&amp;text=68.948105, 33.093216", "68.948105, 33.093216")</f>
        <v/>
      </c>
      <c r="U381" t="inlineStr">
        <is>
          <t xml:space="preserve">51:20:0001010:1084, </t>
        </is>
      </c>
      <c r="V381" t="n">
        <v>1</v>
      </c>
      <c r="Y381" t="n">
        <v>0</v>
      </c>
      <c r="AA381" t="n">
        <v>0</v>
      </c>
      <c r="AB381" t="n">
        <v>0</v>
      </c>
    </row>
    <row r="382">
      <c r="A382" s="7" t="n">
        <v>380</v>
      </c>
      <c r="B382" t="n">
        <v>51</v>
      </c>
      <c r="C382" s="1" t="n">
        <v>32.5</v>
      </c>
      <c r="D382" s="2">
        <f>HYPERLINK("https://torgi.gov.ru/new/public/lots/lot/22000023110000000004_1/(lotInfo:info)", "22000023110000000004_1")</f>
        <v/>
      </c>
      <c r="E382" t="inlineStr">
        <is>
          <t>нежилое помещение, общая площадь 32,5 кв.м, кадастровый номер 51:01:0207004:484, расположенное по адресу: Мурманская область, МО г.п. Мурмаши Кольского р-на, п.г.т. Мурмаши, ул.Цесарского, д. 2, пом. 69,70</t>
        </is>
      </c>
      <c r="F382" s="3" t="inlineStr">
        <is>
          <t>28.04.22 20:59</t>
        </is>
      </c>
      <c r="G382" t="inlineStr">
        <is>
          <t>Мурманская обл, п.г.т. Мурмаши, ул.Цесарского, д. 2</t>
        </is>
      </c>
      <c r="H382" s="4" t="n">
        <v>503875</v>
      </c>
      <c r="I382" s="4" t="n">
        <v>15503.84615384615</v>
      </c>
      <c r="J382" t="inlineStr">
        <is>
          <t>Нежилое помещение</t>
        </is>
      </c>
      <c r="K382" s="5" t="n">
        <v>8.039999999999999</v>
      </c>
      <c r="L382" s="4" t="n">
        <v>1937.88</v>
      </c>
      <c r="M382" t="n">
        <v>1929</v>
      </c>
      <c r="N382" s="6" t="n">
        <v>11184</v>
      </c>
      <c r="O382" t="n">
        <v>8</v>
      </c>
      <c r="Q382" t="inlineStr">
        <is>
          <t>EA</t>
        </is>
      </c>
      <c r="R382" t="inlineStr">
        <is>
          <t>М</t>
        </is>
      </c>
      <c r="S382" s="2">
        <f>HYPERLINK("https://yandex.ru/maps/?&amp;text=68.815881, 32.828115", "68.815881, 32.828115")</f>
        <v/>
      </c>
      <c r="T382" s="2">
        <f>HYPERLINK("D:\venv_torgi\env\cache\objs_in_district/68.815881_32.828115.json", "68.815881_32.828115.json")</f>
        <v/>
      </c>
      <c r="U382" t="inlineStr">
        <is>
          <t xml:space="preserve">51:01:0207004:484, </t>
        </is>
      </c>
      <c r="V382" t="n">
        <v>0</v>
      </c>
      <c r="Y382" t="n">
        <v>0</v>
      </c>
      <c r="AA382" t="n">
        <v>0</v>
      </c>
      <c r="AB382" t="n">
        <v>0</v>
      </c>
    </row>
    <row r="383">
      <c r="A383" s="7" t="n">
        <v>381</v>
      </c>
      <c r="B383" t="n">
        <v>51</v>
      </c>
      <c r="C383" s="1" t="n">
        <v>12.6</v>
      </c>
      <c r="D383" s="2">
        <f>HYPERLINK("https://torgi.gov.ru/new/public/lots/lot/21000007760000000015_4/(lotInfo:info)", "21000007760000000015_4")</f>
        <v/>
      </c>
      <c r="E383" t="inlineStr">
        <is>
          <t>Нежилое помещение по улице Академика Книповича, дом 47, цоколь, площадь 12,6 кв.м, кадастровый номер 51:20:0002086:4420, номера на поэтажном плане: А/цоколь/III(27)</t>
        </is>
      </c>
      <c r="F383" s="3" t="inlineStr">
        <is>
          <t>04.08.22 20:00</t>
        </is>
      </c>
      <c r="G383" t="inlineStr">
        <is>
          <t>г Мурманск, ул Академика Книповича, д 47</t>
        </is>
      </c>
      <c r="H383" s="4" t="n">
        <v>207900</v>
      </c>
      <c r="I383" s="4" t="n">
        <v>16500</v>
      </c>
      <c r="J383" t="inlineStr">
        <is>
          <t>Нежилое помещение</t>
        </is>
      </c>
      <c r="K383" s="5" t="n">
        <v>3.5</v>
      </c>
      <c r="M383" t="n">
        <v>4713</v>
      </c>
      <c r="N383" s="6" t="n">
        <v>298096</v>
      </c>
      <c r="Q383" t="inlineStr">
        <is>
          <t>PP</t>
        </is>
      </c>
      <c r="R383" t="inlineStr">
        <is>
          <t>М</t>
        </is>
      </c>
      <c r="S383" s="2">
        <f>HYPERLINK("https://yandex.ru/maps/?&amp;text=68.95883, 33.094753", "68.95883, 33.094753")</f>
        <v/>
      </c>
      <c r="U383" t="inlineStr">
        <is>
          <t xml:space="preserve">51:20:0002086:4420, </t>
        </is>
      </c>
      <c r="V383" t="n">
        <v>0</v>
      </c>
      <c r="Y383" t="n">
        <v>0</v>
      </c>
      <c r="AA383" t="n">
        <v>0</v>
      </c>
      <c r="AB383" t="n">
        <v>0</v>
      </c>
    </row>
    <row r="384">
      <c r="A384" s="7" t="n">
        <v>382</v>
      </c>
      <c r="B384" t="n">
        <v>51</v>
      </c>
      <c r="C384" s="1" t="n">
        <v>32.7</v>
      </c>
      <c r="D384" s="2">
        <f>HYPERLINK("https://torgi.gov.ru/new/public/lots/lot/22000023110000000002_1/(lotInfo:info)", "22000023110000000002_1")</f>
        <v/>
      </c>
      <c r="E384" t="inlineStr">
        <is>
          <t>нежилое помещение, общая площадь 32,7 кв.м, расположенное по адресу: Мурманская область, МО г.п. Мурмаши Кольского р-на, п.г.т. Мурмаши, ул.Цесарского, д. 2, пом.II (23), кадастровый номер 51:01:0207004:342</t>
        </is>
      </c>
      <c r="F384" s="3" t="inlineStr">
        <is>
          <t>09.03.22 21:00</t>
        </is>
      </c>
      <c r="G384" t="inlineStr">
        <is>
          <t>Мурманская обл, п.г.т. Мурмаши, ул.Цесарского, д. 2</t>
        </is>
      </c>
      <c r="H384" s="4" t="n">
        <v>655500</v>
      </c>
      <c r="I384" s="4" t="n">
        <v>20045.87155963303</v>
      </c>
      <c r="J384" t="inlineStr">
        <is>
          <t>Нежилое помещение</t>
        </is>
      </c>
      <c r="K384" s="5" t="n">
        <v>10.39</v>
      </c>
      <c r="L384" s="4" t="n">
        <v>2505.62</v>
      </c>
      <c r="M384" t="n">
        <v>1929</v>
      </c>
      <c r="N384" s="6" t="n">
        <v>11184</v>
      </c>
      <c r="O384" t="n">
        <v>8</v>
      </c>
      <c r="Q384" t="inlineStr">
        <is>
          <t>EA</t>
        </is>
      </c>
      <c r="R384" t="inlineStr">
        <is>
          <t>М</t>
        </is>
      </c>
      <c r="S384" s="2">
        <f>HYPERLINK("https://yandex.ru/maps/?&amp;text=68.815881, 32.828115", "68.815881, 32.828115")</f>
        <v/>
      </c>
      <c r="T384" s="2">
        <f>HYPERLINK("D:\venv_torgi\env\cache\objs_in_district/68.815881_32.828115.json", "68.815881_32.828115.json")</f>
        <v/>
      </c>
      <c r="U384" t="inlineStr">
        <is>
          <t>51:01:0207004:342</t>
        </is>
      </c>
      <c r="V384" t="n">
        <v>0</v>
      </c>
      <c r="Y384" t="n">
        <v>0</v>
      </c>
      <c r="AA384" t="n">
        <v>0</v>
      </c>
      <c r="AB384" t="n">
        <v>0</v>
      </c>
    </row>
    <row r="385">
      <c r="A385" s="7" t="n">
        <v>383</v>
      </c>
      <c r="B385" t="n">
        <v>51</v>
      </c>
      <c r="C385" s="1" t="n">
        <v>36.1</v>
      </c>
      <c r="D385" s="2">
        <f>HYPERLINK("https://torgi.gov.ru/new/public/lots/lot/21000007760000000002_1/(lotInfo:info)", "21000007760000000002_1")</f>
        <v/>
      </c>
      <c r="E385" t="inlineStr">
        <is>
          <t>нежилое помещение, 1 этаж, площадь 36,10 кв.м, город Мурманск, проспект Кольский, дом 46, кадастровый номер 51:20:0001011:2017, номера на поэтажном плане: А/1/2а(1-4)</t>
        </is>
      </c>
      <c r="F385" s="3" t="inlineStr">
        <is>
          <t>14.03.22 20:00</t>
        </is>
      </c>
      <c r="G385" t="inlineStr">
        <is>
          <t>г Мурманск, Кольский пр-кт, д 46</t>
        </is>
      </c>
      <c r="H385" s="4" t="n">
        <v>822500</v>
      </c>
      <c r="I385" s="4" t="n">
        <v>22783.93351800554</v>
      </c>
      <c r="J385" t="inlineStr">
        <is>
          <t>Нежилое помещение</t>
        </is>
      </c>
      <c r="K385" s="5" t="n">
        <v>4.5</v>
      </c>
      <c r="L385" s="4" t="n">
        <v>1265.72</v>
      </c>
      <c r="M385" t="n">
        <v>5064</v>
      </c>
      <c r="N385" s="6" t="n">
        <v>298096</v>
      </c>
      <c r="O385" t="n">
        <v>18</v>
      </c>
      <c r="Q385" t="inlineStr">
        <is>
          <t>EA</t>
        </is>
      </c>
      <c r="R385" t="inlineStr">
        <is>
          <t>М</t>
        </is>
      </c>
      <c r="S385" s="2">
        <f>HYPERLINK("https://yandex.ru/maps/?&amp;text=68.94387, 33.10301", "68.94387, 33.10301")</f>
        <v/>
      </c>
      <c r="T385" s="2">
        <f>HYPERLINK("D:\venv_torgi\env\cache\objs_in_district/68.94387_33.10301.json", "68.94387_33.10301.json")</f>
        <v/>
      </c>
      <c r="U385" t="inlineStr">
        <is>
          <t xml:space="preserve">51:20:0001011:2017, </t>
        </is>
      </c>
      <c r="V385" t="n">
        <v>1</v>
      </c>
      <c r="Y385" t="n">
        <v>0</v>
      </c>
      <c r="AA385" t="n">
        <v>0</v>
      </c>
      <c r="AB385" t="n">
        <v>0</v>
      </c>
    </row>
    <row r="386">
      <c r="A386" s="7" t="n">
        <v>384</v>
      </c>
      <c r="B386" t="n">
        <v>51</v>
      </c>
      <c r="C386" s="1" t="n">
        <v>78.59999999999999</v>
      </c>
      <c r="D386" s="2">
        <f>HYPERLINK("https://torgi.gov.ru/new/public/lots/lot/21000007760000000001_1/(lotInfo:info)", "21000007760000000001_1")</f>
        <v/>
      </c>
      <c r="E386" t="inlineStr">
        <is>
          <t>Нежилое помещение, 1 этаж, площадь 78,60 кв.м, кадастровый номер 51:20:0001008:5272, номера на поэтажном плане: А/1/I(45,54,56,57)</t>
        </is>
      </c>
      <c r="F386" s="3" t="inlineStr">
        <is>
          <t>16.02.22 20:00</t>
        </is>
      </c>
      <c r="G386" t="inlineStr">
        <is>
          <t>г Мурманск, ул Зои Космодемьянской, д 1</t>
        </is>
      </c>
      <c r="H386" s="4" t="n">
        <v>2788800</v>
      </c>
      <c r="I386" s="4" t="n">
        <v>35480.91603053435</v>
      </c>
      <c r="J386" t="inlineStr">
        <is>
          <t>Нежилое помещение</t>
        </is>
      </c>
      <c r="K386" s="5" t="n">
        <v>13.61</v>
      </c>
      <c r="L386" s="4" t="n">
        <v>3225.45</v>
      </c>
      <c r="M386" t="n">
        <v>2607</v>
      </c>
      <c r="N386" s="6" t="n">
        <v>298096</v>
      </c>
      <c r="O386" t="n">
        <v>11</v>
      </c>
      <c r="Q386" t="inlineStr">
        <is>
          <t>EA</t>
        </is>
      </c>
      <c r="R386" t="inlineStr">
        <is>
          <t>М</t>
        </is>
      </c>
      <c r="S386" s="2">
        <f>HYPERLINK("https://yandex.ru/maps/?&amp;text=68.93968, 33.11737", "68.93968, 33.11737")</f>
        <v/>
      </c>
      <c r="T386" s="2">
        <f>HYPERLINK("D:\venv_torgi\env\cache\objs_in_district/68.93968_33.11737.json", "68.93968_33.11737.json")</f>
        <v/>
      </c>
      <c r="U386" t="inlineStr">
        <is>
          <t xml:space="preserve">51:20:0001008:5272, </t>
        </is>
      </c>
      <c r="V386" t="n">
        <v>1</v>
      </c>
      <c r="Y386" t="n">
        <v>0</v>
      </c>
      <c r="AA386" t="n">
        <v>0</v>
      </c>
      <c r="AB386" t="n">
        <v>0</v>
      </c>
    </row>
    <row r="387">
      <c r="A387" s="7" t="n">
        <v>385</v>
      </c>
      <c r="B387" t="n">
        <v>52</v>
      </c>
      <c r="C387" s="1" t="n">
        <v>275.5</v>
      </c>
      <c r="D387" s="2">
        <f>HYPERLINK("https://torgi.gov.ru/new/public/lots/lot/21000019800000000014_1/(lotInfo:info)", "21000019800000000014_1")</f>
        <v/>
      </c>
      <c r="E387" t="inlineStr">
        <is>
          <t>Нежилое двухэтажное здание общей площадью 275,5 кв.м, кадастровый номер 52:15:0080304:278 и земельный участок площадью 1250 кв.м, кадастровый номер 52:15:0080304:542, категория земель: земли населенных пунктов, расположенные по адресу: г. Городец, ул. Нижняя Полянка, д. 11</t>
        </is>
      </c>
      <c r="F387" s="3" t="inlineStr">
        <is>
          <t>20.06.22 20:00</t>
        </is>
      </c>
      <c r="G387" t="inlineStr">
        <is>
          <t>Нижегородская обл, г Городец, ул Нижняя Полянка, д 11</t>
        </is>
      </c>
      <c r="H387" s="4" t="n">
        <v>457777.77</v>
      </c>
      <c r="I387" s="4" t="n">
        <v>1661.625299455535</v>
      </c>
      <c r="J387" t="inlineStr">
        <is>
          <t>здание</t>
        </is>
      </c>
      <c r="K387" s="5" t="n">
        <v>1.05</v>
      </c>
      <c r="M387" t="n">
        <v>1588</v>
      </c>
      <c r="N387" s="6" t="n">
        <v>33089</v>
      </c>
      <c r="Q387" t="inlineStr">
        <is>
          <t>BOC</t>
        </is>
      </c>
      <c r="R387" t="inlineStr">
        <is>
          <t>М</t>
        </is>
      </c>
      <c r="S387" s="2">
        <f>HYPERLINK("https://yandex.ru/maps/?&amp;text=56.651672, 43.46158", "56.651672, 43.46158")</f>
        <v/>
      </c>
      <c r="U387" t="inlineStr">
        <is>
          <t xml:space="preserve">52:15:0080304:278 </t>
        </is>
      </c>
      <c r="V387" t="n">
        <v>0</v>
      </c>
      <c r="Y387" t="n">
        <v>0</v>
      </c>
      <c r="AA387" t="n">
        <v>0</v>
      </c>
      <c r="AB387" t="n">
        <v>1</v>
      </c>
    </row>
    <row r="388">
      <c r="A388" s="7" t="n">
        <v>386</v>
      </c>
      <c r="B388" t="n">
        <v>52</v>
      </c>
      <c r="C388" s="1" t="n">
        <v>102.3</v>
      </c>
      <c r="D388" s="2">
        <f>HYPERLINK("https://torgi.gov.ru/new/public/lots/lot/21000012580000000004_1/(lotInfo:info)", "21000012580000000004_1")</f>
        <v/>
      </c>
      <c r="E388" t="inlineStr">
        <is>
          <t>Здание забойного цеха. Адрес 606860 Нижегородская область Ветлужский район д. Отлузиха.</t>
        </is>
      </c>
      <c r="F388" s="3" t="inlineStr">
        <is>
          <t>25.04.22 09:00</t>
        </is>
      </c>
      <c r="G388" t="inlineStr">
        <is>
          <t>Ветлужский район  д.Отлузиха</t>
        </is>
      </c>
      <c r="H388" s="4" t="n">
        <v>250000</v>
      </c>
      <c r="I388" s="4" t="n">
        <v>2443.792766373412</v>
      </c>
      <c r="J388" t="inlineStr">
        <is>
          <t>Здание</t>
        </is>
      </c>
      <c r="Q388" t="inlineStr">
        <is>
          <t>EA</t>
        </is>
      </c>
      <c r="R388" t="inlineStr">
        <is>
          <t>М</t>
        </is>
      </c>
      <c r="U388" t="inlineStr">
        <is>
          <t>52:01:1500445:135</t>
        </is>
      </c>
      <c r="V388" t="n">
        <v>0</v>
      </c>
      <c r="Y388" t="n">
        <v>0</v>
      </c>
      <c r="AA388" t="n">
        <v>0</v>
      </c>
      <c r="AB388" t="n">
        <v>0</v>
      </c>
    </row>
    <row r="389">
      <c r="A389" s="7" t="n">
        <v>387</v>
      </c>
      <c r="B389" t="n">
        <v>52</v>
      </c>
      <c r="C389" s="1" t="n">
        <v>213.3</v>
      </c>
      <c r="D389" s="2">
        <f>HYPERLINK("https://torgi.gov.ru/new/public/lots/lot/21000019800000000012_2/(lotInfo:info)", "21000019800000000012_2")</f>
        <v/>
      </c>
      <c r="E389" t="inlineStr">
        <is>
          <t>Нежилое помещение П1 общей площадью 213,3 кв.м, с кадастровым номером 52:15:0080503:613 расположено на 1-м и 2-м этажах 2-этажного нежилого здания по адресу: Нижегородская область, Городецкий район, г. Городец, ул.М.Горького, д. 38, пом П1</t>
        </is>
      </c>
      <c r="F389" s="3" t="inlineStr">
        <is>
          <t>14.06.22 20:00</t>
        </is>
      </c>
      <c r="G389" t="inlineStr">
        <is>
          <t>Нижегородская обл, г Городец, ул М.Горького, д 38</t>
        </is>
      </c>
      <c r="H389" s="4" t="n">
        <v>720000</v>
      </c>
      <c r="I389" s="4" t="n">
        <v>3375.527426160337</v>
      </c>
      <c r="J389" t="inlineStr">
        <is>
          <t>Нежилое помещение</t>
        </is>
      </c>
      <c r="K389" s="5" t="n">
        <v>0.16</v>
      </c>
      <c r="L389" s="4" t="n">
        <v>675</v>
      </c>
      <c r="M389" t="n">
        <v>21207</v>
      </c>
      <c r="N389" s="6" t="n">
        <v>33089</v>
      </c>
      <c r="O389" t="n">
        <v>5</v>
      </c>
      <c r="Q389" t="inlineStr">
        <is>
          <t>BOC</t>
        </is>
      </c>
      <c r="R389" t="inlineStr">
        <is>
          <t>М</t>
        </is>
      </c>
      <c r="S389" s="2">
        <f>HYPERLINK("https://yandex.ru/maps/?&amp;text=56.6465315, 43.464727", "56.6465315, 43.464727")</f>
        <v/>
      </c>
      <c r="T389" s="2">
        <f>HYPERLINK("D:\venv_torgi\env\cache\objs_in_district/56.6465315_43.464727.json", "56.6465315_43.464727.json")</f>
        <v/>
      </c>
      <c r="U389" t="inlineStr">
        <is>
          <t xml:space="preserve">52:15:0080503:613 </t>
        </is>
      </c>
      <c r="V389" t="n">
        <v>2</v>
      </c>
      <c r="Y389" t="n">
        <v>0</v>
      </c>
      <c r="AA389" t="n">
        <v>0</v>
      </c>
      <c r="AB389" t="n">
        <v>0</v>
      </c>
    </row>
    <row r="390">
      <c r="A390" s="7" t="n">
        <v>388</v>
      </c>
      <c r="B390" t="n">
        <v>52</v>
      </c>
      <c r="C390" s="1" t="n">
        <v>150.8</v>
      </c>
      <c r="D390" s="2">
        <f>HYPERLINK("https://torgi.gov.ru/new/public/lots/lot/21000019800000000012_1/(lotInfo:info)", "21000019800000000012_1")</f>
        <v/>
      </c>
      <c r="E390" t="inlineStr">
        <is>
          <t>Нежилое помещение общей площадью 150,8 кв.м, с кадастровым номером 52:15:0080503:1737 расположено на 2-м и 3-м этажах 3-этажного нежилого здания по адресу: Нижегородская область, Городецкий район, г.Городец, ул.М.Горького, д. 36</t>
        </is>
      </c>
      <c r="F390" s="3" t="inlineStr">
        <is>
          <t>14.06.22 20:00</t>
        </is>
      </c>
      <c r="G390" t="inlineStr">
        <is>
          <t>Нижегородская обл, г Городец, ул М.Горького, д 36</t>
        </is>
      </c>
      <c r="H390" s="4" t="n">
        <v>520000</v>
      </c>
      <c r="I390" s="4" t="n">
        <v>3448.275862068965</v>
      </c>
      <c r="J390" t="inlineStr">
        <is>
          <t>Нежилое помещение</t>
        </is>
      </c>
      <c r="K390" s="5" t="n">
        <v>0.17</v>
      </c>
      <c r="L390" s="4" t="n">
        <v>689.6</v>
      </c>
      <c r="M390" t="n">
        <v>20709</v>
      </c>
      <c r="N390" s="6" t="n">
        <v>33089</v>
      </c>
      <c r="O390" t="n">
        <v>5</v>
      </c>
      <c r="Q390" t="inlineStr">
        <is>
          <t>BOC</t>
        </is>
      </c>
      <c r="R390" t="inlineStr">
        <is>
          <t>М</t>
        </is>
      </c>
      <c r="S390" s="2">
        <f>HYPERLINK("https://yandex.ru/maps/?&amp;text=56.6463735, 43.4647325", "56.6463735, 43.4647325")</f>
        <v/>
      </c>
      <c r="T390" s="2">
        <f>HYPERLINK("D:\venv_torgi\env\cache\objs_in_district/56.6463735_43.4647325.json", "56.6463735_43.4647325.json")</f>
        <v/>
      </c>
      <c r="U390" t="inlineStr">
        <is>
          <t xml:space="preserve">52:15:0080503:1737 </t>
        </is>
      </c>
      <c r="V390" t="n">
        <v>3</v>
      </c>
      <c r="Y390" t="n">
        <v>0</v>
      </c>
      <c r="AA390" t="n">
        <v>0</v>
      </c>
      <c r="AB390" t="n">
        <v>0</v>
      </c>
    </row>
    <row r="391">
      <c r="A391" s="7" t="n">
        <v>389</v>
      </c>
      <c r="B391" t="n">
        <v>52</v>
      </c>
      <c r="C391" s="1" t="n">
        <v>94.3</v>
      </c>
      <c r="D391" s="2">
        <f>HYPERLINK("https://torgi.gov.ru/new/public/lots/lot/22000053080000000002_1/(lotInfo:info)", "22000053080000000002_1")</f>
        <v/>
      </c>
      <c r="E391" t="inlineStr">
        <is>
          <t>Нежилое здание, назначение: нежилое, год завершения строительства:1970, количество этажей:1, площадь 94,3 кв. м, кадастровый номер: 52:22:1000011:793Местоположение: Российская Федерация, Нижегородская область, Володарский район, п.Красная Горка , ул. Ленина, д. 44аОдновременно с указанным объектом недвижимости продается земельный участок, необходимый для его использования площадью 965 кв.м, кадастровый номер 52:22:1000022:1043, категория земель: земли населенных пунктов, вид разрешенного использования: коммунальное обслуживание, адрес: Российская Федерация, Нижегородская область, Володарский муниципальный район, п. Красная Горка,ул. Ленина,44а</t>
        </is>
      </c>
      <c r="F391" s="3" t="inlineStr">
        <is>
          <t>25.06.22 21:00</t>
        </is>
      </c>
      <c r="G391" t="inlineStr">
        <is>
          <t>Нижегородская обл, Володарский р-н, поселок Красная Горка, ул Ленина</t>
        </is>
      </c>
      <c r="H391" s="4" t="n">
        <v>416000</v>
      </c>
      <c r="I391" s="4" t="n">
        <v>4411.452810180276</v>
      </c>
      <c r="J391" t="inlineStr">
        <is>
          <t>жилое здание</t>
        </is>
      </c>
      <c r="K391" s="5" t="n">
        <v>16.58</v>
      </c>
      <c r="M391" t="n">
        <v>266</v>
      </c>
      <c r="N391" s="6" t="n">
        <v>628</v>
      </c>
      <c r="Q391" t="inlineStr">
        <is>
          <t>EA</t>
        </is>
      </c>
      <c r="R391" t="inlineStr">
        <is>
          <t>М</t>
        </is>
      </c>
      <c r="S391" s="2">
        <f>HYPERLINK("https://yandex.ru/maps/?&amp;text=56.207253, 43.060995", "56.207253, 43.060995")</f>
        <v/>
      </c>
      <c r="U391" t="inlineStr">
        <is>
          <t>52:22:1000011:793</t>
        </is>
      </c>
      <c r="V391" t="n">
        <v>1</v>
      </c>
      <c r="Y391" t="n">
        <v>0</v>
      </c>
      <c r="AA391" t="n">
        <v>0</v>
      </c>
      <c r="AB391" t="n">
        <v>1</v>
      </c>
    </row>
    <row r="392">
      <c r="A392" s="7" t="n">
        <v>390</v>
      </c>
      <c r="B392" t="n">
        <v>52</v>
      </c>
      <c r="C392" s="1" t="n">
        <v>726</v>
      </c>
      <c r="D392" s="2">
        <f>HYPERLINK("https://torgi.gov.ru/new/public/lots/lot/21000012580000000003_1/(lotInfo:info)", "21000012580000000003_1")</f>
        <v/>
      </c>
      <c r="E392" t="inlineStr">
        <is>
          <t>нежилое здание хлебопекарни площадью 116,8 кв.м.нежилое производственное здание площадью 483,3 кв.мнежилое здание котельной площадью 125,9 кв.м Адрес (местоположения ) 606860 Нижегородская обл. Ветлужский район деревня Отлузиха.</t>
        </is>
      </c>
      <c r="F392" s="3" t="inlineStr">
        <is>
          <t>19.04.22 09:00</t>
        </is>
      </c>
      <c r="G392" t="inlineStr">
        <is>
          <t>Ветлужский район  д.Отлузиха</t>
        </is>
      </c>
      <c r="H392" s="4" t="n">
        <v>4936000</v>
      </c>
      <c r="I392" s="4" t="n">
        <v>6798.898071625345</v>
      </c>
      <c r="J392" t="inlineStr">
        <is>
          <t>жилое здание</t>
        </is>
      </c>
      <c r="Q392" t="inlineStr">
        <is>
          <t>EA</t>
        </is>
      </c>
      <c r="R392" t="inlineStr">
        <is>
          <t>М</t>
        </is>
      </c>
      <c r="V392" t="n">
        <v>0</v>
      </c>
      <c r="Y392" t="n">
        <v>0</v>
      </c>
      <c r="AA392" t="n">
        <v>0</v>
      </c>
      <c r="AB392" t="n">
        <v>0</v>
      </c>
    </row>
    <row r="393">
      <c r="A393" s="7" t="n">
        <v>391</v>
      </c>
      <c r="B393" t="n">
        <v>52</v>
      </c>
      <c r="C393" s="1" t="n">
        <v>536.3</v>
      </c>
      <c r="D393" s="2">
        <f>HYPERLINK("https://torgi.gov.ru/new/public/lots/lot/21000011320000000078_3/(lotInfo:info)", "21000011320000000078_3")</f>
        <v/>
      </c>
      <c r="E393" t="inlineStr">
        <is>
          <t>Нежилое помещение расположено на первом этаже двухэтажного нежилого здания. Имеется 1 отдельный и 1 совместный вход с другими пользователями.</t>
        </is>
      </c>
      <c r="F393" s="3" t="inlineStr">
        <is>
          <t>21.07.22 12:00</t>
        </is>
      </c>
      <c r="G393" t="inlineStr">
        <is>
          <t>г Нижний Новгород, ул Героя Васильева, д 55</t>
        </is>
      </c>
      <c r="H393" s="4" t="n">
        <v>5220880</v>
      </c>
      <c r="I393" s="4" t="n">
        <v>9734.999067685998</v>
      </c>
      <c r="J393" t="inlineStr">
        <is>
          <t>Нежилое помещение</t>
        </is>
      </c>
      <c r="K393" s="5" t="n">
        <v>2.15</v>
      </c>
      <c r="L393" s="4" t="n">
        <v>811.17</v>
      </c>
      <c r="M393" t="n">
        <v>4522</v>
      </c>
      <c r="N393" s="6" t="n">
        <v>1276560</v>
      </c>
      <c r="O393" t="n">
        <v>12</v>
      </c>
      <c r="Q393" t="inlineStr">
        <is>
          <t>PP</t>
        </is>
      </c>
      <c r="R393" t="inlineStr">
        <is>
          <t>М</t>
        </is>
      </c>
      <c r="S393" s="2">
        <f>HYPERLINK("https://yandex.ru/maps/?&amp;text=56.271481, 43.89367", "56.271481, 43.89367")</f>
        <v/>
      </c>
      <c r="T393" s="2">
        <f>HYPERLINK("D:\venv_torgi\env\cache\objs_in_district/56.271481_43.89367.json", "56.271481_43.89367.json")</f>
        <v/>
      </c>
      <c r="U393" t="inlineStr">
        <is>
          <t xml:space="preserve">52:18:0040116:720, </t>
        </is>
      </c>
      <c r="V393" t="n">
        <v>1</v>
      </c>
      <c r="Y393" t="n">
        <v>1</v>
      </c>
      <c r="AA393" t="n">
        <v>0</v>
      </c>
      <c r="AB393" t="n">
        <v>0</v>
      </c>
    </row>
    <row r="394">
      <c r="A394" s="7" t="n">
        <v>392</v>
      </c>
      <c r="B394" t="n">
        <v>52</v>
      </c>
      <c r="C394" s="1" t="n">
        <v>27.9</v>
      </c>
      <c r="D394" s="2">
        <f>HYPERLINK("https://torgi.gov.ru/new/public/lots/lot/21000011320000000078_5/(lotInfo:info)", "21000011320000000078_5")</f>
        <v/>
      </c>
      <c r="E394" t="inlineStr">
        <is>
          <t>Нежилое помещение расположено на втором этаже двухэтажного нежилого здания. Вход совместный с другими пользователями.</t>
        </is>
      </c>
      <c r="F394" s="3" t="inlineStr">
        <is>
          <t>21.07.22 12:00</t>
        </is>
      </c>
      <c r="G394" t="inlineStr">
        <is>
          <t>г Нижний Новгород, ул Героя Васильева, д 55</t>
        </is>
      </c>
      <c r="H394" s="4" t="n">
        <v>302575</v>
      </c>
      <c r="I394" s="4" t="n">
        <v>10844.98207885305</v>
      </c>
      <c r="J394" t="inlineStr">
        <is>
          <t>Нежилое помещение</t>
        </is>
      </c>
      <c r="K394" s="5" t="n">
        <v>2.4</v>
      </c>
      <c r="L394" s="4" t="n">
        <v>903.67</v>
      </c>
      <c r="M394" t="n">
        <v>4522</v>
      </c>
      <c r="N394" s="6" t="n">
        <v>1276560</v>
      </c>
      <c r="O394" t="n">
        <v>12</v>
      </c>
      <c r="Q394" t="inlineStr">
        <is>
          <t>PP</t>
        </is>
      </c>
      <c r="R394" t="inlineStr">
        <is>
          <t>М</t>
        </is>
      </c>
      <c r="S394" s="2">
        <f>HYPERLINK("https://yandex.ru/maps/?&amp;text=56.271481, 43.89367", "56.271481, 43.89367")</f>
        <v/>
      </c>
      <c r="T394" s="2">
        <f>HYPERLINK("D:\venv_torgi\env\cache\objs_in_district/56.271481_43.89367.json", "56.271481_43.89367.json")</f>
        <v/>
      </c>
      <c r="U394" t="inlineStr">
        <is>
          <t xml:space="preserve">52:18:0040116:715, </t>
        </is>
      </c>
      <c r="V394" t="n">
        <v>2</v>
      </c>
      <c r="Y394" t="n">
        <v>-1</v>
      </c>
      <c r="AA394" t="n">
        <v>0</v>
      </c>
      <c r="AB394" t="n">
        <v>0</v>
      </c>
    </row>
    <row r="395">
      <c r="A395" s="7" t="n">
        <v>393</v>
      </c>
      <c r="B395" t="n">
        <v>52</v>
      </c>
      <c r="C395" s="1" t="n">
        <v>44.2</v>
      </c>
      <c r="D395" s="2">
        <f>HYPERLINK("https://torgi.gov.ru/new/public/lots/lot/21000019800000000013_1/(lotInfo:info)", "21000019800000000013_1")</f>
        <v/>
      </c>
      <c r="E395" t="inlineStr">
        <is>
          <t>Нежилое помещение П2 общей площадью 44,2 кв.м., кадастровый номер 52:15:0080503:612, расположенное на первом этаже нежилого здания по адресу: Нижегородская область, Городецкий район, г.Городец, ул.М.Горького, д.38</t>
        </is>
      </c>
      <c r="F395" s="3" t="inlineStr">
        <is>
          <t>16.06.22 20:00</t>
        </is>
      </c>
      <c r="G395" t="inlineStr">
        <is>
          <t>Нижегородская обл, г Городец, ул М.Горького, д 38</t>
        </is>
      </c>
      <c r="H395" s="4" t="n">
        <v>481000</v>
      </c>
      <c r="I395" s="4" t="n">
        <v>10882.35294117647</v>
      </c>
      <c r="J395" t="inlineStr">
        <is>
          <t>Нежилое помещение</t>
        </is>
      </c>
      <c r="K395" s="5" t="n">
        <v>0.51</v>
      </c>
      <c r="L395" s="4" t="n">
        <v>2176.4</v>
      </c>
      <c r="M395" t="n">
        <v>21207</v>
      </c>
      <c r="N395" s="6" t="n">
        <v>33089</v>
      </c>
      <c r="O395" t="n">
        <v>5</v>
      </c>
      <c r="Q395" t="inlineStr">
        <is>
          <t>BOC</t>
        </is>
      </c>
      <c r="R395" t="inlineStr">
        <is>
          <t>М</t>
        </is>
      </c>
      <c r="S395" s="2">
        <f>HYPERLINK("https://yandex.ru/maps/?&amp;text=56.6465315, 43.464727", "56.6465315, 43.464727")</f>
        <v/>
      </c>
      <c r="T395" s="2">
        <f>HYPERLINK("D:\venv_torgi\env\cache\objs_in_district/56.6465315_43.464727.json", "56.6465315_43.464727.json")</f>
        <v/>
      </c>
      <c r="U395" t="inlineStr">
        <is>
          <t xml:space="preserve">52:15:0080503:612, </t>
        </is>
      </c>
      <c r="V395" t="n">
        <v>1</v>
      </c>
      <c r="Y395" t="n">
        <v>0</v>
      </c>
      <c r="AA395" t="n">
        <v>0</v>
      </c>
      <c r="AB395" t="n">
        <v>0</v>
      </c>
    </row>
    <row r="396">
      <c r="A396" s="7" t="n">
        <v>394</v>
      </c>
      <c r="B396" t="n">
        <v>52</v>
      </c>
      <c r="C396" s="1" t="n">
        <v>32.3</v>
      </c>
      <c r="D396" s="2">
        <f>HYPERLINK("https://torgi.gov.ru/new/public/lots/lot/21000011320000000041_1/(lotInfo:info)", "21000011320000000041_1")</f>
        <v/>
      </c>
      <c r="E396" t="inlineStr">
        <is>
          <t>Нежилое помещение расположено на втором этаже двухэтажного нежилого здания. Вход совместный с другими пользователями.</t>
        </is>
      </c>
      <c r="F396" s="3" t="inlineStr">
        <is>
          <t>13.05.22 12:00</t>
        </is>
      </c>
      <c r="G396" t="inlineStr">
        <is>
          <t>г Нижний Новгород, ул Героя Васильева, д 55</t>
        </is>
      </c>
      <c r="H396" s="4" t="n">
        <v>362895</v>
      </c>
      <c r="I396" s="4" t="n">
        <v>11235.13931888545</v>
      </c>
      <c r="J396" t="inlineStr">
        <is>
          <t>Нежилое помещение</t>
        </is>
      </c>
      <c r="K396" s="5" t="n">
        <v>2.48</v>
      </c>
      <c r="L396" s="4" t="n">
        <v>936.25</v>
      </c>
      <c r="M396" t="n">
        <v>4522</v>
      </c>
      <c r="N396" s="6" t="n">
        <v>1276560</v>
      </c>
      <c r="O396" t="n">
        <v>12</v>
      </c>
      <c r="Q396" t="inlineStr">
        <is>
          <t>PP</t>
        </is>
      </c>
      <c r="R396" t="inlineStr">
        <is>
          <t>М</t>
        </is>
      </c>
      <c r="S396" s="2">
        <f>HYPERLINK("https://yandex.ru/maps/?&amp;text=56.271481, 43.89367", "56.271481, 43.89367")</f>
        <v/>
      </c>
      <c r="T396" s="2">
        <f>HYPERLINK("D:\venv_torgi\env\cache\objs_in_district/56.271481_43.89367.json", "56.271481_43.89367.json")</f>
        <v/>
      </c>
      <c r="U396" t="inlineStr">
        <is>
          <t xml:space="preserve">52:18:0040116:717, </t>
        </is>
      </c>
      <c r="V396" t="n">
        <v>2</v>
      </c>
      <c r="Y396" t="n">
        <v>-1</v>
      </c>
      <c r="AA396" t="n">
        <v>0</v>
      </c>
      <c r="AB396" t="n">
        <v>0</v>
      </c>
    </row>
    <row r="397">
      <c r="A397" s="7" t="n">
        <v>395</v>
      </c>
      <c r="B397" t="n">
        <v>52</v>
      </c>
      <c r="C397" s="1" t="n">
        <v>84.2</v>
      </c>
      <c r="D397" s="2">
        <f>HYPERLINK("https://torgi.gov.ru/new/public/lots/lot/21000012580000000001_1/(lotInfo:info)", "21000012580000000001_1")</f>
        <v/>
      </c>
      <c r="E397" t="inlineStr">
        <is>
          <t>Нежилое здание.Площадь; 84,2 кв.м.Этажность: 1 Кадастровый номер : 52:01:02001046511. Адрес: 606860, Нижегородская область, Ветлужский район г. ветлуга ул.ленина д.9 . помещение № П-1</t>
        </is>
      </c>
      <c r="F397" s="3" t="inlineStr">
        <is>
          <t>04.04.22 05:00</t>
        </is>
      </c>
      <c r="G397" t="inlineStr">
        <is>
          <t>Нижегородская обл, г Ветлуга, ул Ленина, д 9</t>
        </is>
      </c>
      <c r="H397" s="4" t="n">
        <v>1205000</v>
      </c>
      <c r="I397" s="4" t="n">
        <v>14311.16389548694</v>
      </c>
      <c r="J397" t="inlineStr">
        <is>
          <t>жилое здание</t>
        </is>
      </c>
      <c r="K397" s="5" t="n">
        <v>17.5</v>
      </c>
      <c r="L397" s="4" t="n">
        <v>715.55</v>
      </c>
      <c r="M397" t="n">
        <v>818</v>
      </c>
      <c r="N397" s="6" t="n">
        <v>8984</v>
      </c>
      <c r="O397" t="n">
        <v>20</v>
      </c>
      <c r="Q397" t="inlineStr">
        <is>
          <t>EA</t>
        </is>
      </c>
      <c r="R397" t="inlineStr">
        <is>
          <t>М</t>
        </is>
      </c>
      <c r="S397" s="2">
        <f>HYPERLINK("https://yandex.ru/maps/?&amp;text=57.8506, 45.781956", "57.8506, 45.781956")</f>
        <v/>
      </c>
      <c r="T397" s="2">
        <f>HYPERLINK("D:\venv_torgi\env\cache\objs_in_district/57.8506_45.781956.json", "57.8506_45.781956.json")</f>
        <v/>
      </c>
      <c r="U397" t="inlineStr">
        <is>
          <t>52:01:0200101:511</t>
        </is>
      </c>
      <c r="V397" t="n">
        <v>1</v>
      </c>
      <c r="Y397" t="n">
        <v>0</v>
      </c>
      <c r="AA397" t="n">
        <v>0</v>
      </c>
      <c r="AB397" t="n">
        <v>0</v>
      </c>
    </row>
    <row r="398">
      <c r="A398" s="7" t="n">
        <v>396</v>
      </c>
      <c r="B398" t="n">
        <v>52</v>
      </c>
      <c r="C398" s="1" t="n">
        <v>13.9</v>
      </c>
      <c r="D398" s="2">
        <f>HYPERLINK("https://torgi.gov.ru/new/public/lots/lot/21000011320000000014_1/(lotInfo:info)", "21000011320000000014_1")</f>
        <v/>
      </c>
      <c r="E398" t="inlineStr">
        <is>
          <t>Нежилое помещение расположено на первом этаже одноэтажного жилого дома. Имеется 1 отдельный вход.</t>
        </is>
      </c>
      <c r="F398" s="3" t="inlineStr">
        <is>
          <t>16.03.22 12:00</t>
        </is>
      </c>
      <c r="G398" t="inlineStr">
        <is>
          <t>г Нижний Новгород, Холодильный пер, д 7</t>
        </is>
      </c>
      <c r="H398" s="4" t="n">
        <v>257504</v>
      </c>
      <c r="I398" s="4" t="n">
        <v>18525.46762589928</v>
      </c>
      <c r="J398" t="inlineStr">
        <is>
          <t>Нежилое помещение</t>
        </is>
      </c>
      <c r="K398" s="5" t="n">
        <v>4.56</v>
      </c>
      <c r="M398" t="n">
        <v>4062</v>
      </c>
      <c r="N398" s="6" t="n">
        <v>1276560</v>
      </c>
      <c r="Q398" t="inlineStr">
        <is>
          <t>PP</t>
        </is>
      </c>
      <c r="R398" t="inlineStr">
        <is>
          <t>М</t>
        </is>
      </c>
      <c r="S398" s="2">
        <f>HYPERLINK("https://yandex.ru/maps/?&amp;text=56.30694, 43.933754", "56.30694, 43.933754")</f>
        <v/>
      </c>
      <c r="U398" t="inlineStr">
        <is>
          <t>52:18:0030118:100</t>
        </is>
      </c>
      <c r="V398" t="n">
        <v>1</v>
      </c>
      <c r="Y398" t="n">
        <v>1</v>
      </c>
      <c r="AA398" t="n">
        <v>0</v>
      </c>
      <c r="AB398" t="n">
        <v>0</v>
      </c>
    </row>
    <row r="399">
      <c r="A399" s="7" t="n">
        <v>397</v>
      </c>
      <c r="B399" t="n">
        <v>52</v>
      </c>
      <c r="C399" s="1" t="n">
        <v>11.4</v>
      </c>
      <c r="D399" s="2">
        <f>HYPERLINK("https://torgi.gov.ru/new/public/lots/lot/21000011320000000078_4/(lotInfo:info)", "21000011320000000078_4")</f>
        <v/>
      </c>
      <c r="E399" t="inlineStr">
        <is>
          <t>Нежилое помещение расположено на втором этаже двухэтажного нежилого здания. Вход совместный с другими пользователями.</t>
        </is>
      </c>
      <c r="F399" s="3" t="inlineStr">
        <is>
          <t>21.07.22 12:00</t>
        </is>
      </c>
      <c r="G399" t="inlineStr">
        <is>
          <t>г Нижний Новгород, ул Героя Васильева, д 55</t>
        </is>
      </c>
      <c r="H399" s="4" t="n">
        <v>253640.5</v>
      </c>
      <c r="I399" s="4" t="n">
        <v>22249.16666666666</v>
      </c>
      <c r="J399" t="inlineStr">
        <is>
          <t>Нежилое помещение</t>
        </is>
      </c>
      <c r="K399" s="5" t="n">
        <v>4.92</v>
      </c>
      <c r="L399" s="4" t="n">
        <v>1854.08</v>
      </c>
      <c r="M399" t="n">
        <v>4522</v>
      </c>
      <c r="N399" s="6" t="n">
        <v>1276560</v>
      </c>
      <c r="O399" t="n">
        <v>12</v>
      </c>
      <c r="Q399" t="inlineStr">
        <is>
          <t>PP</t>
        </is>
      </c>
      <c r="R399" t="inlineStr">
        <is>
          <t>М</t>
        </is>
      </c>
      <c r="S399" s="2">
        <f>HYPERLINK("https://yandex.ru/maps/?&amp;text=56.271481, 43.89367", "56.271481, 43.89367")</f>
        <v/>
      </c>
      <c r="T399" s="2">
        <f>HYPERLINK("D:\venv_torgi\env\cache\objs_in_district/56.271481_43.89367.json", "56.271481_43.89367.json")</f>
        <v/>
      </c>
      <c r="U399" t="inlineStr">
        <is>
          <t xml:space="preserve">52:18:0040116:711, </t>
        </is>
      </c>
      <c r="V399" t="n">
        <v>2</v>
      </c>
      <c r="Y399" t="n">
        <v>-1</v>
      </c>
      <c r="AA399" t="n">
        <v>0</v>
      </c>
      <c r="AB399" t="n">
        <v>0</v>
      </c>
    </row>
    <row r="400">
      <c r="A400" s="7" t="n">
        <v>398</v>
      </c>
      <c r="B400" t="n">
        <v>52</v>
      </c>
      <c r="C400" s="1" t="n">
        <v>81.90000000000001</v>
      </c>
      <c r="D400" s="2">
        <f>HYPERLINK("https://torgi.gov.ru/new/public/lots/lot/21000019830000000001_1/(lotInfo:info)", "21000019830000000001_1")</f>
        <v/>
      </c>
      <c r="E400" t="inlineStr">
        <is>
          <t>Наименование объекта: нежилое помещение, общей площадью – 81,9 кв.м., этажность: 1(один), кадастровый номер: 52:46:0200502:108. Адрес объекта: 607490, Нижегородская область, Пильнинский район, р.п. Пильна, ул. Ленина д. 105.</t>
        </is>
      </c>
      <c r="F400" s="3" t="inlineStr">
        <is>
          <t>24.03.22 21:00</t>
        </is>
      </c>
      <c r="G400" t="inlineStr">
        <is>
          <t>Нижегородская обл, рп Пильна, ул Ленина, д 105, помещ 1</t>
        </is>
      </c>
      <c r="H400" s="4" t="n">
        <v>1827000</v>
      </c>
      <c r="I400" s="4" t="n">
        <v>22307.6923076923</v>
      </c>
      <c r="J400" t="inlineStr">
        <is>
          <t>Нежилое помещение</t>
        </is>
      </c>
      <c r="K400" s="5" t="n">
        <v>41.31</v>
      </c>
      <c r="L400" s="4" t="n">
        <v>7435.67</v>
      </c>
      <c r="M400" t="n">
        <v>540</v>
      </c>
      <c r="N400" s="6" t="n">
        <v>7364</v>
      </c>
      <c r="O400" t="n">
        <v>3</v>
      </c>
      <c r="Q400" t="inlineStr">
        <is>
          <t>EA</t>
        </is>
      </c>
      <c r="R400" t="inlineStr">
        <is>
          <t>М</t>
        </is>
      </c>
      <c r="S400" s="2">
        <f>HYPERLINK("https://yandex.ru/maps/?&amp;text=55.554603, 45.917763", "55.554603, 45.917763")</f>
        <v/>
      </c>
      <c r="T400" s="2">
        <f>HYPERLINK("D:\venv_torgi\env\cache\objs_in_district/55.554603_45.917763.json", "55.554603_45.917763.json")</f>
        <v/>
      </c>
      <c r="U400" t="inlineStr">
        <is>
          <t>52:46:0200502:108</t>
        </is>
      </c>
      <c r="V400" t="n">
        <v>1</v>
      </c>
      <c r="Y400" t="n">
        <v>0</v>
      </c>
      <c r="AA400" t="n">
        <v>0</v>
      </c>
      <c r="AB400" t="n">
        <v>0</v>
      </c>
    </row>
    <row r="401">
      <c r="A401" s="7" t="n">
        <v>399</v>
      </c>
      <c r="B401" t="n">
        <v>52</v>
      </c>
      <c r="C401" s="1" t="n">
        <v>27</v>
      </c>
      <c r="D401" s="2">
        <f>HYPERLINK("https://torgi.gov.ru/new/public/lots/lot/21000011320000000026_9/(lotInfo:info)", "21000011320000000026_9")</f>
        <v/>
      </c>
      <c r="E401" t="inlineStr">
        <is>
          <t>Нежилое помещение расположено на цокольном этаже одноэтажного жилого дома. Вход совместный с другими пользователями.</t>
        </is>
      </c>
      <c r="F401" s="3" t="inlineStr">
        <is>
          <t>07.04.22 12:00</t>
        </is>
      </c>
      <c r="G401" t="inlineStr">
        <is>
          <t>г Нижний Новгород, ул Канавинская, д 59</t>
        </is>
      </c>
      <c r="H401" s="4" t="n">
        <v>663021.45</v>
      </c>
      <c r="I401" s="4" t="n">
        <v>24556.35</v>
      </c>
      <c r="J401" t="inlineStr">
        <is>
          <t>Нежилое помещение</t>
        </is>
      </c>
      <c r="K401" s="5" t="n">
        <v>4.83</v>
      </c>
      <c r="L401" s="4" t="n">
        <v>481.49</v>
      </c>
      <c r="M401" t="n">
        <v>5085</v>
      </c>
      <c r="N401" s="6" t="n">
        <v>1276560</v>
      </c>
      <c r="O401" t="n">
        <v>51</v>
      </c>
      <c r="Q401" t="inlineStr">
        <is>
          <t>EA</t>
        </is>
      </c>
      <c r="R401" t="inlineStr">
        <is>
          <t>М</t>
        </is>
      </c>
      <c r="S401" s="2">
        <f>HYPERLINK("https://yandex.ru/maps/?&amp;text=56.317442, 43.948827", "56.317442, 43.948827")</f>
        <v/>
      </c>
      <c r="T401" s="2">
        <f>HYPERLINK("D:\venv_torgi\env\cache\objs_in_district/56.317442_43.948827.json", "56.317442_43.948827.json")</f>
        <v/>
      </c>
      <c r="U401" t="inlineStr">
        <is>
          <t xml:space="preserve">52:18:0030080:129, </t>
        </is>
      </c>
      <c r="V401" t="n">
        <v>0</v>
      </c>
      <c r="Y401" t="n">
        <v>-1</v>
      </c>
      <c r="AA401" t="n">
        <v>0</v>
      </c>
      <c r="AB401" t="n">
        <v>0</v>
      </c>
    </row>
    <row r="402">
      <c r="A402" s="7" t="n">
        <v>400</v>
      </c>
      <c r="B402" t="n">
        <v>52</v>
      </c>
      <c r="C402" s="1" t="n">
        <v>42.9</v>
      </c>
      <c r="D402" s="2">
        <f>HYPERLINK("https://torgi.gov.ru/new/public/lots/lot/21000009830000000001_1/(lotInfo:info)", "21000009830000000001_1")</f>
        <v/>
      </c>
      <c r="E402" t="inlineStr">
        <is>
          <t>Нежилое помещение, общая площадь 42,9 кв. м,</t>
        </is>
      </c>
      <c r="F402" s="3" t="inlineStr">
        <is>
          <t>29.04.22 13:00</t>
        </is>
      </c>
      <c r="G402" t="inlineStr">
        <is>
          <t>Нижегородская обл, Володарский р-н, тер массив земельных участков 3-1 Мая (рп Смолино), д 3</t>
        </is>
      </c>
      <c r="H402" s="4" t="n">
        <v>1086650</v>
      </c>
      <c r="I402" s="4" t="n">
        <v>25329.83682983683</v>
      </c>
      <c r="J402" t="inlineStr">
        <is>
          <t>Нежилое помещение</t>
        </is>
      </c>
      <c r="K402" s="5" t="n">
        <v>19.44</v>
      </c>
      <c r="L402" s="4" t="n">
        <v>6332.25</v>
      </c>
      <c r="M402" t="n">
        <v>1303</v>
      </c>
      <c r="O402" t="n">
        <v>4</v>
      </c>
      <c r="Q402" t="inlineStr">
        <is>
          <t>EA</t>
        </is>
      </c>
      <c r="R402" t="inlineStr">
        <is>
          <t>М</t>
        </is>
      </c>
      <c r="S402" s="2">
        <f>HYPERLINK("https://yandex.ru/maps/?&amp;text=56.274329, 43.091834", "56.274329, 43.091834")</f>
        <v/>
      </c>
      <c r="T402" s="2">
        <f>HYPERLINK("D:\venv_torgi\env\cache\objs_in_district/56.274329_43.091834.json", "56.274329_43.091834.json")</f>
        <v/>
      </c>
      <c r="U402" t="inlineStr">
        <is>
          <t>52:22:0500004:3635</t>
        </is>
      </c>
      <c r="V402" t="n">
        <v>1</v>
      </c>
      <c r="Y402" t="n">
        <v>0</v>
      </c>
      <c r="AA402" t="n">
        <v>0</v>
      </c>
      <c r="AB402" t="n">
        <v>0</v>
      </c>
    </row>
    <row r="403">
      <c r="A403" s="7" t="n">
        <v>401</v>
      </c>
      <c r="B403" t="n">
        <v>52</v>
      </c>
      <c r="C403" s="1" t="n">
        <v>22.1</v>
      </c>
      <c r="D403" s="2">
        <f>HYPERLINK("https://torgi.gov.ru/new/public/lots/lot/21000011320000000084_1/(lotInfo:info)", "21000011320000000084_1")</f>
        <v/>
      </c>
      <c r="E403" t="inlineStr">
        <is>
          <t>Нежилое помещение расположено на первом этаже двухэтажного нежилого здания. Вход отдельный с торца здания.</t>
        </is>
      </c>
      <c r="F403" s="3" t="inlineStr">
        <is>
          <t>29.07.22 12:00</t>
        </is>
      </c>
      <c r="G403" t="inlineStr">
        <is>
          <t>г.Нижний Новгород, Автозаводский район, п. Новое Доскино, линия 13-я, д. 13</t>
        </is>
      </c>
      <c r="H403" s="4" t="n">
        <v>574224.5</v>
      </c>
      <c r="I403" s="4" t="n">
        <v>25983.00904977375</v>
      </c>
      <c r="J403" t="inlineStr">
        <is>
          <t>Нежилое помещение</t>
        </is>
      </c>
      <c r="K403" s="5" t="n">
        <v>12.24</v>
      </c>
      <c r="L403" s="4" t="n">
        <v>2598.3</v>
      </c>
      <c r="M403" t="n">
        <v>2123</v>
      </c>
      <c r="N403" s="6" t="n">
        <v>1276560</v>
      </c>
      <c r="O403" t="n">
        <v>10</v>
      </c>
      <c r="Q403" t="inlineStr">
        <is>
          <t>PP</t>
        </is>
      </c>
      <c r="R403" t="inlineStr">
        <is>
          <t>М</t>
        </is>
      </c>
      <c r="S403" s="2">
        <f>HYPERLINK("https://yandex.ru/maps/?&amp;text=56.268401, 43.761339", "56.268401, 43.761339")</f>
        <v/>
      </c>
      <c r="T403" s="2">
        <f>HYPERLINK("D:\venv_torgi\env\cache\objs_in_district/56.268401_43.761339.json", "56.268401_43.761339.json")</f>
        <v/>
      </c>
      <c r="U403" t="inlineStr">
        <is>
          <t xml:space="preserve">52:18:0040051:6, </t>
        </is>
      </c>
      <c r="V403" t="n">
        <v>1</v>
      </c>
      <c r="Y403" t="n">
        <v>1</v>
      </c>
      <c r="AA403" t="n">
        <v>0</v>
      </c>
      <c r="AB403" t="n">
        <v>0</v>
      </c>
    </row>
    <row r="404">
      <c r="A404" s="7" t="n">
        <v>402</v>
      </c>
      <c r="B404" t="n">
        <v>52</v>
      </c>
      <c r="C404" s="1" t="n">
        <v>22.8</v>
      </c>
      <c r="D404" s="2">
        <f>HYPERLINK("https://torgi.gov.ru/new/public/lots/lot/21000011320000000001_3/(lotInfo:info)", "21000011320000000001_3")</f>
        <v/>
      </c>
      <c r="E404" t="inlineStr">
        <is>
          <t>Нежилое помещение расположено на первом этаже двухэтажного жилого дома. Объект находится в разрушенном состоянии.</t>
        </is>
      </c>
      <c r="F404" s="3" t="inlineStr">
        <is>
          <t>09.02.22 12:00</t>
        </is>
      </c>
      <c r="G404" t="inlineStr">
        <is>
          <t>г Нижний Новгород, пер Вахитова, д 7, помещ П2А</t>
        </is>
      </c>
      <c r="H404" s="4" t="n">
        <v>700190</v>
      </c>
      <c r="I404" s="4" t="n">
        <v>30710.08771929824</v>
      </c>
      <c r="J404" t="inlineStr">
        <is>
          <t>Нежилое помещение</t>
        </is>
      </c>
      <c r="K404" s="5" t="n">
        <v>8.19</v>
      </c>
      <c r="L404" s="4" t="n">
        <v>161.63</v>
      </c>
      <c r="M404" t="n">
        <v>3751</v>
      </c>
      <c r="N404" s="6" t="n">
        <v>1276560</v>
      </c>
      <c r="O404" t="n">
        <v>190</v>
      </c>
      <c r="Q404" t="inlineStr">
        <is>
          <t>EA</t>
        </is>
      </c>
      <c r="R404" t="inlineStr">
        <is>
          <t>М</t>
        </is>
      </c>
      <c r="S404" s="2">
        <f>HYPERLINK("https://yandex.ru/maps/?&amp;text=56.328998, 43.992368", "56.328998, 43.992368")</f>
        <v/>
      </c>
      <c r="T404" s="2">
        <f>HYPERLINK("D:\venv_torgi\env\cache\objs_in_district/56.328998_43.992368.json", "56.328998_43.992368.json")</f>
        <v/>
      </c>
      <c r="U404" t="inlineStr">
        <is>
          <t>52:18:0060027:626</t>
        </is>
      </c>
      <c r="V404" t="n">
        <v>1</v>
      </c>
      <c r="Y404" t="n">
        <v>0</v>
      </c>
      <c r="AA404" t="n">
        <v>-1</v>
      </c>
      <c r="AB404" t="n">
        <v>0</v>
      </c>
    </row>
    <row r="405">
      <c r="A405" s="7" t="n">
        <v>403</v>
      </c>
      <c r="B405" t="n">
        <v>52</v>
      </c>
      <c r="C405" s="1" t="n">
        <v>151.4</v>
      </c>
      <c r="D405" s="2">
        <f>HYPERLINK("https://torgi.gov.ru/new/public/lots/lot/22000095400000000001_1/(lotInfo:info)", "22000095400000000001_1")</f>
        <v/>
      </c>
      <c r="E405" t="inlineStr">
        <is>
          <t>Помещение нежилое, этаж 1, кадастровый номер 52:26:0030064:2016</t>
        </is>
      </c>
      <c r="F405" s="3" t="inlineStr">
        <is>
          <t>30.05.22 05:00</t>
        </is>
      </c>
      <c r="G405" t="inlineStr">
        <is>
          <t>Кстовский район, п. Ждановский, ул. Школьная, д. 22</t>
        </is>
      </c>
      <c r="H405" s="4" t="n">
        <v>9815605</v>
      </c>
      <c r="I405" s="4" t="n">
        <v>64832.26552179657</v>
      </c>
      <c r="J405" t="inlineStr">
        <is>
          <t>Нежилое помещение</t>
        </is>
      </c>
      <c r="K405" s="5" t="n">
        <v>23.57</v>
      </c>
      <c r="L405" s="4" t="n">
        <v>2701.33</v>
      </c>
      <c r="M405" t="n">
        <v>2751</v>
      </c>
      <c r="N405" s="6" t="n">
        <v>4709</v>
      </c>
      <c r="O405" t="n">
        <v>24</v>
      </c>
      <c r="Q405" t="inlineStr">
        <is>
          <t>EA</t>
        </is>
      </c>
      <c r="R405" t="inlineStr">
        <is>
          <t>М</t>
        </is>
      </c>
      <c r="S405" s="2">
        <f>HYPERLINK("https://yandex.ru/maps/?&amp;text=56.208454, 44.099896", "56.208454, 44.099896")</f>
        <v/>
      </c>
      <c r="T405" s="2">
        <f>HYPERLINK("D:\venv_torgi\env\cache\objs_in_district/56.208454_44.099896.json", "56.208454_44.099896.json")</f>
        <v/>
      </c>
      <c r="U405" t="inlineStr">
        <is>
          <t>52:26:0030064:2016</t>
        </is>
      </c>
      <c r="V405" t="n">
        <v>1</v>
      </c>
      <c r="Y405" t="n">
        <v>0</v>
      </c>
      <c r="AA405" t="n">
        <v>0</v>
      </c>
      <c r="AB405" t="n">
        <v>0</v>
      </c>
    </row>
    <row r="406">
      <c r="A406" s="7" t="n">
        <v>404</v>
      </c>
      <c r="B406" t="n">
        <v>52</v>
      </c>
      <c r="C406" s="1" t="n">
        <v>125.4</v>
      </c>
      <c r="D406" s="2">
        <f>HYPERLINK("https://torgi.gov.ru/new/public/lots/lot/21000011320000000012_2/(lotInfo:info)", "21000011320000000012_2")</f>
        <v/>
      </c>
      <c r="E406" t="inlineStr">
        <is>
          <t>Нежилое помещение расположено на первом этаже пятиэтажного жилого дома. Имеется 2 отдельных входа: 1 – с фасада, 1 – со двора дома.</t>
        </is>
      </c>
      <c r="F406" s="3" t="inlineStr">
        <is>
          <t>14.03.22 12:00</t>
        </is>
      </c>
      <c r="G406" t="inlineStr">
        <is>
          <t>г Нижний Новгород, Моторный пер, д 4 к 2</t>
        </is>
      </c>
      <c r="H406" s="4" t="n">
        <v>9005064.560000001</v>
      </c>
      <c r="I406" s="4" t="n">
        <v>71810.72216905901</v>
      </c>
      <c r="J406" t="inlineStr">
        <is>
          <t>Нежилое помещение</t>
        </is>
      </c>
      <c r="K406" s="5" t="n">
        <v>11.53</v>
      </c>
      <c r="L406" s="4" t="n">
        <v>5129.29</v>
      </c>
      <c r="M406" t="n">
        <v>6226</v>
      </c>
      <c r="N406" s="6" t="n">
        <v>1276560</v>
      </c>
      <c r="O406" t="n">
        <v>14</v>
      </c>
      <c r="Q406" t="inlineStr">
        <is>
          <t>EA</t>
        </is>
      </c>
      <c r="R406" t="inlineStr">
        <is>
          <t>М</t>
        </is>
      </c>
      <c r="S406" s="2">
        <f>HYPERLINK("https://yandex.ru/maps/?&amp;text=56.256237, 43.86071", "56.256237, 43.86071")</f>
        <v/>
      </c>
      <c r="T406" s="2">
        <f>HYPERLINK("D:\venv_torgi\env\cache\objs_in_district/56.256237_43.86071.json", "56.256237_43.86071.json")</f>
        <v/>
      </c>
      <c r="U406" t="inlineStr">
        <is>
          <t>52:18:0040200:478</t>
        </is>
      </c>
      <c r="V406" t="n">
        <v>1</v>
      </c>
      <c r="Y406" t="n">
        <v>1</v>
      </c>
      <c r="AA406" t="n">
        <v>0</v>
      </c>
      <c r="AB406" t="n">
        <v>0</v>
      </c>
    </row>
    <row r="407">
      <c r="A407" s="7" t="n">
        <v>405</v>
      </c>
      <c r="B407" t="n">
        <v>52</v>
      </c>
      <c r="C407" s="1" t="n">
        <v>10.5</v>
      </c>
      <c r="D407" s="2">
        <f>HYPERLINK("https://torgi.gov.ru/new/public/lots/lot/22000104240000000002_1/(lotInfo:info)", "22000104240000000002_1")</f>
        <v/>
      </c>
      <c r="E407" t="inlineStr">
        <is>
          <t>Нежилое помещениеПлощадь- 10,5 кв.м.Кадастровый номер- 52:25:0010329:2541Количество комнат -1Этажность- 1Материал стен-кирпичГод постройки – примерно 1990г.Процент износа – 23%</t>
        </is>
      </c>
      <c r="F407" s="3" t="inlineStr">
        <is>
          <t>22.08.22 10:00</t>
        </is>
      </c>
      <c r="G407" t="inlineStr">
        <is>
          <t>Нижегородская обл, г Кстово, пр-кт Победы, д 1</t>
        </is>
      </c>
      <c r="H407" s="4" t="n">
        <v>1440000</v>
      </c>
      <c r="I407" s="4" t="n">
        <v>137142.8571428571</v>
      </c>
      <c r="J407" t="inlineStr">
        <is>
          <t>Нежилое помещение</t>
        </is>
      </c>
      <c r="K407" s="5" t="n">
        <v>120.62</v>
      </c>
      <c r="M407" t="n">
        <v>1137</v>
      </c>
      <c r="N407" s="6" t="n">
        <v>67439</v>
      </c>
      <c r="Q407" t="inlineStr">
        <is>
          <t>EA</t>
        </is>
      </c>
      <c r="R407" t="inlineStr">
        <is>
          <t>М</t>
        </is>
      </c>
      <c r="S407" s="2">
        <f>HYPERLINK("https://yandex.ru/maps/?&amp;text=56.152966, 44.20782", "56.152966, 44.20782")</f>
        <v/>
      </c>
      <c r="U407" t="inlineStr">
        <is>
          <t>52:25:0010329:254</t>
        </is>
      </c>
      <c r="V407" t="n">
        <v>1</v>
      </c>
      <c r="Y407" t="n">
        <v>0</v>
      </c>
      <c r="AA407" t="n">
        <v>0</v>
      </c>
      <c r="AB407" t="n">
        <v>0</v>
      </c>
    </row>
    <row r="408">
      <c r="A408" s="7" t="n">
        <v>406</v>
      </c>
      <c r="B408" t="n">
        <v>53</v>
      </c>
      <c r="C408" s="1" t="n">
        <v>66.2</v>
      </c>
      <c r="D408" s="2">
        <f>HYPERLINK("https://torgi.gov.ru/new/public/lots/lot/21000033140000000009_1/(lotInfo:info)", "21000033140000000009_1")</f>
        <v/>
      </c>
      <c r="E408" t="inlineStr">
        <is>
          <t>Нежилое здание с кадастровым номером 53:16:0010309:66 общей площадью 66,2 кв.м., с земельным участком с кадастровым номером 53:16:0010309:24 площадью 326 кв.м., расположенные по адресу: г. Сольцы, ул. Комсомола, д.33б, нежилое здание с кадастровым номером 53:16:0010309:54, общей площадью 79,4 кв.м., расположенное по адресу: г. Сольцы, ул.Комсомола, д.33в.</t>
        </is>
      </c>
      <c r="F408" s="3" t="inlineStr">
        <is>
          <t>05.04.22 07:00</t>
        </is>
      </c>
      <c r="G408" t="inlineStr">
        <is>
          <t>Новгородская обл, г Сольцы, ул Комсомола, д 33б</t>
        </is>
      </c>
      <c r="H408" s="4" t="n">
        <v>163000</v>
      </c>
      <c r="I408" s="4" t="n">
        <v>2462.235649546828</v>
      </c>
      <c r="J408" t="inlineStr">
        <is>
          <t>жилое здание</t>
        </is>
      </c>
      <c r="K408" s="5" t="n">
        <v>4.75</v>
      </c>
      <c r="M408" t="n">
        <v>518</v>
      </c>
      <c r="N408" s="6" t="n">
        <v>8803</v>
      </c>
      <c r="Q408" t="inlineStr">
        <is>
          <t>EA</t>
        </is>
      </c>
      <c r="R408" t="inlineStr">
        <is>
          <t>М</t>
        </is>
      </c>
      <c r="S408" s="2">
        <f>HYPERLINK("https://yandex.ru/maps/?&amp;text=58.11588, 30.310406", "58.11588, 30.310406")</f>
        <v/>
      </c>
      <c r="U408" t="inlineStr">
        <is>
          <t xml:space="preserve">53:16:0010309:66 </t>
        </is>
      </c>
      <c r="V408" t="n">
        <v>1</v>
      </c>
      <c r="Y408" t="n">
        <v>0</v>
      </c>
      <c r="AA408" t="n">
        <v>0</v>
      </c>
      <c r="AB408" t="n">
        <v>1</v>
      </c>
    </row>
    <row r="409">
      <c r="A409" s="7" t="n">
        <v>407</v>
      </c>
      <c r="B409" t="n">
        <v>53</v>
      </c>
      <c r="C409" s="1" t="n">
        <v>212.6</v>
      </c>
      <c r="D409" s="2">
        <f>HYPERLINK("https://torgi.gov.ru/new/public/lots/lot/21000017500000000091_1/(lotInfo:info)", "21000017500000000091_1")</f>
        <v/>
      </c>
      <c r="E409" t="inlineStr">
        <is>
          <t>Нежилое помещение общей площадью 212,6 кв. м, кадастровый номер 53:23:7102007:131, расположенное по адресу Новгородская область, г. Великий Новгород, ул. Федоровский Ручей, д. 9</t>
        </is>
      </c>
      <c r="F409" s="3" t="inlineStr">
        <is>
          <t>27.07.22 13:00</t>
        </is>
      </c>
      <c r="G409" t="inlineStr">
        <is>
          <t>г Великий Новгород, ул Фёдоровский Ручей, д 9, помещ 6н</t>
        </is>
      </c>
      <c r="H409" s="4" t="n">
        <v>627830</v>
      </c>
      <c r="I409" s="4" t="n">
        <v>2953.10442144873</v>
      </c>
      <c r="J409" t="inlineStr">
        <is>
          <t>Нежилое помещение</t>
        </is>
      </c>
      <c r="K409" s="5" t="n">
        <v>1.08</v>
      </c>
      <c r="L409" s="4" t="n">
        <v>47.63</v>
      </c>
      <c r="M409" t="n">
        <v>2737</v>
      </c>
      <c r="N409" s="6" t="n">
        <v>222594</v>
      </c>
      <c r="O409" t="n">
        <v>62</v>
      </c>
      <c r="Q409" t="inlineStr">
        <is>
          <t>BOC</t>
        </is>
      </c>
      <c r="R409" t="inlineStr">
        <is>
          <t>М</t>
        </is>
      </c>
      <c r="S409" s="2">
        <f>HYPERLINK("https://yandex.ru/maps/?&amp;text=58.523891, 31.289947", "58.523891, 31.289947")</f>
        <v/>
      </c>
      <c r="T409" s="2">
        <f>HYPERLINK("D:\venv_torgi\env\cache\objs_in_district/58.523891_31.289947.json", "58.523891_31.289947.json")</f>
        <v/>
      </c>
      <c r="U409" t="inlineStr">
        <is>
          <t xml:space="preserve">53:23:7102007:131, </t>
        </is>
      </c>
      <c r="V409" t="n">
        <v>3</v>
      </c>
      <c r="Y409" t="n">
        <v>0</v>
      </c>
      <c r="AA409" t="n">
        <v>0</v>
      </c>
      <c r="AB409" t="n">
        <v>0</v>
      </c>
    </row>
    <row r="410">
      <c r="A410" s="7" t="n">
        <v>408</v>
      </c>
      <c r="B410" t="n">
        <v>53</v>
      </c>
      <c r="C410" s="1" t="n">
        <v>81.09999999999999</v>
      </c>
      <c r="D410" s="2">
        <f>HYPERLINK("https://torgi.gov.ru/new/public/lots/lot/22000034000000000004_1/(lotInfo:info)", "22000034000000000004_1")</f>
        <v/>
      </c>
      <c r="E410" t="inlineStr">
        <is>
          <t>Нежилое помещение общей площадью 81,1 кв.м, кадастровый номер 53:22:0020655:319, расположенное в цокольном этаже жилого дома по адресу: Новгородская обл., г.Боровичи, ул.Гоголя, 71 А.</t>
        </is>
      </c>
      <c r="F410" s="3" t="inlineStr">
        <is>
          <t>08.03.22 21:00</t>
        </is>
      </c>
      <c r="G410" t="inlineStr">
        <is>
          <t>Новгородская обл, г Боровичи, ул Гоголя, д 71А</t>
        </is>
      </c>
      <c r="H410" s="4" t="n">
        <v>323500</v>
      </c>
      <c r="I410" s="4" t="n">
        <v>3988.902589395808</v>
      </c>
      <c r="J410" t="inlineStr">
        <is>
          <t>Нежилое помещение</t>
        </is>
      </c>
      <c r="K410" s="5" t="n">
        <v>4.29</v>
      </c>
      <c r="M410" t="n">
        <v>930</v>
      </c>
      <c r="N410" s="6" t="n">
        <v>50144</v>
      </c>
      <c r="Q410" t="inlineStr">
        <is>
          <t>PP</t>
        </is>
      </c>
      <c r="R410" t="inlineStr">
        <is>
          <t>М</t>
        </is>
      </c>
      <c r="S410" s="2">
        <f>HYPERLINK("https://yandex.ru/maps/?&amp;text=58.394539, 33.916289", "58.394539, 33.916289")</f>
        <v/>
      </c>
      <c r="U410" t="inlineStr">
        <is>
          <t xml:space="preserve">53:22:0020655:319, </t>
        </is>
      </c>
      <c r="V410" t="n">
        <v>0</v>
      </c>
      <c r="Y410" t="n">
        <v>0</v>
      </c>
      <c r="AA410" t="n">
        <v>0</v>
      </c>
      <c r="AB410" t="n">
        <v>0</v>
      </c>
    </row>
    <row r="411">
      <c r="A411" s="7" t="n">
        <v>409</v>
      </c>
      <c r="B411" t="n">
        <v>53</v>
      </c>
      <c r="C411" s="1" t="n">
        <v>30.9</v>
      </c>
      <c r="D411" s="2">
        <f>HYPERLINK("https://torgi.gov.ru/new/public/lots/lot/21000004810000000002_1/(lotInfo:info)", "21000004810000000002_1")</f>
        <v/>
      </c>
      <c r="E411" t="inlineStr">
        <is>
          <t>- нежилое помещение, общей площадью 30,9 кв.м., с кадастровым № 53:11:1100112:864, расположенное по адресу: Новгородская область Новгородский район, д. Лесная, пл. Мира, д.1.</t>
        </is>
      </c>
      <c r="F411" s="3" t="inlineStr">
        <is>
          <t>28.06.22 12:00</t>
        </is>
      </c>
      <c r="G411" t="inlineStr">
        <is>
          <t>Новгородская обл, Новгородский р-н, деревня Лесная, пл Мира, д 1</t>
        </is>
      </c>
      <c r="H411" s="4" t="n">
        <v>223250</v>
      </c>
      <c r="I411" s="4" t="n">
        <v>7224.919093851133</v>
      </c>
      <c r="J411" t="inlineStr">
        <is>
          <t>Нежилое помещение</t>
        </is>
      </c>
      <c r="K411" s="5" t="n">
        <v>54.32</v>
      </c>
      <c r="M411" t="n">
        <v>133</v>
      </c>
      <c r="N411" s="6" t="n">
        <v>1992</v>
      </c>
      <c r="Q411" t="inlineStr">
        <is>
          <t>EA</t>
        </is>
      </c>
      <c r="R411" t="inlineStr">
        <is>
          <t>М</t>
        </is>
      </c>
      <c r="S411" s="2">
        <f>HYPERLINK("https://yandex.ru/maps/?&amp;text=58.30267, 30.887565", "58.30267, 30.887565")</f>
        <v/>
      </c>
      <c r="U411" t="inlineStr">
        <is>
          <t xml:space="preserve">53:11:1100112:864, </t>
        </is>
      </c>
      <c r="V411" t="n">
        <v>0</v>
      </c>
      <c r="Y411" t="n">
        <v>0</v>
      </c>
      <c r="AA411" t="n">
        <v>0</v>
      </c>
      <c r="AB411" t="n">
        <v>0</v>
      </c>
    </row>
    <row r="412">
      <c r="A412" s="7" t="n">
        <v>410</v>
      </c>
      <c r="B412" t="n">
        <v>53</v>
      </c>
      <c r="C412" s="1" t="n">
        <v>28.7</v>
      </c>
      <c r="D412" s="2">
        <f>HYPERLINK("https://torgi.gov.ru/new/public/lots/lot/22000034000000000005_1/(lotInfo:info)", "22000034000000000005_1")</f>
        <v/>
      </c>
      <c r="E412" t="inlineStr">
        <is>
          <t>Помещение общей площадью 28,7 кв.м, с кадастровым номером 53:22:0020672:148, расположенное на втором этаже здания, находящегося по адресу: Новгородская обл., г.Боровичи, ул.Коммунарная,д.27/25, помещение № 5</t>
        </is>
      </c>
      <c r="F412" s="3" t="inlineStr">
        <is>
          <t>08.03.22 21:00</t>
        </is>
      </c>
      <c r="G412" t="inlineStr">
        <is>
          <t>Новгородская обл, г Боровичи, ул Коммунарная, д 27/25</t>
        </is>
      </c>
      <c r="H412" s="4" t="n">
        <v>218400</v>
      </c>
      <c r="I412" s="4" t="n">
        <v>7609.756097560976</v>
      </c>
      <c r="J412" t="inlineStr">
        <is>
          <t>Нежилое помещение</t>
        </is>
      </c>
      <c r="K412" s="5" t="n">
        <v>9.029999999999999</v>
      </c>
      <c r="M412" t="n">
        <v>843</v>
      </c>
      <c r="N412" s="6" t="n">
        <v>50144</v>
      </c>
      <c r="Q412" t="inlineStr">
        <is>
          <t>EA</t>
        </is>
      </c>
      <c r="R412" t="inlineStr">
        <is>
          <t>М</t>
        </is>
      </c>
      <c r="S412" s="2">
        <f>HYPERLINK("https://yandex.ru/maps/?&amp;text=58.38817, 33.913666", "58.38817, 33.913666")</f>
        <v/>
      </c>
      <c r="U412" t="inlineStr">
        <is>
          <t xml:space="preserve">53:22:0020672:148, </t>
        </is>
      </c>
      <c r="V412" t="n">
        <v>2</v>
      </c>
      <c r="Y412" t="n">
        <v>0</v>
      </c>
      <c r="AA412" t="n">
        <v>0</v>
      </c>
      <c r="AB412" t="n">
        <v>0</v>
      </c>
    </row>
    <row r="413">
      <c r="A413" s="7" t="n">
        <v>411</v>
      </c>
      <c r="B413" t="n">
        <v>53</v>
      </c>
      <c r="C413" s="1" t="n">
        <v>30.3</v>
      </c>
      <c r="D413" s="2">
        <f>HYPERLINK("https://torgi.gov.ru/new/public/lots/lot/22000022680000000001_1/(lotInfo:info)", "22000022680000000001_1")</f>
        <v/>
      </c>
      <c r="E413" t="inlineStr">
        <is>
          <t>нежилое помещение</t>
        </is>
      </c>
      <c r="F413" s="3" t="inlineStr">
        <is>
          <t>21.03.22 14:30</t>
        </is>
      </c>
      <c r="G413" t="inlineStr">
        <is>
          <t>Новгородская обл, г Старая Русса, ул Профсоюзная, д 1 к 3</t>
        </is>
      </c>
      <c r="H413" s="4" t="n">
        <v>2158650</v>
      </c>
      <c r="I413" s="4" t="n">
        <v>71242.57425742575</v>
      </c>
      <c r="J413" t="inlineStr">
        <is>
          <t>Нежилое помещение</t>
        </is>
      </c>
      <c r="K413" s="5" t="n">
        <v>12.92</v>
      </c>
      <c r="L413" s="4" t="n">
        <v>719.62</v>
      </c>
      <c r="M413" t="n">
        <v>5513</v>
      </c>
      <c r="N413" s="6" t="n">
        <v>28464</v>
      </c>
      <c r="O413" t="n">
        <v>99</v>
      </c>
      <c r="Q413" t="inlineStr">
        <is>
          <t>EA</t>
        </is>
      </c>
      <c r="R413" t="inlineStr">
        <is>
          <t>М</t>
        </is>
      </c>
      <c r="S413" s="2">
        <f>HYPERLINK("https://yandex.ru/maps/?&amp;text=57.990744, 31.368667", "57.990744, 31.368667")</f>
        <v/>
      </c>
      <c r="T413" s="2">
        <f>HYPERLINK("D:\venv_torgi\env\cache\objs_in_district/57.990744_31.368667.json", "57.990744_31.368667.json")</f>
        <v/>
      </c>
      <c r="U413" t="inlineStr">
        <is>
          <t xml:space="preserve">53:24:0000000:6352, </t>
        </is>
      </c>
      <c r="V413" t="n">
        <v>1</v>
      </c>
      <c r="Y413" t="n">
        <v>0</v>
      </c>
      <c r="AA413" t="n">
        <v>0</v>
      </c>
      <c r="AB413" t="n">
        <v>0</v>
      </c>
    </row>
    <row r="414">
      <c r="A414" s="7" t="n">
        <v>412</v>
      </c>
      <c r="B414" t="n">
        <v>54</v>
      </c>
      <c r="C414" s="1" t="n">
        <v>293.4</v>
      </c>
      <c r="D414" s="2">
        <f>HYPERLINK("https://torgi.gov.ru/new/public/lots/lot/21000023030000000007_1/(lotInfo:info)", "21000023030000000007_1")</f>
        <v/>
      </c>
      <c r="E414" t="inlineStr">
        <is>
          <t>Помещение, площадь 293,4 кв.м., назначение: нежилое помещение, кадастровый номер: 54:35:033545:741, расположенное по адресу: Новосибирская область, город Новосибирск, улица Аэропорт, дом 7</t>
        </is>
      </c>
      <c r="F414" s="3" t="inlineStr">
        <is>
          <t>15.04.22 05:00</t>
        </is>
      </c>
      <c r="G414" t="inlineStr">
        <is>
          <t>г Новосибирск, ул Аэропорт, д 7</t>
        </is>
      </c>
      <c r="H414" s="4" t="n">
        <v>3436300</v>
      </c>
      <c r="I414" s="4" t="n">
        <v>11711.99727334697</v>
      </c>
      <c r="J414" t="inlineStr">
        <is>
          <t>Нежилое помещение</t>
        </is>
      </c>
      <c r="K414" s="5" t="n">
        <v>2.7</v>
      </c>
      <c r="L414" s="4" t="n">
        <v>433.74</v>
      </c>
      <c r="M414" t="n">
        <v>4339</v>
      </c>
      <c r="N414" s="6" t="n">
        <v>1618039</v>
      </c>
      <c r="O414" t="n">
        <v>27</v>
      </c>
      <c r="Q414" t="inlineStr">
        <is>
          <t>EA</t>
        </is>
      </c>
      <c r="R414" t="inlineStr">
        <is>
          <t>М</t>
        </is>
      </c>
      <c r="S414" s="2">
        <f>HYPERLINK("https://yandex.ru/maps/?&amp;text=55.078267, 82.906919", "55.078267, 82.906919")</f>
        <v/>
      </c>
      <c r="T414" s="2">
        <f>HYPERLINK("D:\venv_torgi\env\cache\objs_in_district/55.078267_82.906919.json", "55.078267_82.906919.json")</f>
        <v/>
      </c>
      <c r="U414" t="inlineStr">
        <is>
          <t xml:space="preserve">54:35:033545:741, </t>
        </is>
      </c>
      <c r="V414" t="n">
        <v>0</v>
      </c>
      <c r="Y414" t="n">
        <v>0</v>
      </c>
      <c r="AA414" t="n">
        <v>0</v>
      </c>
      <c r="AB414" t="n">
        <v>0</v>
      </c>
    </row>
    <row r="415">
      <c r="A415" s="7" t="n">
        <v>413</v>
      </c>
      <c r="B415" t="n">
        <v>54</v>
      </c>
      <c r="C415" s="1" t="n">
        <v>51.9</v>
      </c>
      <c r="D415" s="2">
        <f>HYPERLINK("https://torgi.gov.ru/new/public/lots/lot/21000023030000000009_1/(lotInfo:info)", "21000023030000000009_1")</f>
        <v/>
      </c>
      <c r="E415" t="inlineStr">
        <is>
          <t>Помещение площадью 51,9 кв.м., назначение: нежилое, кадастровый номер: 54:01:010117:378, расположенное по адресу: Новосибирская область, Баганский район, село Баган, улица Максима Горького, дом 20.</t>
        </is>
      </c>
      <c r="F415" s="3" t="inlineStr">
        <is>
          <t>15.08.22 05:00</t>
        </is>
      </c>
      <c r="G415" t="inlineStr">
        <is>
          <t>Новосибирская область, Баганский район, село Баган, улица Максима Горького, дом 20</t>
        </is>
      </c>
      <c r="H415" s="4" t="n">
        <v>661517</v>
      </c>
      <c r="I415" s="4" t="n">
        <v>12745.99229287091</v>
      </c>
      <c r="J415" t="inlineStr">
        <is>
          <t>Нежилое помещение</t>
        </is>
      </c>
      <c r="Q415" t="inlineStr">
        <is>
          <t>EA</t>
        </is>
      </c>
      <c r="R415" t="inlineStr">
        <is>
          <t>М</t>
        </is>
      </c>
      <c r="U415" t="inlineStr">
        <is>
          <t xml:space="preserve">54:01:010117:378, </t>
        </is>
      </c>
      <c r="V415" t="n">
        <v>0</v>
      </c>
      <c r="Y415" t="n">
        <v>0</v>
      </c>
      <c r="AA415" t="n">
        <v>0</v>
      </c>
      <c r="AB415" t="n">
        <v>0</v>
      </c>
    </row>
    <row r="416">
      <c r="A416" s="7" t="n">
        <v>414</v>
      </c>
      <c r="B416" t="n">
        <v>54</v>
      </c>
      <c r="C416" s="1" t="n">
        <v>140.5</v>
      </c>
      <c r="D416" s="2">
        <f>HYPERLINK("https://torgi.gov.ru/new/public/lots/lot/21000008240000000005_1/(lotInfo:info)", "21000008240000000005_1")</f>
        <v/>
      </c>
      <c r="E416" t="inlineStr">
        <is>
          <t>Нежилое помещение на 1 этаже по адресу: Российская Федерация, Новосибирская область, город Новосибирск, Ленинский район, ул. Большая. Площадь помещения – 140,5 кв. м.</t>
        </is>
      </c>
      <c r="F416" s="3" t="inlineStr">
        <is>
          <t>14.03.22 07:00</t>
        </is>
      </c>
      <c r="G416" t="inlineStr">
        <is>
          <t>г Новосибирск, ул Большая</t>
        </is>
      </c>
      <c r="H416" s="4" t="n">
        <v>1957000</v>
      </c>
      <c r="I416" s="4" t="n">
        <v>13928.8256227758</v>
      </c>
      <c r="J416" t="inlineStr">
        <is>
          <t>Нежилое помещение</t>
        </is>
      </c>
      <c r="K416" s="5" t="n">
        <v>2.95</v>
      </c>
      <c r="L416" s="4" t="inlineStr"/>
      <c r="M416" t="n">
        <v>4728</v>
      </c>
      <c r="N416" s="6" t="n">
        <v>1618039</v>
      </c>
      <c r="O416" t="inlineStr"/>
      <c r="Q416" t="inlineStr">
        <is>
          <t>EA</t>
        </is>
      </c>
      <c r="R416" t="inlineStr">
        <is>
          <t>М</t>
        </is>
      </c>
      <c r="S416" s="2">
        <f>HYPERLINK("https://yandex.ru/maps/?&amp;text=55.011144, 82.856505", "55.011144, 82.856505")</f>
        <v/>
      </c>
      <c r="T416" s="8">
        <f>HYPERLINK("D:\venv_torgi\env\cache\objs_in_district/55.011144_82.856505.json", "55.011144_82.856505.json")</f>
        <v/>
      </c>
      <c r="U416" t="inlineStr">
        <is>
          <t>54:35:061490:3590</t>
        </is>
      </c>
      <c r="V416" t="n">
        <v>1</v>
      </c>
      <c r="Y416" t="n">
        <v>0</v>
      </c>
      <c r="AA416" t="n">
        <v>0</v>
      </c>
      <c r="AB416" t="n">
        <v>0</v>
      </c>
    </row>
    <row r="417">
      <c r="A417" s="7" t="n">
        <v>415</v>
      </c>
      <c r="B417" t="n">
        <v>54</v>
      </c>
      <c r="C417" s="1" t="n">
        <v>72.09999999999999</v>
      </c>
      <c r="D417" s="2">
        <f>HYPERLINK("https://torgi.gov.ru/new/public/lots/lot/21000008240000000005_4/(lotInfo:info)", "21000008240000000005_4")</f>
        <v/>
      </c>
      <c r="E417" t="inlineStr">
        <is>
          <t>4. Нежилое помещение на цокольном этаже по адресу: Российская Федерация, Новосибирская область, город Новосибирск, Кировский район, ул. Сибиряков-Гвардейцев, 44/4. Площадь помещения – 72,1 кв. м.</t>
        </is>
      </c>
      <c r="F417" s="3" t="inlineStr">
        <is>
          <t>14.03.22 07:00</t>
        </is>
      </c>
      <c r="G417" t="inlineStr">
        <is>
          <t>г Новосибирск, ул Сибиряков-Гвардейцев, д 44/4</t>
        </is>
      </c>
      <c r="H417" s="4" t="n">
        <v>1537000</v>
      </c>
      <c r="I417" s="4" t="n">
        <v>21317.61442441054</v>
      </c>
      <c r="J417" t="inlineStr">
        <is>
          <t>Нежилое помещение</t>
        </is>
      </c>
      <c r="K417" s="5" t="n">
        <v>4.85</v>
      </c>
      <c r="L417" s="4" t="n">
        <v>1776.42</v>
      </c>
      <c r="M417" t="n">
        <v>4398</v>
      </c>
      <c r="N417" s="6" t="n">
        <v>1618039</v>
      </c>
      <c r="O417" t="n">
        <v>12</v>
      </c>
      <c r="Q417" t="inlineStr">
        <is>
          <t>EA</t>
        </is>
      </c>
      <c r="R417" t="inlineStr">
        <is>
          <t>М</t>
        </is>
      </c>
      <c r="S417" s="2">
        <f>HYPERLINK("https://yandex.ru/maps/?&amp;text=54.966086, 82.8994", "54.966086, 82.8994")</f>
        <v/>
      </c>
      <c r="T417" s="2">
        <f>HYPERLINK("D:\venv_torgi\env\cache\objs_in_district/54.966086_82.8994.json", "54.966086_82.8994.json")</f>
        <v/>
      </c>
      <c r="U417" t="inlineStr">
        <is>
          <t>54:35:051835:828</t>
        </is>
      </c>
      <c r="V417" t="n">
        <v>0</v>
      </c>
      <c r="Y417" t="n">
        <v>0</v>
      </c>
      <c r="AA417" t="n">
        <v>0</v>
      </c>
      <c r="AB417" t="n">
        <v>0</v>
      </c>
    </row>
    <row r="418">
      <c r="A418" s="7" t="n">
        <v>416</v>
      </c>
      <c r="B418" t="n">
        <v>55</v>
      </c>
      <c r="C418" s="1" t="n">
        <v>449.72</v>
      </c>
      <c r="D418" s="2">
        <f>HYPERLINK("https://torgi.gov.ru/new/public/lots/lot/22000083180000000002_1/(lotInfo:info)", "22000083180000000002_1")</f>
        <v/>
      </c>
      <c r="E418" t="inlineStr">
        <is>
          <t>Нежилые помещения №№ 39-66 на поэтажном плане 1 этажа общей площадью 449,7 кв.м., расположенные в нежилом здании по адресу: Омская область, Омский район, п. Ростовка, д. 21, кадастровый номер 55:20:210101:3333</t>
        </is>
      </c>
      <c r="F418" s="3" t="inlineStr">
        <is>
          <t>03.06.22 12:00</t>
        </is>
      </c>
      <c r="G418" t="inlineStr">
        <is>
          <t>Омская обл, Омский р-н, поселок Ростовка, д 21</t>
        </is>
      </c>
      <c r="H418" s="4" t="n">
        <v>3520000</v>
      </c>
      <c r="I418" s="4" t="n">
        <v>7827.092413057013</v>
      </c>
      <c r="J418" t="inlineStr">
        <is>
          <t>Нежилое помещение</t>
        </is>
      </c>
      <c r="K418" s="5" t="n">
        <v>2.61</v>
      </c>
      <c r="L418" s="4" t="n">
        <v>602.08</v>
      </c>
      <c r="M418" t="n">
        <v>3003</v>
      </c>
      <c r="N418" s="6" t="n">
        <v>6058</v>
      </c>
      <c r="O418" t="n">
        <v>13</v>
      </c>
      <c r="Q418" t="inlineStr">
        <is>
          <t>EA</t>
        </is>
      </c>
      <c r="R418" t="inlineStr">
        <is>
          <t>М</t>
        </is>
      </c>
      <c r="S418" s="2">
        <f>HYPERLINK("https://yandex.ru/maps/?&amp;text=55.018154, 73.578786", "55.018154, 73.578786")</f>
        <v/>
      </c>
      <c r="T418" s="2">
        <f>HYPERLINK("D:\venv_torgi\env\cache\objs_in_district/55.018154_73.578786.json", "55.018154_73.578786.json")</f>
        <v/>
      </c>
      <c r="U418" t="inlineStr">
        <is>
          <t>55:20:210101:3333</t>
        </is>
      </c>
      <c r="V418" t="n">
        <v>1</v>
      </c>
      <c r="Y418" t="n">
        <v>0</v>
      </c>
      <c r="AA418" t="n">
        <v>0</v>
      </c>
      <c r="AB418" t="n">
        <v>0</v>
      </c>
    </row>
    <row r="419">
      <c r="A419" s="7" t="n">
        <v>417</v>
      </c>
      <c r="B419" t="n">
        <v>55</v>
      </c>
      <c r="C419" s="1" t="n">
        <v>64.40000000000001</v>
      </c>
      <c r="D419" s="2">
        <f>HYPERLINK("https://torgi.gov.ru/new/public/lots/lot/21000018980000000001_1/(lotInfo:info)", "21000018980000000001_1")</f>
        <v/>
      </c>
      <c r="E419" t="inlineStr">
        <is>
          <t>нежилое помещение, назначение: нежилое. Общая площадь – 64,4 кв.м. Адрес: Омская область, Омский район, с. Розовка, ул. Парковая, д. 12 пом. 2П. Этаж 1. Кадастровый номер: 55:20:200101:5436</t>
        </is>
      </c>
      <c r="F419" s="3" t="inlineStr">
        <is>
          <t>29.04.22 11:00</t>
        </is>
      </c>
      <c r="G419" t="inlineStr">
        <is>
          <t>Омская обл, Омский р-н, село Розовка, ул Парковая, д 12, помещ 2п</t>
        </is>
      </c>
      <c r="H419" s="4" t="n">
        <v>1320000</v>
      </c>
      <c r="I419" s="4" t="n">
        <v>20496.89440993789</v>
      </c>
      <c r="J419" t="inlineStr">
        <is>
          <t>Нежилое помещение</t>
        </is>
      </c>
      <c r="K419" s="5" t="n">
        <v>23.67</v>
      </c>
      <c r="L419" s="4" t="n">
        <v>20496</v>
      </c>
      <c r="M419" t="n">
        <v>866</v>
      </c>
      <c r="N419" s="6" t="n">
        <v>2367</v>
      </c>
      <c r="O419" t="n">
        <v>1</v>
      </c>
      <c r="Q419" t="inlineStr">
        <is>
          <t>EA</t>
        </is>
      </c>
      <c r="R419" t="inlineStr">
        <is>
          <t>М</t>
        </is>
      </c>
      <c r="S419" s="2">
        <f>HYPERLINK("https://yandex.ru/maps/?&amp;text=54.71001, 73.67658", "54.71001, 73.67658")</f>
        <v/>
      </c>
      <c r="T419" s="2">
        <f>HYPERLINK("D:\venv_torgi\env\cache\objs_in_district/54.71001_73.67658.json", "54.71001_73.67658.json")</f>
        <v/>
      </c>
      <c r="U419" t="inlineStr">
        <is>
          <t>55:20:200101:5436</t>
        </is>
      </c>
      <c r="V419" t="n">
        <v>1</v>
      </c>
      <c r="Y419" t="n">
        <v>0</v>
      </c>
      <c r="AA419" t="n">
        <v>0</v>
      </c>
      <c r="AB419" t="n">
        <v>0</v>
      </c>
    </row>
    <row r="420">
      <c r="A420" s="7" t="n">
        <v>418</v>
      </c>
      <c r="B420" t="n">
        <v>55</v>
      </c>
      <c r="C420" s="1" t="n">
        <v>73.5</v>
      </c>
      <c r="D420" s="2">
        <f>HYPERLINK("https://torgi.gov.ru/new/public/lots/lot/22000012250000000003_3/(lotInfo:info)", "22000012250000000003_3")</f>
        <v/>
      </c>
      <c r="E420" t="inlineStr">
        <is>
          <t>Нежилое помещение 5П с кадастровым номером 55:36:000000:27362, площадью 73,2 кв. м, расположенное на 1 этаже</t>
        </is>
      </c>
      <c r="F420" s="3" t="inlineStr">
        <is>
          <t>18.03.22 10:00</t>
        </is>
      </c>
      <c r="G420" t="inlineStr">
        <is>
          <t>г Омск, Космический пр-кт, д 18</t>
        </is>
      </c>
      <c r="H420" s="4" t="n">
        <v>1930280</v>
      </c>
      <c r="I420" s="4" t="n">
        <v>26262.31292517007</v>
      </c>
      <c r="J420" t="inlineStr">
        <is>
          <t>Нежилое помещение</t>
        </is>
      </c>
      <c r="K420" s="5" t="n">
        <v>5.86</v>
      </c>
      <c r="L420" s="4" t="n">
        <v>1313.1</v>
      </c>
      <c r="M420" t="n">
        <v>4480</v>
      </c>
      <c r="N420" s="6" t="n">
        <v>1178391</v>
      </c>
      <c r="O420" t="n">
        <v>20</v>
      </c>
      <c r="Q420" t="inlineStr">
        <is>
          <t>EA</t>
        </is>
      </c>
      <c r="R420" t="inlineStr">
        <is>
          <t>М</t>
        </is>
      </c>
      <c r="S420" s="2">
        <f>HYPERLINK("https://yandex.ru/maps/?&amp;text=54.971967, 73.452842", "54.971967, 73.452842")</f>
        <v/>
      </c>
      <c r="T420" s="2">
        <f>HYPERLINK("D:\venv_torgi\env\cache\objs_in_district/54.971967_73.452842.json", "54.971967_73.452842.json")</f>
        <v/>
      </c>
      <c r="U420" t="inlineStr">
        <is>
          <t xml:space="preserve">55:36:000000:27362, </t>
        </is>
      </c>
      <c r="V420" t="n">
        <v>1</v>
      </c>
      <c r="Y420" t="n">
        <v>0</v>
      </c>
      <c r="AA420" t="n">
        <v>0</v>
      </c>
      <c r="AB420" t="n">
        <v>0</v>
      </c>
    </row>
    <row r="421">
      <c r="A421" s="7" t="n">
        <v>419</v>
      </c>
      <c r="B421" t="n">
        <v>56</v>
      </c>
      <c r="C421" s="1" t="n">
        <v>256.2</v>
      </c>
      <c r="D421" s="2">
        <f>HYPERLINK("https://torgi.gov.ru/new/public/lots/lot/22000024510000000004_1/(lotInfo:info)", "22000024510000000004_1")</f>
        <v/>
      </c>
      <c r="E421" t="inlineStr">
        <is>
          <t>Помещение, нежилое, площадь объекта 256,2 кв.м. адрес: Оренбургская область, Илекский район, с. Илек, ул. Восточная, дом № 1, пом. № 1, кадастровый номер 56:12:0201001:521. Этажность: 1</t>
        </is>
      </c>
      <c r="F421" s="3" t="inlineStr">
        <is>
          <t>01.08.22 12:00</t>
        </is>
      </c>
      <c r="G421" t="inlineStr">
        <is>
          <t>Оренбургская обл, село Илек, ул Восточная, д 1</t>
        </is>
      </c>
      <c r="H421" s="4" t="n">
        <v>279780</v>
      </c>
      <c r="I421" s="4" t="n">
        <v>1092.037470725995</v>
      </c>
      <c r="J421" t="inlineStr">
        <is>
          <t>Нежилое помещение</t>
        </is>
      </c>
      <c r="K421" s="5" t="n">
        <v>1.99</v>
      </c>
      <c r="M421" t="n">
        <v>550</v>
      </c>
      <c r="N421" s="6" t="n">
        <v>11049</v>
      </c>
      <c r="Q421" t="inlineStr">
        <is>
          <t>EA</t>
        </is>
      </c>
      <c r="R421" t="inlineStr">
        <is>
          <t>М</t>
        </is>
      </c>
      <c r="S421" s="2">
        <f>HYPERLINK("https://yandex.ru/maps/?&amp;text=51.524031, 53.390435", "51.524031, 53.390435")</f>
        <v/>
      </c>
      <c r="U421" t="inlineStr">
        <is>
          <t>56:12:0201001:521</t>
        </is>
      </c>
      <c r="V421" t="n">
        <v>1</v>
      </c>
      <c r="Y421" t="n">
        <v>0</v>
      </c>
      <c r="AA421" t="n">
        <v>0</v>
      </c>
      <c r="AB421" t="n">
        <v>0</v>
      </c>
    </row>
    <row r="422">
      <c r="A422" s="7" t="n">
        <v>420</v>
      </c>
      <c r="B422" t="n">
        <v>56</v>
      </c>
      <c r="C422" s="1" t="n">
        <v>179.7</v>
      </c>
      <c r="D422" s="2">
        <f>HYPERLINK("https://torgi.gov.ru/new/public/lots/lot/22000101880000000001_1/(lotInfo:info)", "22000101880000000001_1")</f>
        <v/>
      </c>
      <c r="E422" t="inlineStr">
        <is>
          <t>помещение, назначение: нежилое, общая площадь 179,7 кв.м., этаж 1,2, кадастровый номер 56:23:0401001:321, расположенное по адресу: Оренбургская область, Переволоцкий район, с. Зубочистка Вторая, ул. Центральная, д.11, пом.2.</t>
        </is>
      </c>
      <c r="F422" s="3" t="inlineStr">
        <is>
          <t>20.06.22 07:00</t>
        </is>
      </c>
      <c r="G422" t="inlineStr">
        <is>
          <t>Оренбургская обл, Переволоцкий р-н, село Зубочистка Вторая, ул Центральная, д 11</t>
        </is>
      </c>
      <c r="H422" s="4" t="n">
        <v>600000</v>
      </c>
      <c r="I422" s="4" t="n">
        <v>3338.89816360601</v>
      </c>
      <c r="J422" t="inlineStr">
        <is>
          <t>Нежилое помещение</t>
        </is>
      </c>
      <c r="K422" s="5" t="n">
        <v>13.74</v>
      </c>
      <c r="L422" s="4" t="n">
        <v>1112.67</v>
      </c>
      <c r="M422" t="n">
        <v>243</v>
      </c>
      <c r="N422" s="6" t="n">
        <v>567</v>
      </c>
      <c r="O422" t="n">
        <v>3</v>
      </c>
      <c r="Q422" t="inlineStr">
        <is>
          <t>EA</t>
        </is>
      </c>
      <c r="R422" t="inlineStr">
        <is>
          <t>М</t>
        </is>
      </c>
      <c r="S422" s="2">
        <f>HYPERLINK("https://yandex.ru/maps/?&amp;text=51.667953, 54.198029", "51.667953, 54.198029")</f>
        <v/>
      </c>
      <c r="T422" s="2">
        <f>HYPERLINK("D:\venv_torgi\env\cache\objs_in_district/51.667953_54.198029.json", "51.667953_54.198029.json")</f>
        <v/>
      </c>
      <c r="U422" t="inlineStr">
        <is>
          <t xml:space="preserve">56:23:0401001:321, </t>
        </is>
      </c>
      <c r="V422" t="n">
        <v>1</v>
      </c>
      <c r="Y422" t="n">
        <v>0</v>
      </c>
      <c r="AA422" t="n">
        <v>0</v>
      </c>
      <c r="AB422" t="n">
        <v>0</v>
      </c>
    </row>
    <row r="423">
      <c r="A423" s="7" t="n">
        <v>421</v>
      </c>
      <c r="B423" t="n">
        <v>56</v>
      </c>
      <c r="C423" s="1" t="n">
        <v>78.5</v>
      </c>
      <c r="D423" s="2">
        <f>HYPERLINK("https://torgi.gov.ru/new/public/lots/lot/22000123970000000001_1/(lotInfo:info)", "22000123970000000001_1")</f>
        <v/>
      </c>
      <c r="E423" t="inlineStr">
        <is>
          <t>Нежилое помещение, общей площадью 78,5 кв.м, с кадастровым номером 56:28:1304015:285, расположенного по адресу: Оренбургская область, Северный район, с. Северное, ул. Чапаева, д.43 помещение 1</t>
        </is>
      </c>
      <c r="F423" s="3" t="inlineStr">
        <is>
          <t>03.08.22 12:00</t>
        </is>
      </c>
      <c r="G423" t="inlineStr">
        <is>
          <t>Оренбургская обл, село Северное, ул Чапаева, д 43</t>
        </is>
      </c>
      <c r="H423" s="4" t="n">
        <v>283867.5</v>
      </c>
      <c r="I423" s="4" t="n">
        <v>3616.146496815287</v>
      </c>
      <c r="J423" t="inlineStr">
        <is>
          <t>Нежилое помещение</t>
        </is>
      </c>
      <c r="K423" s="5" t="n">
        <v>6.76</v>
      </c>
      <c r="M423" t="n">
        <v>535</v>
      </c>
      <c r="N423" s="6" t="n">
        <v>9336</v>
      </c>
      <c r="Q423" t="inlineStr">
        <is>
          <t>EA</t>
        </is>
      </c>
      <c r="R423" t="inlineStr">
        <is>
          <t>М</t>
        </is>
      </c>
      <c r="S423" s="2">
        <f>HYPERLINK("https://yandex.ru/maps/?&amp;text=54.097929, 52.537448", "54.097929, 52.537448")</f>
        <v/>
      </c>
      <c r="U423" t="inlineStr">
        <is>
          <t xml:space="preserve">56:28:1304015:285, </t>
        </is>
      </c>
      <c r="V423" t="n">
        <v>1</v>
      </c>
      <c r="Y423" t="n">
        <v>0</v>
      </c>
      <c r="AA423" t="n">
        <v>0</v>
      </c>
      <c r="AB423" t="n">
        <v>0</v>
      </c>
    </row>
    <row r="424">
      <c r="A424" s="7" t="n">
        <v>422</v>
      </c>
      <c r="B424" t="n">
        <v>56</v>
      </c>
      <c r="C424" s="1" t="n">
        <v>129.9</v>
      </c>
      <c r="D424" s="2">
        <f>HYPERLINK("https://torgi.gov.ru/new/public/lots/lot/21000028380000000003_5/(lotInfo:info)", "21000028380000000003_5")</f>
        <v/>
      </c>
      <c r="E424" t="inlineStr">
        <is>
          <t>помещение, назначение: нежилое, номер, тип этажа, на котором расположено помещение: этаж № 1, площадь 129,9 кв. м, местоположение: Оренбургская область, г. Оренбург, ул. Театральная, дом № 17, помещение № 1, кадастровый номер: 56:44:0114001:1404</t>
        </is>
      </c>
      <c r="F424" s="3" t="inlineStr">
        <is>
          <t>11.04.22 06:00</t>
        </is>
      </c>
      <c r="G424" t="inlineStr">
        <is>
          <t>г Оренбург, ул Театральная, д 17</t>
        </is>
      </c>
      <c r="H424" s="4" t="n">
        <v>1642800</v>
      </c>
      <c r="I424" s="4" t="n">
        <v>12646.65127020785</v>
      </c>
      <c r="J424" t="inlineStr">
        <is>
          <t>Нежилое помещение</t>
        </is>
      </c>
      <c r="K424" s="5" t="n">
        <v>2.08</v>
      </c>
      <c r="L424" s="4" t="n">
        <v>395.19</v>
      </c>
      <c r="M424" t="n">
        <v>6066</v>
      </c>
      <c r="N424" s="6" t="n">
        <v>580261</v>
      </c>
      <c r="O424" t="n">
        <v>32</v>
      </c>
      <c r="Q424" t="inlineStr">
        <is>
          <t>EA</t>
        </is>
      </c>
      <c r="R424" t="inlineStr">
        <is>
          <t>М</t>
        </is>
      </c>
      <c r="S424" s="2">
        <f>HYPERLINK("https://yandex.ru/maps/?&amp;text=51.83182, 55.1298", "51.83182, 55.1298")</f>
        <v/>
      </c>
      <c r="T424" s="2">
        <f>HYPERLINK("D:\venv_torgi\env\cache\objs_in_district/51.83182_55.1298.json", "51.83182_55.1298.json")</f>
        <v/>
      </c>
      <c r="U424" t="inlineStr">
        <is>
          <t>56:44:0114001:1404</t>
        </is>
      </c>
      <c r="V424" t="n">
        <v>1</v>
      </c>
      <c r="Y424" t="n">
        <v>0</v>
      </c>
      <c r="AA424" t="n">
        <v>0</v>
      </c>
      <c r="AB424" t="n">
        <v>0</v>
      </c>
    </row>
    <row r="425">
      <c r="A425" s="7" t="n">
        <v>423</v>
      </c>
      <c r="B425" t="n">
        <v>56</v>
      </c>
      <c r="C425" s="1" t="n">
        <v>69.8</v>
      </c>
      <c r="D425" s="2">
        <f>HYPERLINK("https://torgi.gov.ru/new/public/lots/lot/21000028810000000001_1/(lotInfo:info)", "21000028810000000001_1")</f>
        <v/>
      </c>
      <c r="E425" t="inlineStr">
        <is>
          <t>Нежилого помещение общей площадью 69,8 кв.м., с кадастровым номером 56:31:1301019:248, расположенное по адресу: Оренбургская область, Ташлинский район, с. Ташла, ул. Довженко, дом 31а,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      </is>
      </c>
      <c r="F425" s="3" t="inlineStr">
        <is>
          <t>08.04.22 05:00</t>
        </is>
      </c>
      <c r="G425" t="inlineStr">
        <is>
          <t>Оренбургская обл, село Ташла, ул Довженко, зд 31А</t>
        </is>
      </c>
      <c r="H425" s="4" t="n">
        <v>1576975</v>
      </c>
      <c r="I425" s="4" t="n">
        <v>22592.76504297994</v>
      </c>
      <c r="J425" t="inlineStr">
        <is>
          <t>Нежилое помещение</t>
        </is>
      </c>
      <c r="K425" s="5" t="n">
        <v>11.65</v>
      </c>
      <c r="L425" s="4" t="n">
        <v>1026.91</v>
      </c>
      <c r="M425" t="n">
        <v>1939</v>
      </c>
      <c r="N425" s="6" t="n">
        <v>6013</v>
      </c>
      <c r="O425" t="n">
        <v>22</v>
      </c>
      <c r="Q425" t="inlineStr">
        <is>
          <t>EA</t>
        </is>
      </c>
      <c r="R425" t="inlineStr">
        <is>
          <t>М</t>
        </is>
      </c>
      <c r="S425" s="2">
        <f>HYPERLINK("https://yandex.ru/maps/?&amp;text=51.766443, 52.750637", "51.766443, 52.750637")</f>
        <v/>
      </c>
      <c r="T425" s="2">
        <f>HYPERLINK("D:\venv_torgi\env\cache\objs_in_district/51.766443_52.750637.json", "51.766443_52.750637.json")</f>
        <v/>
      </c>
      <c r="U425" t="inlineStr">
        <is>
          <t xml:space="preserve">56:31:1301019:248, </t>
        </is>
      </c>
      <c r="V425" t="n">
        <v>1</v>
      </c>
      <c r="Y425" t="n">
        <v>0</v>
      </c>
      <c r="AA425" t="n">
        <v>0</v>
      </c>
      <c r="AB425" t="n">
        <v>0</v>
      </c>
    </row>
    <row r="426">
      <c r="A426" s="7" t="n">
        <v>424</v>
      </c>
      <c r="B426" t="n">
        <v>57</v>
      </c>
      <c r="C426" s="1" t="n">
        <v>308.3</v>
      </c>
      <c r="D426" s="2">
        <f>HYPERLINK("https://torgi.gov.ru/new/public/lots/lot/22000110630000000002_1/(lotInfo:info)", "22000110630000000002_1")</f>
        <v/>
      </c>
      <c r="E426" t="inlineStr">
        <is>
          <t>-   Котельная, назначение: нежилое здание, общая площадь 308,3 кв. м, инвентарный номер: 54:255:002:010032830, этажность 1, кадастровый номер 57:06:0000000:237, адрес (местонахождение) объекта: Орловская область, Урицкий район, с.Бунино;- земельный участок, категория земель: земли населенных пунктов с видом разрешенного использования: земельные участки, предназначенные для обслуживания котельной общая площадь 1785 кв. м, кадастровый номер 57:06:0100101:436, адрес (местонахождение) объекта: Орловская область, Урицкий район, с.Бунино</t>
        </is>
      </c>
      <c r="F426" s="3" t="inlineStr">
        <is>
          <t>09.08.22 21:00</t>
        </is>
      </c>
      <c r="G426" t="inlineStr">
        <is>
          <t>с.Бунино</t>
        </is>
      </c>
      <c r="H426" s="4" t="n">
        <v>379296.63</v>
      </c>
      <c r="I426" s="4" t="n">
        <v>1230.284236133636</v>
      </c>
      <c r="J426" t="inlineStr">
        <is>
          <t>Котельная</t>
        </is>
      </c>
      <c r="Q426" t="inlineStr">
        <is>
          <t>EA</t>
        </is>
      </c>
      <c r="R426" t="inlineStr">
        <is>
          <t>М</t>
        </is>
      </c>
      <c r="U426" t="inlineStr">
        <is>
          <t xml:space="preserve">57:06:0000000:237, </t>
        </is>
      </c>
      <c r="V426" t="n">
        <v>1</v>
      </c>
      <c r="Y426" t="n">
        <v>0</v>
      </c>
      <c r="AA426" t="n">
        <v>0</v>
      </c>
      <c r="AB426" t="n">
        <v>1</v>
      </c>
    </row>
    <row r="427">
      <c r="A427" s="7" t="n">
        <v>425</v>
      </c>
      <c r="B427" t="n">
        <v>57</v>
      </c>
      <c r="C427" s="1" t="n">
        <v>51.7</v>
      </c>
      <c r="D427" s="2">
        <f>HYPERLINK("https://torgi.gov.ru/new/public/lots/lot/22000057140000000004_1/(lotInfo:info)", "22000057140000000004_1")</f>
        <v/>
      </c>
      <c r="E427" t="inlineStr">
        <is>
          <t>Помещение, наименование: помещение, назначение: нежилое, общая площадь 51,7 кв.м., кадастровый номер 57:26:0010220:1988, адрес объекта: Орловская область, г. Ливны, ул. Ленина, д.6, пом.7.Имущество обременено обязанностью нового собственника по выполнению требований, установленных Федеральным законом от 25 июня 2002 № 73-ФЗ «Об объектах культурного наследия (памятниках истории и культуры) народов Российской Федерации» и охранным обязательством собственника или иного законного владельца объекта культурного наследия, включенного в единый государственный реестр объектов культурного наследия (памятников истории и культуры) народов Российской Федерации, утвержденным приказом управления по государственной охране объектов культурного наследия Орловской области от 13 октября 2016 года №154</t>
        </is>
      </c>
      <c r="F427" s="3" t="inlineStr">
        <is>
          <t>20.05.22 20:59</t>
        </is>
      </c>
      <c r="G427" t="inlineStr">
        <is>
          <t>Орловская обл, г Ливны, ул Ленина, д 6</t>
        </is>
      </c>
      <c r="H427" s="4" t="n">
        <v>176000</v>
      </c>
      <c r="I427" s="4" t="n">
        <v>3404.255319148936</v>
      </c>
      <c r="J427" t="inlineStr">
        <is>
          <t>Нежилое помещение</t>
        </is>
      </c>
      <c r="K427" s="5" t="n">
        <v>1.75</v>
      </c>
      <c r="M427" t="n">
        <v>1947</v>
      </c>
      <c r="N427" s="6" t="n">
        <v>47179</v>
      </c>
      <c r="Q427" t="inlineStr">
        <is>
          <t>EK</t>
        </is>
      </c>
      <c r="R427" t="inlineStr">
        <is>
          <t>М</t>
        </is>
      </c>
      <c r="S427" s="2">
        <f>HYPERLINK("https://yandex.ru/maps/?&amp;text=52.425743, 37.607735", "52.425743, 37.607735")</f>
        <v/>
      </c>
      <c r="U427" t="inlineStr">
        <is>
          <t xml:space="preserve">57:26:0010220:1988, </t>
        </is>
      </c>
      <c r="V427" t="n">
        <v>0</v>
      </c>
      <c r="Y427" t="n">
        <v>0</v>
      </c>
      <c r="Z427" t="n">
        <v>1</v>
      </c>
      <c r="AA427" t="n">
        <v>0</v>
      </c>
      <c r="AB427" t="n">
        <v>0</v>
      </c>
    </row>
    <row r="428">
      <c r="A428" s="7" t="n">
        <v>426</v>
      </c>
      <c r="B428" t="n">
        <v>57</v>
      </c>
      <c r="C428" s="1" t="n">
        <v>32.3</v>
      </c>
      <c r="D428" s="2">
        <f>HYPERLINK("https://torgi.gov.ru/new/public/lots/lot/22000057140000000003_1/(lotInfo:info)", "22000057140000000003_1")</f>
        <v/>
      </c>
      <c r="E428" t="inlineStr">
        <is>
          <t>Помещение, наименование: помещение, назначение: нежилое, общая площадь 32,3 кв.м., кадастровый номер 57:26:0010220:1031, адрес объекта: Орловская область, г. Ливны, ул. Ленина, д.6, пом.6.Имущество обременено обязанностью нового собственника по выполнению требований, установленных Федеральным законом от 25 июня 2002 № 73-ФЗ «Об объектах культурного наследия (памятниках истории и культуры) народов Российской Федерации» и охранным обязательством собственника или иного законного владельца объекта культурного наследия, включенного в единый государственный реестр объектов культурного наследия (памятников истории и культуры) народов Российской Федерации, утвержденным приказом управления по государственной охране объектов культурного наследия Орловской области от 13 октября 2016 года №154</t>
        </is>
      </c>
      <c r="F428" s="3" t="inlineStr">
        <is>
          <t>20.05.22 20:59</t>
        </is>
      </c>
      <c r="G428" t="inlineStr">
        <is>
          <t>Орловская обл, г Ливны, ул Ленина, д 6</t>
        </is>
      </c>
      <c r="H428" s="4" t="n">
        <v>110000</v>
      </c>
      <c r="I428" s="4" t="n">
        <v>3405.572755417957</v>
      </c>
      <c r="J428" t="inlineStr">
        <is>
          <t>Нежилое помещение</t>
        </is>
      </c>
      <c r="K428" s="5" t="n">
        <v>1.75</v>
      </c>
      <c r="M428" t="n">
        <v>1947</v>
      </c>
      <c r="N428" s="6" t="n">
        <v>47179</v>
      </c>
      <c r="Q428" t="inlineStr">
        <is>
          <t>EK</t>
        </is>
      </c>
      <c r="R428" t="inlineStr">
        <is>
          <t>М</t>
        </is>
      </c>
      <c r="S428" s="2">
        <f>HYPERLINK("https://yandex.ru/maps/?&amp;text=52.425743, 37.607735", "52.425743, 37.607735")</f>
        <v/>
      </c>
      <c r="U428" t="inlineStr">
        <is>
          <t xml:space="preserve">57:26:0010220:1031, </t>
        </is>
      </c>
      <c r="V428" t="n">
        <v>0</v>
      </c>
      <c r="Y428" t="n">
        <v>0</v>
      </c>
      <c r="Z428" t="n">
        <v>1</v>
      </c>
      <c r="AA428" t="n">
        <v>0</v>
      </c>
      <c r="AB428" t="n">
        <v>0</v>
      </c>
    </row>
    <row r="429">
      <c r="A429" s="7" t="n">
        <v>427</v>
      </c>
      <c r="B429" t="n">
        <v>57</v>
      </c>
      <c r="C429" s="1" t="n">
        <v>26.6</v>
      </c>
      <c r="D429" s="2">
        <f>HYPERLINK("https://torgi.gov.ru/new/public/lots/lot/21000019570000000003_1/(lotInfo:info)", "21000019570000000003_1")</f>
        <v/>
      </c>
      <c r="E429" t="inlineStr">
        <is>
          <t>помещение, назначение: нежилое помещение, площадью 26,6 кв. м, этаж: 1, кадастровый (условный) номер: 57:26:0010502:253, расположенное по адресу: Орловская область, г. Ливны, ул. Курская, пом. 2.</t>
        </is>
      </c>
      <c r="F429" s="3" t="inlineStr">
        <is>
          <t>04.07.22 14:00</t>
        </is>
      </c>
      <c r="G429" t="inlineStr">
        <is>
          <t>Орловская обл, г Ливны, ул Курская</t>
        </is>
      </c>
      <c r="H429" s="4" t="n">
        <v>145000</v>
      </c>
      <c r="I429" s="4" t="n">
        <v>5451.127819548872</v>
      </c>
      <c r="J429" t="inlineStr">
        <is>
          <t>Нежилое помещение</t>
        </is>
      </c>
      <c r="K429" s="5" t="n">
        <v>4.49</v>
      </c>
      <c r="M429" t="n">
        <v>1215</v>
      </c>
      <c r="N429" s="6" t="n">
        <v>47179</v>
      </c>
      <c r="Q429" t="inlineStr">
        <is>
          <t>EA</t>
        </is>
      </c>
      <c r="R429" t="inlineStr">
        <is>
          <t>М</t>
        </is>
      </c>
      <c r="S429" s="2">
        <f>HYPERLINK("https://yandex.ru/maps/?&amp;text=52.408632, 37.603765", "52.408632, 37.603765")</f>
        <v/>
      </c>
      <c r="U429" t="inlineStr">
        <is>
          <t xml:space="preserve">57:26:0010502:253, </t>
        </is>
      </c>
      <c r="V429" t="n">
        <v>1</v>
      </c>
      <c r="Y429" t="n">
        <v>0</v>
      </c>
      <c r="AA429" t="n">
        <v>0</v>
      </c>
      <c r="AB429" t="n">
        <v>0</v>
      </c>
    </row>
    <row r="430">
      <c r="A430" s="7" t="n">
        <v>428</v>
      </c>
      <c r="B430" t="n">
        <v>57</v>
      </c>
      <c r="C430" s="1" t="n">
        <v>26.6</v>
      </c>
      <c r="D430" s="2">
        <f>HYPERLINK("https://torgi.gov.ru/new/public/lots/lot/21000019570000000003_2/(lotInfo:info)", "21000019570000000003_2")</f>
        <v/>
      </c>
      <c r="E430" t="inlineStr">
        <is>
          <t>помещение, назначение: нежилое помещение, площадью 26,6 кв. м, этаж: 1, кадастровый (условный) номер: 57:26:0010502:250, расположенное по адресу: Орловская область, г. Ливны, ул. Курская, пом. 3.</t>
        </is>
      </c>
      <c r="F430" s="3" t="inlineStr">
        <is>
          <t>04.07.22 14:00</t>
        </is>
      </c>
      <c r="G430" t="inlineStr">
        <is>
          <t>Орловская обл, г Ливны, ул Курская</t>
        </is>
      </c>
      <c r="H430" s="4" t="n">
        <v>145000</v>
      </c>
      <c r="I430" s="4" t="n">
        <v>5451.127819548872</v>
      </c>
      <c r="J430" t="inlineStr">
        <is>
          <t>Нежилое помещение</t>
        </is>
      </c>
      <c r="K430" s="5" t="n">
        <v>4.49</v>
      </c>
      <c r="M430" t="n">
        <v>1215</v>
      </c>
      <c r="N430" s="6" t="n">
        <v>47179</v>
      </c>
      <c r="Q430" t="inlineStr">
        <is>
          <t>EA</t>
        </is>
      </c>
      <c r="R430" t="inlineStr">
        <is>
          <t>М</t>
        </is>
      </c>
      <c r="S430" s="2">
        <f>HYPERLINK("https://yandex.ru/maps/?&amp;text=52.408632, 37.603765", "52.408632, 37.603765")</f>
        <v/>
      </c>
      <c r="U430" t="inlineStr">
        <is>
          <t xml:space="preserve">57:26:0010502:250, </t>
        </is>
      </c>
      <c r="V430" t="n">
        <v>1</v>
      </c>
      <c r="Y430" t="n">
        <v>0</v>
      </c>
      <c r="AA430" t="n">
        <v>0</v>
      </c>
      <c r="AB430" t="n">
        <v>0</v>
      </c>
    </row>
    <row r="431">
      <c r="A431" s="7" t="n">
        <v>429</v>
      </c>
      <c r="B431" t="n">
        <v>57</v>
      </c>
      <c r="C431" s="1" t="n">
        <v>26.6</v>
      </c>
      <c r="D431" s="2">
        <f>HYPERLINK("https://torgi.gov.ru/new/public/lots/lot/21000019570000000003_5/(lotInfo:info)", "21000019570000000003_5")</f>
        <v/>
      </c>
      <c r="E431" t="inlineStr">
        <is>
          <t>помещение, назначение: нежилое помещение, площадью 26,6 кв. м, этаж: 1, кадастровый (условный) номер: 57:26:0010502:248, расположенное по адресу: Орловская область, г. Ливны, ул. Курская, пом. 6.</t>
        </is>
      </c>
      <c r="F431" s="3" t="inlineStr">
        <is>
          <t>04.07.22 14:00</t>
        </is>
      </c>
      <c r="G431" t="inlineStr">
        <is>
          <t>Орловская обл, г Ливны, ул Курская</t>
        </is>
      </c>
      <c r="H431" s="4" t="n">
        <v>145000</v>
      </c>
      <c r="I431" s="4" t="n">
        <v>5451.127819548872</v>
      </c>
      <c r="J431" t="inlineStr">
        <is>
          <t>Нежилое помещение</t>
        </is>
      </c>
      <c r="K431" s="5" t="n">
        <v>4.49</v>
      </c>
      <c r="M431" t="n">
        <v>1215</v>
      </c>
      <c r="N431" s="6" t="n">
        <v>47179</v>
      </c>
      <c r="Q431" t="inlineStr">
        <is>
          <t>EA</t>
        </is>
      </c>
      <c r="R431" t="inlineStr">
        <is>
          <t>М</t>
        </is>
      </c>
      <c r="S431" s="2">
        <f>HYPERLINK("https://yandex.ru/maps/?&amp;text=52.408632, 37.603765", "52.408632, 37.603765")</f>
        <v/>
      </c>
      <c r="U431" t="inlineStr">
        <is>
          <t xml:space="preserve">57:26:0010502:248, </t>
        </is>
      </c>
      <c r="V431" t="n">
        <v>1</v>
      </c>
      <c r="Y431" t="n">
        <v>0</v>
      </c>
      <c r="AA431" t="n">
        <v>0</v>
      </c>
      <c r="AB431" t="n">
        <v>0</v>
      </c>
    </row>
    <row r="432">
      <c r="A432" s="7" t="n">
        <v>430</v>
      </c>
      <c r="B432" t="n">
        <v>57</v>
      </c>
      <c r="C432" s="1" t="n">
        <v>26.6</v>
      </c>
      <c r="D432" s="2">
        <f>HYPERLINK("https://torgi.gov.ru/new/public/lots/lot/21000019570000000003_4/(lotInfo:info)", "21000019570000000003_4")</f>
        <v/>
      </c>
      <c r="E432" t="inlineStr">
        <is>
          <t>помещение, назначение: нежилое помещение, площадью 26,6 кв. м, этаж: 1, кадастровый (условный) номер: 57:26:0010502:251, расположенное по адресу: Орловская область, г. Ливны, ул. Курская, пом. 5.</t>
        </is>
      </c>
      <c r="F432" s="3" t="inlineStr">
        <is>
          <t>04.07.22 14:00</t>
        </is>
      </c>
      <c r="G432" t="inlineStr">
        <is>
          <t>Орловская обл, г Ливны, ул Курская</t>
        </is>
      </c>
      <c r="H432" s="4" t="n">
        <v>145000</v>
      </c>
      <c r="I432" s="4" t="n">
        <v>5451.127819548872</v>
      </c>
      <c r="J432" t="inlineStr">
        <is>
          <t>Нежилое помещение</t>
        </is>
      </c>
      <c r="K432" s="5" t="n">
        <v>4.49</v>
      </c>
      <c r="M432" t="n">
        <v>1215</v>
      </c>
      <c r="N432" s="6" t="n">
        <v>47179</v>
      </c>
      <c r="Q432" t="inlineStr">
        <is>
          <t>EA</t>
        </is>
      </c>
      <c r="R432" t="inlineStr">
        <is>
          <t>М</t>
        </is>
      </c>
      <c r="S432" s="2">
        <f>HYPERLINK("https://yandex.ru/maps/?&amp;text=52.408632, 37.603765", "52.408632, 37.603765")</f>
        <v/>
      </c>
      <c r="U432" t="inlineStr">
        <is>
          <t xml:space="preserve">57:26:0010502:251, </t>
        </is>
      </c>
      <c r="V432" t="n">
        <v>1</v>
      </c>
      <c r="Y432" t="n">
        <v>0</v>
      </c>
      <c r="AA432" t="n">
        <v>0</v>
      </c>
      <c r="AB432" t="n">
        <v>0</v>
      </c>
    </row>
    <row r="433">
      <c r="A433" s="7" t="n">
        <v>431</v>
      </c>
      <c r="B433" t="n">
        <v>57</v>
      </c>
      <c r="C433" s="1" t="n">
        <v>26.6</v>
      </c>
      <c r="D433" s="2">
        <f>HYPERLINK("https://torgi.gov.ru/new/public/lots/lot/21000019570000000003_3/(lotInfo:info)", "21000019570000000003_3")</f>
        <v/>
      </c>
      <c r="E433" t="inlineStr">
        <is>
          <t>помещение, назначение: нежилое помещение, площадью 26,6 кв. м, этаж: 1, кадастровый (условный) номер: 57:26:0010502:252, расположенное по адресу: Орловская область, г. Ливны, ул. Курская, пом. 4.</t>
        </is>
      </c>
      <c r="F433" s="3" t="inlineStr">
        <is>
          <t>04.07.22 14:00</t>
        </is>
      </c>
      <c r="G433" t="inlineStr">
        <is>
          <t>Орловская обл, г Ливны, ул Курская</t>
        </is>
      </c>
      <c r="H433" s="4" t="n">
        <v>145000</v>
      </c>
      <c r="I433" s="4" t="n">
        <v>5451.127819548872</v>
      </c>
      <c r="J433" t="inlineStr">
        <is>
          <t>Нежилое помещение</t>
        </is>
      </c>
      <c r="K433" s="5" t="n">
        <v>4.49</v>
      </c>
      <c r="M433" t="n">
        <v>1215</v>
      </c>
      <c r="N433" s="6" t="n">
        <v>47179</v>
      </c>
      <c r="Q433" t="inlineStr">
        <is>
          <t>EA</t>
        </is>
      </c>
      <c r="R433" t="inlineStr">
        <is>
          <t>М</t>
        </is>
      </c>
      <c r="S433" s="2">
        <f>HYPERLINK("https://yandex.ru/maps/?&amp;text=52.408632, 37.603765", "52.408632, 37.603765")</f>
        <v/>
      </c>
      <c r="U433" t="inlineStr">
        <is>
          <t xml:space="preserve">57:26:0010502:252, </t>
        </is>
      </c>
      <c r="V433" t="n">
        <v>1</v>
      </c>
      <c r="Y433" t="n">
        <v>0</v>
      </c>
      <c r="AA433" t="n">
        <v>0</v>
      </c>
      <c r="AB433" t="n">
        <v>0</v>
      </c>
    </row>
    <row r="434">
      <c r="A434" s="7" t="n">
        <v>432</v>
      </c>
      <c r="B434" t="n">
        <v>57</v>
      </c>
      <c r="C434" s="1" t="n">
        <v>26.6</v>
      </c>
      <c r="D434" s="2">
        <f>HYPERLINK("https://torgi.gov.ru/new/public/lots/lot/21000019570000000003_6/(lotInfo:info)", "21000019570000000003_6")</f>
        <v/>
      </c>
      <c r="E434" t="inlineStr">
        <is>
          <t>помещение, назначение: нежилое помещение, площадью 26,6 кв. м, этаж: 1, кадастровый (условный) номер: 57:26:0010502:247, расположенное по адресу: Орловская область, г. Ливны, ул. Курская, пом. 7.</t>
        </is>
      </c>
      <c r="F434" s="3" t="inlineStr">
        <is>
          <t>04.07.22 14:00</t>
        </is>
      </c>
      <c r="G434" t="inlineStr">
        <is>
          <t>Орловская обл, г Ливны, ул Курская</t>
        </is>
      </c>
      <c r="H434" s="4" t="n">
        <v>145000</v>
      </c>
      <c r="I434" s="4" t="n">
        <v>5451.127819548872</v>
      </c>
      <c r="J434" t="inlineStr">
        <is>
          <t>Нежилое помещение</t>
        </is>
      </c>
      <c r="K434" s="5" t="n">
        <v>4.49</v>
      </c>
      <c r="M434" t="n">
        <v>1215</v>
      </c>
      <c r="N434" s="6" t="n">
        <v>47179</v>
      </c>
      <c r="Q434" t="inlineStr">
        <is>
          <t>EA</t>
        </is>
      </c>
      <c r="R434" t="inlineStr">
        <is>
          <t>М</t>
        </is>
      </c>
      <c r="S434" s="2">
        <f>HYPERLINK("https://yandex.ru/maps/?&amp;text=52.408632, 37.603765", "52.408632, 37.603765")</f>
        <v/>
      </c>
      <c r="U434" t="inlineStr">
        <is>
          <t xml:space="preserve">57:26:0010502:247, </t>
        </is>
      </c>
      <c r="V434" t="n">
        <v>1</v>
      </c>
      <c r="Y434" t="n">
        <v>0</v>
      </c>
      <c r="AA434" t="n">
        <v>0</v>
      </c>
      <c r="AB434" t="n">
        <v>0</v>
      </c>
    </row>
    <row r="435">
      <c r="A435" s="7" t="n">
        <v>433</v>
      </c>
      <c r="B435" t="n">
        <v>57</v>
      </c>
      <c r="C435" s="1" t="n">
        <v>26.6</v>
      </c>
      <c r="D435" s="2">
        <f>HYPERLINK("https://torgi.gov.ru/new/public/lots/lot/21000019570000000001_1/(lotInfo:info)", "21000019570000000001_1")</f>
        <v/>
      </c>
      <c r="E435" t="inlineStr">
        <is>
          <t>помещение, назначение: нежилое помещение, площадью 26,6 кв.м., этаж:1, кадастровый (условный) номер: 57:26:0010502:254, расположенное по адресу: Российская Федерация, Орловская область, г. Ливны, ул. Курская, д.б/н, пом. 1.</t>
        </is>
      </c>
      <c r="F435" s="3" t="inlineStr">
        <is>
          <t>04.05.22 14:00</t>
        </is>
      </c>
      <c r="G435" t="inlineStr">
        <is>
          <t>Орловская обл, г Ливны, ул Курская</t>
        </is>
      </c>
      <c r="H435" s="4" t="n">
        <v>145000</v>
      </c>
      <c r="I435" s="4" t="n">
        <v>5451.127819548872</v>
      </c>
      <c r="J435" t="inlineStr">
        <is>
          <t>Нежилое помещение</t>
        </is>
      </c>
      <c r="K435" s="5" t="n">
        <v>4.49</v>
      </c>
      <c r="M435" t="n">
        <v>1215</v>
      </c>
      <c r="N435" s="6" t="n">
        <v>47179</v>
      </c>
      <c r="Q435" t="inlineStr">
        <is>
          <t>EA</t>
        </is>
      </c>
      <c r="R435" t="inlineStr">
        <is>
          <t>М</t>
        </is>
      </c>
      <c r="S435" s="2">
        <f>HYPERLINK("https://yandex.ru/maps/?&amp;text=52.408632, 37.603765", "52.408632, 37.603765")</f>
        <v/>
      </c>
      <c r="U435" t="inlineStr">
        <is>
          <t xml:space="preserve">57:26:0010502:254, </t>
        </is>
      </c>
      <c r="V435" t="n">
        <v>1</v>
      </c>
      <c r="Y435" t="n">
        <v>0</v>
      </c>
      <c r="AA435" t="n">
        <v>0</v>
      </c>
      <c r="AB435" t="n">
        <v>0</v>
      </c>
    </row>
    <row r="436">
      <c r="A436" s="7" t="n">
        <v>434</v>
      </c>
      <c r="B436" t="n">
        <v>57</v>
      </c>
      <c r="C436" s="1" t="n">
        <v>32.9</v>
      </c>
      <c r="D436" s="2">
        <f>HYPERLINK("https://torgi.gov.ru/new/public/lots/lot/22000042460000000004_8/(lotInfo:info)", "22000042460000000004_8")</f>
        <v/>
      </c>
      <c r="E436" t="inlineStr">
        <is>
          <t>Нежилое помещение, расположенное по адресу: г. Орел, Московское шоссе, д. 171, пом. 231д, площадь 32,9 кв.м., этаж цокольный</t>
        </is>
      </c>
      <c r="F436" s="3" t="inlineStr">
        <is>
          <t>02.06.22 15:00</t>
        </is>
      </c>
      <c r="G436" t="inlineStr">
        <is>
          <t>г Орёл, Московское шоссе, д 171</t>
        </is>
      </c>
      <c r="H436" s="4" t="n">
        <v>341040</v>
      </c>
      <c r="I436" s="4" t="n">
        <v>10365.95744680851</v>
      </c>
      <c r="J436" t="inlineStr">
        <is>
          <t>Нежилое помещение</t>
        </is>
      </c>
      <c r="K436" s="5" t="n">
        <v>7.28</v>
      </c>
      <c r="M436" t="n">
        <v>1424</v>
      </c>
      <c r="N436" s="6" t="n">
        <v>311625</v>
      </c>
      <c r="Q436" t="inlineStr">
        <is>
          <t>EA</t>
        </is>
      </c>
      <c r="R436" t="inlineStr">
        <is>
          <t>М</t>
        </is>
      </c>
      <c r="S436" s="2">
        <f>HYPERLINK("https://yandex.ru/maps/?&amp;text=53.012775, 36.151836", "53.012775, 36.151836")</f>
        <v/>
      </c>
      <c r="V436" t="n">
        <v>0</v>
      </c>
      <c r="Y436" t="n">
        <v>0</v>
      </c>
      <c r="AA436" t="n">
        <v>0</v>
      </c>
      <c r="AB436" t="n">
        <v>0</v>
      </c>
    </row>
    <row r="437">
      <c r="A437" s="7" t="n">
        <v>435</v>
      </c>
      <c r="B437" t="n">
        <v>57</v>
      </c>
      <c r="C437" s="1" t="n">
        <v>90.59999999999999</v>
      </c>
      <c r="D437" s="2">
        <f>HYPERLINK("https://torgi.gov.ru/new/public/lots/lot/21000020880000000004_1/(lotInfo:info)", "21000020880000000004_1")</f>
        <v/>
      </c>
      <c r="E437" t="inlineStr">
        <is>
          <t>нежилое помещение, наименование: квартира, площадь 90,6 кв.м., кадастровый номер 57:23:0010101:774, номер этажа, на котором расположено помещение: этаж № 01, адрес: Орловская область, р-н Колпнянский, пгт. Колпна, ул. Титова, д. 17, пом.</t>
        </is>
      </c>
      <c r="F437" s="3" t="inlineStr">
        <is>
          <t>18.07.22 14:00</t>
        </is>
      </c>
      <c r="G437" t="inlineStr">
        <is>
          <t>Орловская обл, пгт Колпна, ул Титова, д 17</t>
        </is>
      </c>
      <c r="H437" s="4" t="n">
        <v>1031857.25</v>
      </c>
      <c r="I437" s="4" t="n">
        <v>11389.15286975718</v>
      </c>
      <c r="J437" t="inlineStr">
        <is>
          <t>Нежилое помещение</t>
        </is>
      </c>
      <c r="K437" s="5" t="n">
        <v>7.3</v>
      </c>
      <c r="L437" s="4" t="inlineStr"/>
      <c r="M437" t="n">
        <v>1561</v>
      </c>
      <c r="N437" s="6" t="n">
        <v>5576</v>
      </c>
      <c r="O437" t="inlineStr"/>
      <c r="Q437" t="inlineStr">
        <is>
          <t>PP</t>
        </is>
      </c>
      <c r="R437" t="inlineStr">
        <is>
          <t>М</t>
        </is>
      </c>
      <c r="S437" s="2">
        <f>HYPERLINK("https://yandex.ru/maps/?&amp;text=52.224174, 37.02622", "52.224174, 37.02622")</f>
        <v/>
      </c>
      <c r="T437" s="8">
        <f>HYPERLINK("D:\venv_torgi\env\cache\objs_in_district/52.224174_37.02622.json", "52.224174_37.02622.json")</f>
        <v/>
      </c>
      <c r="U437" t="inlineStr">
        <is>
          <t xml:space="preserve">57:23:0010101:774, </t>
        </is>
      </c>
      <c r="V437" t="n">
        <v>1</v>
      </c>
      <c r="Y437" t="n">
        <v>0</v>
      </c>
      <c r="AA437" t="n">
        <v>0</v>
      </c>
      <c r="AB437" t="n">
        <v>0</v>
      </c>
    </row>
    <row r="438">
      <c r="A438" s="7" t="n">
        <v>436</v>
      </c>
      <c r="B438" t="n">
        <v>57</v>
      </c>
      <c r="C438" s="1" t="n">
        <v>101</v>
      </c>
      <c r="D438" s="2">
        <f>HYPERLINK("https://torgi.gov.ru/new/public/lots/lot/22000042460000000004_5/(lotInfo:info)", "22000042460000000004_5")</f>
        <v/>
      </c>
      <c r="E438" t="inlineStr">
        <is>
          <t>Нежилое помещение общей площадью 101,0 кв.м., этаж цокольный, расположенное по адресу: г. Орёл, ул. Дмитрия Блынского, д. 12, пом. 237.</t>
        </is>
      </c>
      <c r="F438" s="3" t="inlineStr">
        <is>
          <t>02.06.22 15:00</t>
        </is>
      </c>
      <c r="G438" t="inlineStr">
        <is>
          <t>г Орёл, ул Дмитрия Блынского, д 12</t>
        </is>
      </c>
      <c r="H438" s="4" t="n">
        <v>1376630</v>
      </c>
      <c r="I438" s="4" t="n">
        <v>13630</v>
      </c>
      <c r="J438" t="inlineStr">
        <is>
          <t>Нежилое помещение</t>
        </is>
      </c>
      <c r="K438" s="5" t="n">
        <v>13.48</v>
      </c>
      <c r="L438" s="4" t="n">
        <v>13630</v>
      </c>
      <c r="M438" t="n">
        <v>1011</v>
      </c>
      <c r="N438" s="6" t="n">
        <v>311625</v>
      </c>
      <c r="O438" t="n">
        <v>1</v>
      </c>
      <c r="Q438" t="inlineStr">
        <is>
          <t>EA</t>
        </is>
      </c>
      <c r="R438" t="inlineStr">
        <is>
          <t>М</t>
        </is>
      </c>
      <c r="S438" s="2">
        <f>HYPERLINK("https://yandex.ru/maps/?&amp;text=53.00078, 36.1259", "53.00078, 36.1259")</f>
        <v/>
      </c>
      <c r="T438" s="2">
        <f>HYPERLINK("D:\venv_torgi\env\cache\objs_in_district/53.00078_36.1259.json", "53.00078_36.1259.json")</f>
        <v/>
      </c>
      <c r="V438" t="n">
        <v>0</v>
      </c>
      <c r="Y438" t="n">
        <v>0</v>
      </c>
      <c r="AA438" t="n">
        <v>0</v>
      </c>
      <c r="AB438" t="n">
        <v>0</v>
      </c>
    </row>
    <row r="439">
      <c r="A439" s="7" t="n">
        <v>437</v>
      </c>
      <c r="B439" t="n">
        <v>57</v>
      </c>
      <c r="C439" s="1" t="n">
        <v>89.5</v>
      </c>
      <c r="D439" s="2">
        <f>HYPERLINK("https://torgi.gov.ru/new/public/lots/lot/22000057140000000005_1/(lotInfo:info)", "22000057140000000005_1")</f>
        <v/>
      </c>
      <c r="E439" t="inlineStr">
        <is>
          <t>Нежилое помещение, назначение: нежилое помещение, количество этажей 1, общая площадь 89,5 кв.м., кадастровый номер 57:26:0010216:698, адрес объекта: Российская Федерация, Орловская область, г. Ливны, ул. Карла маркса, д.117, пом.5.</t>
        </is>
      </c>
      <c r="F439" s="3" t="inlineStr">
        <is>
          <t>12.07.22 20:59</t>
        </is>
      </c>
      <c r="G439" t="inlineStr">
        <is>
          <t>Орловская обл, г Ливны, ул Карла Маркса, д 117, помещ 5</t>
        </is>
      </c>
      <c r="H439" s="4" t="n">
        <v>1477000</v>
      </c>
      <c r="I439" s="4" t="n">
        <v>16502.79329608938</v>
      </c>
      <c r="J439" t="inlineStr">
        <is>
          <t>Нежилое помещение</t>
        </is>
      </c>
      <c r="K439" s="5" t="n">
        <v>8.48</v>
      </c>
      <c r="L439" s="4" t="n">
        <v>1500.18</v>
      </c>
      <c r="M439" t="n">
        <v>1947</v>
      </c>
      <c r="N439" s="6" t="n">
        <v>47179</v>
      </c>
      <c r="O439" t="n">
        <v>11</v>
      </c>
      <c r="Q439" t="inlineStr">
        <is>
          <t>EA</t>
        </is>
      </c>
      <c r="R439" t="inlineStr">
        <is>
          <t>М</t>
        </is>
      </c>
      <c r="S439" s="2">
        <f>HYPERLINK("https://yandex.ru/maps/?&amp;text=52.42687, 37.610188", "52.42687, 37.610188")</f>
        <v/>
      </c>
      <c r="T439" s="2">
        <f>HYPERLINK("D:\venv_torgi\env\cache\objs_in_district/52.42687_37.610188.json", "52.42687_37.610188.json")</f>
        <v/>
      </c>
      <c r="U439" t="inlineStr">
        <is>
          <t xml:space="preserve">57:26:0010216:698, </t>
        </is>
      </c>
      <c r="V439" t="n">
        <v>1</v>
      </c>
      <c r="Y439" t="n">
        <v>0</v>
      </c>
      <c r="AA439" t="n">
        <v>0</v>
      </c>
      <c r="AB439" t="n">
        <v>0</v>
      </c>
    </row>
    <row r="440">
      <c r="A440" s="7" t="n">
        <v>438</v>
      </c>
      <c r="B440" t="n">
        <v>58</v>
      </c>
      <c r="C440" s="1" t="n">
        <v>126.4</v>
      </c>
      <c r="D440" s="2">
        <f>HYPERLINK("https://torgi.gov.ru/new/public/lots/lot/22000021560000000001_1/(lotInfo:info)", "22000021560000000001_1")</f>
        <v/>
      </c>
      <c r="E440" t="inlineStr">
        <is>
          <t>Нежилое помещение (котельная), общей площадью 126,4 кв. м, адрес (местонахождения): Пензенская область, Городищенский район, с. Мордовский Ишим, ул. Школьная, д. 40а Кадастровый номер 58:07:0000000:543.Земельный участок, категория земель: земли населенных пунктов, общая площадь – 625 кв. м., адрес (местонахождение) объекта: Пензенская область, Городищенский район, с. Мордовский Ишим, ул. Школьная, д. 40а Кадастровый номер 58:07:0390201:374.</t>
        </is>
      </c>
      <c r="F440" s="3" t="inlineStr">
        <is>
          <t>15.02.22 12:00</t>
        </is>
      </c>
      <c r="G440" t="inlineStr">
        <is>
          <t>Пензенская обл, Городищенский р-н, село Мордовский Ишим, ул Школьная, зд 40а</t>
        </is>
      </c>
      <c r="H440" s="4" t="n">
        <v>178000</v>
      </c>
      <c r="I440" s="4" t="n">
        <v>1408.227848101266</v>
      </c>
      <c r="J440" t="inlineStr">
        <is>
          <t>котельная</t>
        </is>
      </c>
      <c r="K440" s="5" t="n">
        <v>8.59</v>
      </c>
      <c r="M440" t="n">
        <v>164</v>
      </c>
      <c r="N440" s="6" t="n">
        <v>192</v>
      </c>
      <c r="Q440" t="inlineStr">
        <is>
          <t>PP</t>
        </is>
      </c>
      <c r="R440" t="inlineStr">
        <is>
          <t>М</t>
        </is>
      </c>
      <c r="S440" s="2">
        <f>HYPERLINK("https://yandex.ru/maps/?&amp;text=53.184283, 45.629997", "53.184283, 45.629997")</f>
        <v/>
      </c>
      <c r="U440" t="inlineStr">
        <is>
          <t>58:07:0000000:543</t>
        </is>
      </c>
      <c r="V440" t="n">
        <v>1</v>
      </c>
      <c r="Y440" t="n">
        <v>0</v>
      </c>
      <c r="AA440" t="n">
        <v>0</v>
      </c>
      <c r="AB440" t="n">
        <v>1</v>
      </c>
    </row>
    <row r="441">
      <c r="A441" s="7" t="n">
        <v>439</v>
      </c>
      <c r="B441" t="n">
        <v>58</v>
      </c>
      <c r="C441" s="1" t="n">
        <v>308</v>
      </c>
      <c r="D441" s="2">
        <f>HYPERLINK("https://torgi.gov.ru/new/public/lots/lot/21000015830000000002_1/(lotInfo:info)", "21000015830000000002_1")</f>
        <v/>
      </c>
      <c r="E441" t="inlineStr">
        <is>
          <t>нежилое помещение с кадастровым номером 58:20:0320301:1456, общей площадью 308 кв.м. расположенное по адресу: Пензенская область, Неверкинский район, с. Неверкино, ул. Куйбышева, 16</t>
        </is>
      </c>
      <c r="F441" s="3" t="inlineStr">
        <is>
          <t>15.06.22 13:00</t>
        </is>
      </c>
      <c r="G441" t="inlineStr">
        <is>
          <t>Пензенская обл, село Неверкино, ул Куйбышева, влд 16</t>
        </is>
      </c>
      <c r="H441" s="4" t="n">
        <v>722000</v>
      </c>
      <c r="I441" s="4" t="n">
        <v>2344.155844155844</v>
      </c>
      <c r="J441" t="inlineStr">
        <is>
          <t>Нежилое помещение</t>
        </is>
      </c>
      <c r="K441" s="5" t="n">
        <v>4.32</v>
      </c>
      <c r="L441" s="4" t="n">
        <v>2344</v>
      </c>
      <c r="M441" t="n">
        <v>543</v>
      </c>
      <c r="N441" s="6" t="n">
        <v>3912</v>
      </c>
      <c r="O441" t="n">
        <v>1</v>
      </c>
      <c r="Q441" t="inlineStr">
        <is>
          <t>PP</t>
        </is>
      </c>
      <c r="R441" t="inlineStr">
        <is>
          <t>М</t>
        </is>
      </c>
      <c r="S441" s="2">
        <f>HYPERLINK("https://yandex.ru/maps/?&amp;text=52.785229, 46.748714", "52.785229, 46.748714")</f>
        <v/>
      </c>
      <c r="T441" s="2">
        <f>HYPERLINK("D:\venv_torgi\env\cache\objs_in_district/52.785229_46.748714.json", "52.785229_46.748714.json")</f>
        <v/>
      </c>
      <c r="U441" t="inlineStr">
        <is>
          <t xml:space="preserve">58:20:0320301:1456, </t>
        </is>
      </c>
      <c r="V441" t="n">
        <v>0</v>
      </c>
      <c r="Y441" t="n">
        <v>0</v>
      </c>
      <c r="AA441" t="n">
        <v>0</v>
      </c>
      <c r="AB441" t="n">
        <v>0</v>
      </c>
    </row>
    <row r="442">
      <c r="A442" s="7" t="n">
        <v>440</v>
      </c>
      <c r="B442" t="n">
        <v>58</v>
      </c>
      <c r="C442" s="1" t="n">
        <v>39.5</v>
      </c>
      <c r="D442" s="2">
        <f>HYPERLINK("https://torgi.gov.ru/new/public/lots/lot/22000097310000000002_1/(lotInfo:info)", "22000097310000000002_1")</f>
        <v/>
      </c>
      <c r="E442" t="inlineStr">
        <is>
          <t>год постройки – 1988 г. Фундамент бетонный (трещины), стены и перегородки кирпичные (трещины, сырость),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бетонные( неровности)</t>
        </is>
      </c>
      <c r="F442" s="3" t="inlineStr">
        <is>
          <t>05.07.22 05:00</t>
        </is>
      </c>
      <c r="G442" t="inlineStr">
        <is>
          <t>Пензенская обл, село Неверкино, ул Ленина, влд 3А</t>
        </is>
      </c>
      <c r="H442" s="4" t="n">
        <v>160000</v>
      </c>
      <c r="I442" s="4" t="n">
        <v>4050.632911392405</v>
      </c>
      <c r="J442" t="inlineStr">
        <is>
          <t>Здание</t>
        </is>
      </c>
      <c r="K442" s="5" t="n">
        <v>9.779999999999999</v>
      </c>
      <c r="M442" t="n">
        <v>414</v>
      </c>
      <c r="N442" s="6" t="n">
        <v>3912</v>
      </c>
      <c r="Q442" t="inlineStr">
        <is>
          <t>EA</t>
        </is>
      </c>
      <c r="R442" t="inlineStr">
        <is>
          <t>М</t>
        </is>
      </c>
      <c r="S442" s="2">
        <f>HYPERLINK("https://yandex.ru/maps/?&amp;text=52.785638, 46.745318", "52.785638, 46.745318")</f>
        <v/>
      </c>
      <c r="U442" t="inlineStr">
        <is>
          <t xml:space="preserve">58:20:0320301:1760, </t>
        </is>
      </c>
      <c r="V442" t="n">
        <v>0</v>
      </c>
      <c r="Y442" t="n">
        <v>0</v>
      </c>
      <c r="AA442" t="n">
        <v>0</v>
      </c>
      <c r="AB442" t="n">
        <v>0</v>
      </c>
    </row>
    <row r="443">
      <c r="A443" s="7" t="n">
        <v>441</v>
      </c>
      <c r="B443" t="n">
        <v>58</v>
      </c>
      <c r="C443" s="1" t="n">
        <v>39.7</v>
      </c>
      <c r="D443" s="2">
        <f>HYPERLINK("https://torgi.gov.ru/new/public/lots/lot/22000097310000000001_1/(lotInfo:info)", "22000097310000000001_1")</f>
        <v/>
      </c>
      <c r="E443" t="inlineStr">
        <is>
          <t>Нежилое помещение, кадастровый номер 58:20:0320301:1759, расположенное по адресу: Пензенская область, Неверкинский район, с. Неверкино, ул. Ленина, 3а, помещение №1. (далее именуемое "недвижимое имущество").Фундамент бетонный (трещины), стены и перегородки кирпичные (трещины),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</t>
        </is>
      </c>
      <c r="F443" s="3" t="inlineStr">
        <is>
          <t>31.05.22 05:00</t>
        </is>
      </c>
      <c r="G443" t="inlineStr">
        <is>
          <t>Пензенская обл, село Неверкино, ул Ленина, влд 3А</t>
        </is>
      </c>
      <c r="H443" s="4" t="n">
        <v>161000</v>
      </c>
      <c r="I443" s="4" t="n">
        <v>4055.415617128463</v>
      </c>
      <c r="J443" t="inlineStr">
        <is>
          <t>Здание</t>
        </is>
      </c>
      <c r="K443" s="5" t="n">
        <v>9.789999999999999</v>
      </c>
      <c r="M443" t="n">
        <v>414</v>
      </c>
      <c r="N443" s="6" t="n">
        <v>3912</v>
      </c>
      <c r="Q443" t="inlineStr">
        <is>
          <t>EA</t>
        </is>
      </c>
      <c r="R443" t="inlineStr">
        <is>
          <t>М</t>
        </is>
      </c>
      <c r="S443" s="2">
        <f>HYPERLINK("https://yandex.ru/maps/?&amp;text=52.785638, 46.745318", "52.785638, 46.745318")</f>
        <v/>
      </c>
      <c r="U443" t="inlineStr">
        <is>
          <t xml:space="preserve">58:20:0320301:1759, </t>
        </is>
      </c>
      <c r="V443" t="n">
        <v>0</v>
      </c>
      <c r="Y443" t="n">
        <v>0</v>
      </c>
      <c r="AA443" t="n">
        <v>0</v>
      </c>
      <c r="AB443" t="n">
        <v>0</v>
      </c>
    </row>
    <row r="444">
      <c r="A444" s="7" t="n">
        <v>442</v>
      </c>
      <c r="B444" t="n">
        <v>58</v>
      </c>
      <c r="C444" s="1" t="n">
        <v>39.6</v>
      </c>
      <c r="D444" s="2">
        <f>HYPERLINK("https://torgi.gov.ru/new/public/lots/lot/22000097310000000003_1/(lotInfo:info)", "22000097310000000003_1")</f>
        <v/>
      </c>
      <c r="E444" t="inlineStr">
        <is>
          <t>Фундамент бетонный (трещины), стены и перегородки кирпичные (трещины, сырость), перекрытия и потолок железобетонные плиты (трещины и сырость) кровля совмещенная (протечки). Инженерное обеспечение здания: электроснабжение. Здание имеет деревянные ворота. Окон нет. Полы – бетонные( неровности)</t>
        </is>
      </c>
      <c r="F444" s="3" t="inlineStr">
        <is>
          <t>05.07.22 05:00</t>
        </is>
      </c>
      <c r="G444" t="inlineStr">
        <is>
          <t>Пензенская обл, село Неверкино, ул Ленина, влд 3А</t>
        </is>
      </c>
      <c r="H444" s="4" t="n">
        <v>161000</v>
      </c>
      <c r="I444" s="4" t="n">
        <v>4065.656565656565</v>
      </c>
      <c r="J444" t="inlineStr">
        <is>
          <t>Здание</t>
        </is>
      </c>
      <c r="K444" s="5" t="n">
        <v>9.82</v>
      </c>
      <c r="M444" t="n">
        <v>414</v>
      </c>
      <c r="N444" s="6" t="n">
        <v>3912</v>
      </c>
      <c r="Q444" t="inlineStr">
        <is>
          <t>EA</t>
        </is>
      </c>
      <c r="R444" t="inlineStr">
        <is>
          <t>М</t>
        </is>
      </c>
      <c r="S444" s="2">
        <f>HYPERLINK("https://yandex.ru/maps/?&amp;text=52.785638, 46.745318", "52.785638, 46.745318")</f>
        <v/>
      </c>
      <c r="U444" t="inlineStr">
        <is>
          <t xml:space="preserve">58:20:0320301:1761, </t>
        </is>
      </c>
      <c r="V444" t="n">
        <v>0</v>
      </c>
      <c r="Y444" t="n">
        <v>0</v>
      </c>
      <c r="AA444" t="n">
        <v>0</v>
      </c>
      <c r="AB444" t="n">
        <v>0</v>
      </c>
    </row>
    <row r="445">
      <c r="A445" s="7" t="n">
        <v>443</v>
      </c>
      <c r="B445" t="n">
        <v>58</v>
      </c>
      <c r="C445" s="1" t="n">
        <v>137.6</v>
      </c>
      <c r="D445" s="2">
        <f>HYPERLINK("https://torgi.gov.ru/new/public/lots/lot/22000072770000000002_1/(lotInfo:info)", "22000072770000000002_1")</f>
        <v/>
      </c>
      <c r="E445" t="inlineStr">
        <is>
          <t>нежилое здание, общей площадью 137,6 кв.м, кадастровый номер 58:02:0240117:61 адрес (местонахождение) объекта: Пензенская область, Спасский район,   город Спасск улица Красная, д.34, 1990 год постройки;земельный участок площадью 1216 кв.м., кадастровый номер 58:02:0240117:38, адрес (местонахождение) объекта: Пензенская область, Спасский район, г. Спасск, ул. Красная, д.34, категория земель: земли населённых пунктов.</t>
        </is>
      </c>
      <c r="F445" s="3" t="inlineStr">
        <is>
          <t>01.07.22 14:00</t>
        </is>
      </c>
      <c r="G445" t="inlineStr">
        <is>
          <t>Пензенская обл, г Спасск, ул Красная, влд 34</t>
        </is>
      </c>
      <c r="H445" s="4" t="n">
        <v>1238000</v>
      </c>
      <c r="I445" s="4" t="n">
        <v>8997.093023255815</v>
      </c>
      <c r="J445" t="inlineStr">
        <is>
          <t>жилое здание</t>
        </is>
      </c>
      <c r="K445" s="5" t="n">
        <v>5.21</v>
      </c>
      <c r="L445" s="4" t="n">
        <v>8997</v>
      </c>
      <c r="M445" t="n">
        <v>1726</v>
      </c>
      <c r="N445" s="6" t="n">
        <v>48624</v>
      </c>
      <c r="O445" t="n">
        <v>1</v>
      </c>
      <c r="Q445" t="inlineStr">
        <is>
          <t>EA</t>
        </is>
      </c>
      <c r="R445" t="inlineStr">
        <is>
          <t>М</t>
        </is>
      </c>
      <c r="S445" s="2">
        <f>HYPERLINK("https://yandex.ru/maps/?&amp;text=53.932034, 43.188663", "53.932034, 43.188663")</f>
        <v/>
      </c>
      <c r="T445" s="2">
        <f>HYPERLINK("D:\venv_torgi\env\cache\objs_in_district/53.932034_43.188663.json", "53.932034_43.188663.json")</f>
        <v/>
      </c>
      <c r="U445" t="inlineStr">
        <is>
          <t xml:space="preserve">58:02:0240117:61 </t>
        </is>
      </c>
      <c r="V445" t="n">
        <v>1</v>
      </c>
      <c r="Y445" t="n">
        <v>0</v>
      </c>
      <c r="AA445" t="n">
        <v>0</v>
      </c>
      <c r="AB445" t="n">
        <v>1</v>
      </c>
    </row>
    <row r="446">
      <c r="A446" s="7" t="n">
        <v>444</v>
      </c>
      <c r="B446" t="n">
        <v>58</v>
      </c>
      <c r="C446" s="1" t="n">
        <v>144.7</v>
      </c>
      <c r="D446" s="2">
        <f>HYPERLINK("https://torgi.gov.ru/new/public/lots/lot/22000061470000000001_10/(lotInfo:info)", "22000061470000000001_10")</f>
        <v/>
      </c>
      <c r="E446" t="inlineStr">
        <is>
          <t>Лот №10: Нежилое помещение (кадастровый номер 58:32:0020529:157), общей площадью 144,7 кв. м, расположенное по адресу: Пензенская область, Сердобский район, г. Сердобск, ул. Гагарина, 17, пом. 3. Техническое состояние объекта удовлетворительное.</t>
        </is>
      </c>
      <c r="F446" s="3" t="inlineStr">
        <is>
          <t>08.04.22 14:00</t>
        </is>
      </c>
      <c r="G446" t="inlineStr">
        <is>
          <t>Пензенская обл, г Сердобск, ул Гагарина, д 17</t>
        </is>
      </c>
      <c r="H446" s="4" t="n">
        <v>1680000</v>
      </c>
      <c r="I446" s="4" t="n">
        <v>11610.22805805114</v>
      </c>
      <c r="J446" t="inlineStr">
        <is>
          <t>Нежилое помещение</t>
        </is>
      </c>
      <c r="K446" s="5" t="n">
        <v>4.12</v>
      </c>
      <c r="L446" s="4" t="n">
        <v>2322</v>
      </c>
      <c r="M446" t="n">
        <v>2817</v>
      </c>
      <c r="N446" s="6" t="n">
        <v>31475</v>
      </c>
      <c r="O446" t="n">
        <v>5</v>
      </c>
      <c r="Q446" t="inlineStr">
        <is>
          <t>EA</t>
        </is>
      </c>
      <c r="R446" t="inlineStr">
        <is>
          <t>М</t>
        </is>
      </c>
      <c r="S446" s="2">
        <f>HYPERLINK("https://yandex.ru/maps/?&amp;text=52.460484, 44.205044", "52.460484, 44.205044")</f>
        <v/>
      </c>
      <c r="T446" s="2">
        <f>HYPERLINK("D:\venv_torgi\env\cache\objs_in_district/52.460484_44.205044.json", "52.460484_44.205044.json")</f>
        <v/>
      </c>
      <c r="U446" t="inlineStr">
        <is>
          <t>58:32:0020529:157</t>
        </is>
      </c>
      <c r="V446" t="n">
        <v>1</v>
      </c>
      <c r="Y446" t="n">
        <v>0</v>
      </c>
      <c r="AA446" t="n">
        <v>0</v>
      </c>
      <c r="AB446" t="n">
        <v>0</v>
      </c>
    </row>
    <row r="447">
      <c r="A447" s="7" t="n">
        <v>445</v>
      </c>
      <c r="B447" t="n">
        <v>58</v>
      </c>
      <c r="C447" s="1" t="n">
        <v>40.5</v>
      </c>
      <c r="D447" s="2">
        <f>HYPERLINK("https://torgi.gov.ru/new/public/lots/lot/22000061470000000001_11/(lotInfo:info)", "22000061470000000001_11")</f>
        <v/>
      </c>
      <c r="E447" t="inlineStr">
        <is>
          <t>Лот №11: Нежилое помещение (кадастровый номер 58:32:0020529:156), общей площадью 40,5 кв. м, расположенное по адресу: Пензенская область, Сердобский район, г. Сердобск, ул. Гагарина, 17, пом. 4. Техническое состояние объекта удовлетворительное.</t>
        </is>
      </c>
      <c r="F447" s="3" t="inlineStr">
        <is>
          <t>08.04.22 14:00</t>
        </is>
      </c>
      <c r="G447" t="inlineStr">
        <is>
          <t>Пензенская обл, г Сердобск, ул Гагарина, д 17</t>
        </is>
      </c>
      <c r="H447" s="4" t="n">
        <v>474000</v>
      </c>
      <c r="I447" s="4" t="n">
        <v>11703.7037037037</v>
      </c>
      <c r="J447" t="inlineStr">
        <is>
          <t>Нежилое помещение</t>
        </is>
      </c>
      <c r="K447" s="5" t="n">
        <v>4.15</v>
      </c>
      <c r="L447" s="4" t="n">
        <v>2340.6</v>
      </c>
      <c r="M447" t="n">
        <v>2817</v>
      </c>
      <c r="N447" s="6" t="n">
        <v>31475</v>
      </c>
      <c r="O447" t="n">
        <v>5</v>
      </c>
      <c r="Q447" t="inlineStr">
        <is>
          <t>EA</t>
        </is>
      </c>
      <c r="R447" t="inlineStr">
        <is>
          <t>М</t>
        </is>
      </c>
      <c r="S447" s="2">
        <f>HYPERLINK("https://yandex.ru/maps/?&amp;text=52.460484, 44.205044", "52.460484, 44.205044")</f>
        <v/>
      </c>
      <c r="T447" s="2">
        <f>HYPERLINK("D:\venv_torgi\env\cache\objs_in_district/52.460484_44.205044.json", "52.460484_44.205044.json")</f>
        <v/>
      </c>
      <c r="U447" t="inlineStr">
        <is>
          <t>58:32:0020529:156</t>
        </is>
      </c>
      <c r="V447" t="n">
        <v>1</v>
      </c>
      <c r="Y447" t="n">
        <v>0</v>
      </c>
      <c r="AA447" t="n">
        <v>0</v>
      </c>
      <c r="AB447" t="n">
        <v>0</v>
      </c>
    </row>
    <row r="448">
      <c r="A448" s="7" t="n">
        <v>446</v>
      </c>
      <c r="B448" t="n">
        <v>58</v>
      </c>
      <c r="C448" s="1" t="n">
        <v>90.09999999999999</v>
      </c>
      <c r="D448" s="2">
        <f>HYPERLINK("https://torgi.gov.ru/new/public/lots/lot/21000025550000000019_8/(lotInfo:info)", "21000025550000000019_8")</f>
        <v/>
      </c>
      <c r="E448" t="inlineStr">
        <is>
          <t>Заложенное имущество: нежилое помещение, общ.площадь 90,1 кв.м, кад.№: 58:32:0020605:1647, адрес: Пензенская область, р-н. Сердобский, г. Сердобск, ул. М.Горького, д. 162</t>
        </is>
      </c>
      <c r="F448" s="3" t="inlineStr">
        <is>
          <t>15.06.22 14:00</t>
        </is>
      </c>
      <c r="G448" t="inlineStr">
        <is>
          <t>Пензенская обл, г Сердобск, ул М.Горького, д 162</t>
        </is>
      </c>
      <c r="H448" s="4" t="n">
        <v>2161052.93</v>
      </c>
      <c r="I448" s="4" t="n">
        <v>23985.04916759157</v>
      </c>
      <c r="J448" t="inlineStr">
        <is>
          <t>Нежилое помещение</t>
        </is>
      </c>
      <c r="K448" s="5" t="n">
        <v>5.9</v>
      </c>
      <c r="L448" s="4" t="n">
        <v>406.53</v>
      </c>
      <c r="M448" t="n">
        <v>4068</v>
      </c>
      <c r="N448" s="6" t="n">
        <v>31475</v>
      </c>
      <c r="O448" t="n">
        <v>59</v>
      </c>
      <c r="Q448" t="inlineStr">
        <is>
          <t>EA</t>
        </is>
      </c>
      <c r="R448" t="inlineStr">
        <is>
          <t>Д</t>
        </is>
      </c>
      <c r="S448" s="2">
        <f>HYPERLINK("https://yandex.ru/maps/?&amp;text=52.477464, 44.21683", "52.477464, 44.21683")</f>
        <v/>
      </c>
      <c r="T448" s="2">
        <f>HYPERLINK("D:\venv_torgi\env\cache\objs_in_district/52.477464_44.21683.json", "52.477464_44.21683.json")</f>
        <v/>
      </c>
      <c r="U448" t="inlineStr">
        <is>
          <t xml:space="preserve">58:32:0020605:1647, </t>
        </is>
      </c>
      <c r="V448" t="n">
        <v>0</v>
      </c>
      <c r="Y448" t="n">
        <v>0</v>
      </c>
      <c r="AA448" t="n">
        <v>0</v>
      </c>
      <c r="AB448" t="n">
        <v>0</v>
      </c>
    </row>
    <row r="449">
      <c r="A449" s="7" t="n">
        <v>447</v>
      </c>
      <c r="B449" t="n">
        <v>59</v>
      </c>
      <c r="C449" s="1" t="n">
        <v>108.6</v>
      </c>
      <c r="D449" s="2">
        <f>HYPERLINK("https://torgi.gov.ru/new/public/lots/lot/22000002600000000007_3/(lotInfo:info)", "22000002600000000007_3")</f>
        <v/>
      </c>
      <c r="E449" t="inlineStr">
        <is>
          <t>Помещение, назначение: нежилое, этаж первый, общей площадью 108,6 кв. м., кадастровый номер 59:05:0101024:2549</t>
        </is>
      </c>
      <c r="F449" s="3" t="inlineStr">
        <is>
          <t>20.07.22 11:00</t>
        </is>
      </c>
      <c r="G449" t="inlineStr">
        <is>
          <t>Пермский край, г Губаха, ул Орджоникидзе, д 3</t>
        </is>
      </c>
      <c r="H449" s="4" t="n">
        <v>183240</v>
      </c>
      <c r="I449" s="4" t="n">
        <v>1687.292817679558</v>
      </c>
      <c r="J449" t="inlineStr">
        <is>
          <t>Нежилое помещение</t>
        </is>
      </c>
      <c r="K449" s="5" t="n">
        <v>1.63</v>
      </c>
      <c r="M449" t="n">
        <v>1032</v>
      </c>
      <c r="N449" s="6" t="n">
        <v>47775</v>
      </c>
      <c r="Q449" t="inlineStr">
        <is>
          <t>EA</t>
        </is>
      </c>
      <c r="R449" t="inlineStr">
        <is>
          <t>М</t>
        </is>
      </c>
      <c r="S449" s="2">
        <f>HYPERLINK("https://yandex.ru/maps/?&amp;text=58.838898, 57.547783", "58.838898, 57.547783")</f>
        <v/>
      </c>
      <c r="U449" t="inlineStr">
        <is>
          <t>59:05:0101024:2549</t>
        </is>
      </c>
      <c r="V449" t="n">
        <v>1</v>
      </c>
      <c r="Y449" t="n">
        <v>0</v>
      </c>
      <c r="AA449" t="n">
        <v>0</v>
      </c>
      <c r="AB449" t="n">
        <v>0</v>
      </c>
    </row>
    <row r="450">
      <c r="A450" s="7" t="n">
        <v>448</v>
      </c>
      <c r="B450" t="n">
        <v>59</v>
      </c>
      <c r="C450" s="1" t="n">
        <v>127.6</v>
      </c>
      <c r="D450" s="2">
        <f>HYPERLINK("https://torgi.gov.ru/new/public/lots/lot/22000046850000000003_4/(lotInfo:info)", "22000046850000000003_4")</f>
        <v/>
      </c>
      <c r="E450" t="inlineStr">
        <is>
          <t>Лот №4. Часть здания из шлакоблоков (фельдшерско-акушерский пункт), кадастровый номер 59:11:0140019:57, назначение: нежилое, общая площадь 127,6 кв. м, с земельным участком с кадастровым номером 59:11:0140019:6, категория земель: земли населенных пунктов, по адресу: Пермский край, Чусовской район, п. Комарихинский, ул. Крылова, д. 6</t>
        </is>
      </c>
      <c r="F450" s="3" t="inlineStr">
        <is>
          <t>28.03.22 16:00</t>
        </is>
      </c>
      <c r="G450" t="inlineStr">
        <is>
          <t>Пермский край, Чусовской район,  п. Комарихинский, ул. Крылова, д. 6</t>
        </is>
      </c>
      <c r="H450" s="4" t="n">
        <v>254800</v>
      </c>
      <c r="I450" s="4" t="n">
        <v>1996.865203761756</v>
      </c>
      <c r="J450" t="inlineStr">
        <is>
          <t>Нежилое помещение</t>
        </is>
      </c>
      <c r="Q450" t="inlineStr">
        <is>
          <t>EA</t>
        </is>
      </c>
      <c r="R450" t="inlineStr">
        <is>
          <t>М</t>
        </is>
      </c>
      <c r="U450" t="inlineStr">
        <is>
          <t xml:space="preserve">59:11:0140019:57, </t>
        </is>
      </c>
      <c r="V450" t="n">
        <v>1</v>
      </c>
      <c r="Y450" t="n">
        <v>0</v>
      </c>
      <c r="AA450" t="n">
        <v>0</v>
      </c>
      <c r="AB450" t="n">
        <v>1</v>
      </c>
    </row>
    <row r="451">
      <c r="A451" s="7" t="n">
        <v>449</v>
      </c>
      <c r="B451" t="n">
        <v>59</v>
      </c>
      <c r="C451" s="1" t="n">
        <v>70</v>
      </c>
      <c r="D451" s="2">
        <f>HYPERLINK("https://torgi.gov.ru/new/public/lots/lot/22000019350000000002_2/(lotInfo:info)", "22000019350000000002_2")</f>
        <v/>
      </c>
      <c r="E451" t="inlineStr">
        <is>
          <t>Стены: кирпичные,Крыша шиферная,Оконные проемы стеклопакетыОтопление: электрическое</t>
        </is>
      </c>
      <c r="F451" s="3" t="inlineStr">
        <is>
          <t>01.03.22 12:00</t>
        </is>
      </c>
      <c r="G451" t="inlineStr">
        <is>
          <t>Пермский край, Осинский р-н, село Комарово, ул Молодежная, д 3, офис 2</t>
        </is>
      </c>
      <c r="H451" s="4" t="n">
        <v>214933.5</v>
      </c>
      <c r="I451" s="4" t="n">
        <v>3070.478571428571</v>
      </c>
      <c r="J451" t="inlineStr">
        <is>
          <t>Нежилое помещение</t>
        </is>
      </c>
      <c r="K451" s="5" t="n">
        <v>39.87</v>
      </c>
      <c r="M451" t="n">
        <v>77</v>
      </c>
      <c r="N451" s="6" t="n">
        <v>423</v>
      </c>
      <c r="Q451" t="inlineStr">
        <is>
          <t>EA</t>
        </is>
      </c>
      <c r="R451" t="inlineStr">
        <is>
          <t>М</t>
        </is>
      </c>
      <c r="S451" s="2">
        <f>HYPERLINK("https://yandex.ru/maps/?&amp;text=57.306616, 55.657881", "57.306616, 55.657881")</f>
        <v/>
      </c>
      <c r="U451" t="inlineStr">
        <is>
          <t xml:space="preserve">59:29:0400005:399, </t>
        </is>
      </c>
      <c r="V451" t="n">
        <v>1</v>
      </c>
      <c r="Y451" t="n">
        <v>0</v>
      </c>
      <c r="AA451" t="n">
        <v>0</v>
      </c>
      <c r="AB451" t="n">
        <v>1</v>
      </c>
    </row>
    <row r="452">
      <c r="A452" s="7" t="n">
        <v>450</v>
      </c>
      <c r="B452" t="n">
        <v>59</v>
      </c>
      <c r="C452" s="1" t="n">
        <v>60</v>
      </c>
      <c r="D452" s="2">
        <f>HYPERLINK("https://torgi.gov.ru/new/public/lots/lot/22000046850000000005_5/(lotInfo:info)", "22000046850000000005_5")</f>
        <v/>
      </c>
      <c r="E452" t="inlineStr">
        <is>
          <t>Встроенное нежилое помещение № 1004 (фельдшерско-акушерский пункт), кадастровый номер 59:11:0270018:125, назначение: нежилое, общая площадь 60 кв. м, по адресу: Пермский край, Чусовской район, п. Скальный, ул. Гагарина, д. 10, пом. 1004</t>
        </is>
      </c>
      <c r="F452" s="3" t="inlineStr">
        <is>
          <t>15.05.22 21:00</t>
        </is>
      </c>
      <c r="G452" t="inlineStr">
        <is>
          <t>Пермский край, г Чусовой, рп Скальный, ул Гагарина, д 10, помещ 1004</t>
        </is>
      </c>
      <c r="H452" s="4" t="n">
        <v>221445</v>
      </c>
      <c r="I452" s="4" t="n">
        <v>3690.75</v>
      </c>
      <c r="J452" t="inlineStr">
        <is>
          <t>Нежилое помещение</t>
        </is>
      </c>
      <c r="K452" s="5" t="n">
        <v>11.46</v>
      </c>
      <c r="M452" t="n">
        <v>322</v>
      </c>
      <c r="N452" s="6" t="n">
        <v>45378</v>
      </c>
      <c r="Q452" t="inlineStr">
        <is>
          <t>EA</t>
        </is>
      </c>
      <c r="R452" t="inlineStr">
        <is>
          <t>М</t>
        </is>
      </c>
      <c r="S452" s="2">
        <f>HYPERLINK("https://yandex.ru/maps/?&amp;text=58.363945, 57.961678", "58.363945, 57.961678")</f>
        <v/>
      </c>
      <c r="U452" t="inlineStr">
        <is>
          <t xml:space="preserve">59:11:0270018:125, </t>
        </is>
      </c>
      <c r="V452" t="n">
        <v>0</v>
      </c>
      <c r="Y452" t="n">
        <v>0</v>
      </c>
      <c r="AA452" t="n">
        <v>0</v>
      </c>
      <c r="AB452" t="n">
        <v>0</v>
      </c>
    </row>
    <row r="453">
      <c r="A453" s="7" t="n">
        <v>451</v>
      </c>
      <c r="B453" t="n">
        <v>59</v>
      </c>
      <c r="C453" s="1" t="n">
        <v>662.3</v>
      </c>
      <c r="D453" s="2">
        <f>HYPERLINK("https://torgi.gov.ru/new/public/lots/lot/22000022050000000014_1/(lotInfo:info)", "22000022050000000014_1")</f>
        <v/>
      </c>
      <c r="E453" t="inlineStr">
        <is>
          <t>Помещение, назначение: нежилое, этаж № 4, площадь 662,3 кв.м, кадастровый номер 59:07:0011007:1170, расположенное по адресу: Пермский край, г. Краснокамск, ул. Энтузиастов, д. 5.</t>
        </is>
      </c>
      <c r="F453" s="3" t="inlineStr">
        <is>
          <t>31.05.22 14:00</t>
        </is>
      </c>
      <c r="G453" t="inlineStr">
        <is>
          <t>Пермский край, г Краснокамск, ул Энтузиастов, д 5</t>
        </is>
      </c>
      <c r="H453" s="4" t="n">
        <v>2500000</v>
      </c>
      <c r="I453" s="4" t="n">
        <v>3774.724445115507</v>
      </c>
      <c r="J453" t="inlineStr">
        <is>
          <t>Нежилое помещение</t>
        </is>
      </c>
      <c r="K453" s="5" t="n">
        <v>1.75</v>
      </c>
      <c r="L453" s="4" t="n">
        <v>125.8</v>
      </c>
      <c r="M453" t="n">
        <v>2162</v>
      </c>
      <c r="N453" s="6" t="n">
        <v>53864</v>
      </c>
      <c r="O453" t="n">
        <v>30</v>
      </c>
      <c r="Q453" t="inlineStr">
        <is>
          <t>PP</t>
        </is>
      </c>
      <c r="R453" t="inlineStr">
        <is>
          <t>М</t>
        </is>
      </c>
      <c r="S453" s="2">
        <f>HYPERLINK("https://yandex.ru/maps/?&amp;text=58.085632, 55.76859", "58.085632, 55.76859")</f>
        <v/>
      </c>
      <c r="T453" s="2">
        <f>HYPERLINK("D:\venv_torgi\env\cache\objs_in_district/58.085632_55.76859.json", "58.085632_55.76859.json")</f>
        <v/>
      </c>
      <c r="U453" t="inlineStr">
        <is>
          <t xml:space="preserve">59:07:0011007:1170, </t>
        </is>
      </c>
      <c r="V453" t="n">
        <v>4</v>
      </c>
      <c r="Y453" t="n">
        <v>0</v>
      </c>
      <c r="AA453" t="n">
        <v>0</v>
      </c>
      <c r="AB453" t="n">
        <v>0</v>
      </c>
    </row>
    <row r="454">
      <c r="A454" s="7" t="n">
        <v>452</v>
      </c>
      <c r="B454" t="n">
        <v>59</v>
      </c>
      <c r="C454" s="1" t="n">
        <v>185</v>
      </c>
      <c r="D454" s="2">
        <f>HYPERLINK("https://torgi.gov.ru/new/public/lots/lot/22000019350000000001_2/(lotInfo:info)", "22000019350000000001_2")</f>
        <v/>
      </c>
      <c r="E454" t="inlineStr">
        <is>
          <t>Здание - Детский сад, назначение: нежилое, количество этажей: 1, общая площадь 185 кв.м, кадастровый номер 59:29:0010315:20 с земельным участком 59:29:0010315:13 площадью 2499 кв.м, разрешенное использование: земельные участки детских дошкольных учреждений.Фундамент: бетонный ленточный;Наружные и внутренние капитальные стены: бревенчатые;Перекрытия чердачные: деревянные отепленные;Крыша: железная по деревянной обрешетке; Полы: дощатые;Проемы:- оконные: стеклопакеты;- дверные: деревянные;Отопление: от котельной на газовом топливе;Электричество: электроснабжение (проводка открытая);Водопровод: водоснабжение центральное;Канализация: местный отстойник.</t>
        </is>
      </c>
      <c r="F454" s="3" t="inlineStr">
        <is>
          <t>15.02.22 12:00</t>
        </is>
      </c>
      <c r="G454" t="inlineStr">
        <is>
          <t>Пермский край, г Оса, ул Спорта, д 12</t>
        </is>
      </c>
      <c r="H454" s="4" t="n">
        <v>933390</v>
      </c>
      <c r="I454" s="4" t="n">
        <v>5045.351351351352</v>
      </c>
      <c r="J454" t="inlineStr">
        <is>
          <t>Здание</t>
        </is>
      </c>
      <c r="K454" s="5" t="n">
        <v>1.56</v>
      </c>
      <c r="L454" s="4" t="n">
        <v>1261.25</v>
      </c>
      <c r="M454" t="n">
        <v>3230</v>
      </c>
      <c r="N454" s="6" t="n">
        <v>20981</v>
      </c>
      <c r="O454" t="n">
        <v>4</v>
      </c>
      <c r="Q454" t="inlineStr">
        <is>
          <t>EA</t>
        </is>
      </c>
      <c r="R454" t="inlineStr">
        <is>
          <t>М</t>
        </is>
      </c>
      <c r="S454" s="2">
        <f>HYPERLINK("https://yandex.ru/maps/?&amp;text=57.28459, 55.464176", "57.28459, 55.464176")</f>
        <v/>
      </c>
      <c r="T454" s="2">
        <f>HYPERLINK("D:\venv_torgi\env\cache\objs_in_district/57.28459_55.464176.json", "57.28459_55.464176.json")</f>
        <v/>
      </c>
      <c r="U454" t="inlineStr">
        <is>
          <t xml:space="preserve">59:29:0010315:20 </t>
        </is>
      </c>
      <c r="V454" t="n">
        <v>1</v>
      </c>
      <c r="Y454" t="n">
        <v>0</v>
      </c>
      <c r="AA454" t="n">
        <v>0</v>
      </c>
      <c r="AB454" t="n">
        <v>1</v>
      </c>
    </row>
    <row r="455">
      <c r="A455" s="7" t="n">
        <v>453</v>
      </c>
      <c r="B455" t="n">
        <v>59</v>
      </c>
      <c r="C455" s="1" t="n">
        <v>319.3</v>
      </c>
      <c r="D455" s="2">
        <f>HYPERLINK("https://torgi.gov.ru/new/public/lots/lot/22000013150000000004_1/(lotInfo:info)", "22000013150000000004_1")</f>
        <v/>
      </c>
      <c r="E455" t="inlineStr">
        <is>
          <t>Нежилое помещение площадью 319,3 кв.м на 1 этаже жилого дома, расположенное по адресу: 20-летия Победы, д. 200, г. Соликамск</t>
        </is>
      </c>
      <c r="F455" s="3" t="inlineStr">
        <is>
          <t>31.03.22 18:00</t>
        </is>
      </c>
      <c r="G455" t="inlineStr">
        <is>
          <t>Пермский край, г Соликамск, ул 20-летия Победы, д 200</t>
        </is>
      </c>
      <c r="H455" s="4" t="n">
        <v>1818000</v>
      </c>
      <c r="I455" s="4" t="n">
        <v>5693.704979642969</v>
      </c>
      <c r="J455" t="inlineStr">
        <is>
          <t>Нежилое помещение</t>
        </is>
      </c>
      <c r="K455" s="5" t="n">
        <v>1.83</v>
      </c>
      <c r="L455" s="4" t="n">
        <v>218.96</v>
      </c>
      <c r="M455" t="n">
        <v>3118</v>
      </c>
      <c r="N455" s="6" t="n">
        <v>94628</v>
      </c>
      <c r="O455" t="n">
        <v>26</v>
      </c>
      <c r="Q455" t="inlineStr">
        <is>
          <t>EA</t>
        </is>
      </c>
      <c r="R455" t="inlineStr">
        <is>
          <t>М</t>
        </is>
      </c>
      <c r="S455" s="2">
        <f>HYPERLINK("https://yandex.ru/maps/?&amp;text=59.637165, 56.74355", "59.637165, 56.74355")</f>
        <v/>
      </c>
      <c r="T455" s="2">
        <f>HYPERLINK("D:\venv_torgi\env\cache\objs_in_district/59.637165_56.74355.json", "59.637165_56.74355.json")</f>
        <v/>
      </c>
      <c r="U455" t="inlineStr">
        <is>
          <t>59:10:0406004:3159</t>
        </is>
      </c>
      <c r="V455" t="n">
        <v>1</v>
      </c>
      <c r="Y455" t="n">
        <v>0</v>
      </c>
      <c r="AA455" t="n">
        <v>0</v>
      </c>
      <c r="AB455" t="n">
        <v>0</v>
      </c>
    </row>
    <row r="456">
      <c r="A456" s="7" t="n">
        <v>454</v>
      </c>
      <c r="B456" t="n">
        <v>59</v>
      </c>
      <c r="C456" s="1" t="n">
        <v>128.9</v>
      </c>
      <c r="D456" s="2">
        <f>HYPERLINK("https://torgi.gov.ru/new/public/lots/lot/21000032160000000004_1/(lotInfo:info)", "21000032160000000004_1")</f>
        <v/>
      </c>
      <c r="E456" t="inlineStr">
        <is>
          <t>нежилое помещение общей площадью 128,9 кв.м (кадастровый номер 59:09:0014503:788), расположенное по адресу: Пермский край, г. Лысьва, ул. Кирова, 21 (цокольный этаж)</t>
        </is>
      </c>
      <c r="F456" s="3" t="inlineStr">
        <is>
          <t>06.04.22 18:00</t>
        </is>
      </c>
      <c r="G456" t="inlineStr">
        <is>
          <t>Пермский край, г Лысьва, ул Кирова, д 21</t>
        </is>
      </c>
      <c r="H456" s="4" t="n">
        <v>870000</v>
      </c>
      <c r="I456" s="4" t="n">
        <v>6749.418153607447</v>
      </c>
      <c r="J456" t="inlineStr">
        <is>
          <t>Нежилое помещение</t>
        </is>
      </c>
      <c r="K456" s="5" t="n">
        <v>1.93</v>
      </c>
      <c r="L456" s="4" t="n">
        <v>293.43</v>
      </c>
      <c r="M456" t="n">
        <v>3495</v>
      </c>
      <c r="N456" s="6" t="n">
        <v>72449</v>
      </c>
      <c r="O456" t="n">
        <v>23</v>
      </c>
      <c r="Q456" t="inlineStr">
        <is>
          <t>EA</t>
        </is>
      </c>
      <c r="R456" t="inlineStr">
        <is>
          <t>М</t>
        </is>
      </c>
      <c r="S456" s="2">
        <f>HYPERLINK("https://yandex.ru/maps/?&amp;text=58.100716, 57.806335", "58.100716, 57.806335")</f>
        <v/>
      </c>
      <c r="T456" s="2">
        <f>HYPERLINK("D:\venv_torgi\env\cache\objs_in_district/58.100716_57.806335.json", "58.100716_57.806335.json")</f>
        <v/>
      </c>
      <c r="U456" t="inlineStr">
        <is>
          <t>59:09:0014503:788</t>
        </is>
      </c>
      <c r="V456" t="n">
        <v>0</v>
      </c>
      <c r="Y456" t="n">
        <v>0</v>
      </c>
      <c r="AA456" t="n">
        <v>0</v>
      </c>
      <c r="AB456" t="n">
        <v>0</v>
      </c>
    </row>
    <row r="457">
      <c r="A457" s="7" t="n">
        <v>455</v>
      </c>
      <c r="B457" t="n">
        <v>59</v>
      </c>
      <c r="C457" s="1" t="n">
        <v>141.2</v>
      </c>
      <c r="D457" s="2">
        <f>HYPERLINK("https://torgi.gov.ru/new/public/lots/lot/21000020210000000032_12/(lotInfo:info)", "21000020210000000032_12")</f>
        <v/>
      </c>
      <c r="E457" t="inlineStr">
        <is>
          <t>Помещение, назначение: нежилое, этаж 2, общая площадь 141,2 кв.м, кадастровый номер: 59:37:0620302:513, адрес объекта: г. Усолье, ул. Свободы, д. 144 (объект обременен договором аренды 13.06.2024г.)</t>
        </is>
      </c>
      <c r="F457" s="3" t="inlineStr">
        <is>
          <t>16.07.22 13:00</t>
        </is>
      </c>
      <c r="G457" t="inlineStr">
        <is>
          <t>Пермский край, г Усолье, ул Свободы, д 144</t>
        </is>
      </c>
      <c r="H457" s="4" t="n">
        <v>1100000</v>
      </c>
      <c r="I457" s="4" t="n">
        <v>7790.368271954675</v>
      </c>
      <c r="J457" t="inlineStr">
        <is>
          <t>Нежилое помещение</t>
        </is>
      </c>
      <c r="K457" s="5" t="n">
        <v>15.33</v>
      </c>
      <c r="L457" s="4" t="n">
        <v>299.62</v>
      </c>
      <c r="M457" t="n">
        <v>508</v>
      </c>
      <c r="N457" s="6" t="n">
        <v>82899</v>
      </c>
      <c r="O457" t="n">
        <v>26</v>
      </c>
      <c r="Q457" t="inlineStr">
        <is>
          <t>PP</t>
        </is>
      </c>
      <c r="R457" t="inlineStr">
        <is>
          <t>М</t>
        </is>
      </c>
      <c r="S457" s="2">
        <f>HYPERLINK("https://yandex.ru/maps/?&amp;text=59.428734, 56.68382", "59.428734, 56.68382")</f>
        <v/>
      </c>
      <c r="T457" s="2">
        <f>HYPERLINK("D:\venv_torgi\env\cache\objs_in_district/59.428734_56.68382.json", "59.428734_56.68382.json")</f>
        <v/>
      </c>
      <c r="U457" t="inlineStr">
        <is>
          <t xml:space="preserve">59:37:0620302:513, </t>
        </is>
      </c>
      <c r="V457" t="n">
        <v>2</v>
      </c>
      <c r="Y457" t="n">
        <v>0</v>
      </c>
      <c r="AA457" t="n">
        <v>0</v>
      </c>
      <c r="AB457" t="n">
        <v>0</v>
      </c>
    </row>
    <row r="458">
      <c r="A458" s="7" t="n">
        <v>456</v>
      </c>
      <c r="B458" t="n">
        <v>59</v>
      </c>
      <c r="C458" s="1" t="n">
        <v>205.3</v>
      </c>
      <c r="D458" s="2">
        <f>HYPERLINK("https://torgi.gov.ru/new/public/lots/lot/22000013150000000007_1/(lotInfo:info)", "22000013150000000007_1")</f>
        <v/>
      </c>
      <c r="E458" t="inlineStr">
        <is>
          <t>нежилое помещение площадью 205,3 кв.м на 1 этаже жилого дома</t>
        </is>
      </c>
      <c r="F458" s="3" t="inlineStr">
        <is>
          <t>24.04.22 18:00</t>
        </is>
      </c>
      <c r="G458" t="inlineStr">
        <is>
          <t>Пермский край, г Соликамск, ул Привокзальная, д 4</t>
        </is>
      </c>
      <c r="H458" s="4" t="n">
        <v>1609000</v>
      </c>
      <c r="I458" s="4" t="n">
        <v>7837.311251826594</v>
      </c>
      <c r="J458" t="inlineStr">
        <is>
          <t>Нежилое помещение</t>
        </is>
      </c>
      <c r="K458" s="5" t="n">
        <v>2.68</v>
      </c>
      <c r="L458" s="4" t="n">
        <v>356.23</v>
      </c>
      <c r="M458" t="n">
        <v>2925</v>
      </c>
      <c r="N458" s="6" t="n">
        <v>94628</v>
      </c>
      <c r="O458" t="n">
        <v>22</v>
      </c>
      <c r="Q458" t="inlineStr">
        <is>
          <t>EA</t>
        </is>
      </c>
      <c r="R458" t="inlineStr">
        <is>
          <t>М</t>
        </is>
      </c>
      <c r="S458" s="2">
        <f>HYPERLINK("https://yandex.ru/maps/?&amp;text=59.640835, 56.749783", "59.640835, 56.749783")</f>
        <v/>
      </c>
      <c r="T458" s="2">
        <f>HYPERLINK("D:\venv_torgi\env\cache\objs_in_district/59.640835_56.749783.json", "59.640835_56.749783.json")</f>
        <v/>
      </c>
      <c r="U458" t="inlineStr">
        <is>
          <t>59:10:0406004:3162</t>
        </is>
      </c>
      <c r="V458" t="n">
        <v>1</v>
      </c>
      <c r="Y458" t="n">
        <v>0</v>
      </c>
      <c r="AA458" t="n">
        <v>0</v>
      </c>
      <c r="AB458" t="n">
        <v>0</v>
      </c>
    </row>
    <row r="459">
      <c r="A459" s="7" t="n">
        <v>457</v>
      </c>
      <c r="B459" t="n">
        <v>59</v>
      </c>
      <c r="C459" s="1" t="n">
        <v>78.2</v>
      </c>
      <c r="D459" s="2">
        <f>HYPERLINK("https://torgi.gov.ru/new/public/lots/lot/21000012310000000004_4/(lotInfo:info)", "21000012310000000004_4")</f>
        <v/>
      </c>
      <c r="E459" t="inlineStr">
        <is>
          <t>Нежилое помещение (помещение) площадью 78,2 кв. м (кадастровый номер 59:01:3812307:1342) на цокольном этаже жилого дома по адресу: Пермский край, г. Пермь, ул. Социалистическая, д. 4. Помещение пустует.</t>
        </is>
      </c>
      <c r="F459" s="3" t="inlineStr">
        <is>
          <t>10.03.22 13:00</t>
        </is>
      </c>
      <c r="G459" t="inlineStr">
        <is>
          <t>г Пермь, ул Социалистическая, д 4</t>
        </is>
      </c>
      <c r="H459" s="4" t="n">
        <v>652500</v>
      </c>
      <c r="I459" s="4" t="n">
        <v>8343.989769820972</v>
      </c>
      <c r="J459" t="inlineStr">
        <is>
          <t>Нежилое помещение</t>
        </is>
      </c>
      <c r="K459" s="5" t="n">
        <v>2.38</v>
      </c>
      <c r="L459" s="4" t="n">
        <v>1668.6</v>
      </c>
      <c r="M459" t="n">
        <v>3504</v>
      </c>
      <c r="N459" s="6" t="n">
        <v>1048011</v>
      </c>
      <c r="O459" t="n">
        <v>5</v>
      </c>
      <c r="Q459" t="inlineStr">
        <is>
          <t>EA</t>
        </is>
      </c>
      <c r="R459" t="inlineStr">
        <is>
          <t>М</t>
        </is>
      </c>
      <c r="S459" s="2">
        <f>HYPERLINK("https://yandex.ru/maps/?&amp;text=58.13516, 56.381195", "58.13516, 56.381195")</f>
        <v/>
      </c>
      <c r="T459" s="2">
        <f>HYPERLINK("D:\venv_torgi\env\cache\objs_in_district/58.13516_56.381195.json", "58.13516_56.381195.json")</f>
        <v/>
      </c>
      <c r="U459" t="inlineStr">
        <is>
          <t>59:01:3812307:1342</t>
        </is>
      </c>
      <c r="V459" t="n">
        <v>0</v>
      </c>
      <c r="Y459" t="n">
        <v>0</v>
      </c>
      <c r="AA459" t="n">
        <v>0</v>
      </c>
      <c r="AB459" t="n">
        <v>0</v>
      </c>
    </row>
    <row r="460">
      <c r="A460" s="7" t="n">
        <v>458</v>
      </c>
      <c r="B460" t="n">
        <v>59</v>
      </c>
      <c r="C460" s="1" t="n">
        <v>89.3</v>
      </c>
      <c r="D460" s="2">
        <f>HYPERLINK("https://torgi.gov.ru/new/public/lots/lot/22000019350000000001_3/(lotInfo:info)", "22000019350000000001_3")</f>
        <v/>
      </c>
      <c r="E460" t="inlineStr">
        <is>
          <t>Фундамент: бетонный ленточный;Наружные и внутренние капитальные стены: кирпичные;Перекрытия чердачные: из сборных ж/б плит;Крыша: рулонная по ж/б плитам;Полы: керамическая плитка;Проемы:- оконные: стеклопакеты;- дверные: деревянные;Электричество: электроснабжение (проводка открытая);Водопровод: водоснабжение центральное;Канализация: местный отстойник.</t>
        </is>
      </c>
      <c r="F460" s="3" t="inlineStr">
        <is>
          <t>15.02.22 12:00</t>
        </is>
      </c>
      <c r="G460" t="inlineStr">
        <is>
          <t>Пермский край, г Оса, ул Спорта, д 12</t>
        </is>
      </c>
      <c r="H460" s="4" t="n">
        <v>802880</v>
      </c>
      <c r="I460" s="4" t="n">
        <v>8990.817469204927</v>
      </c>
      <c r="J460" t="inlineStr">
        <is>
          <t>Здание</t>
        </is>
      </c>
      <c r="K460" s="5" t="n">
        <v>2.78</v>
      </c>
      <c r="L460" s="4" t="n">
        <v>2247.5</v>
      </c>
      <c r="M460" t="n">
        <v>3230</v>
      </c>
      <c r="N460" s="6" t="n">
        <v>20981</v>
      </c>
      <c r="O460" t="n">
        <v>4</v>
      </c>
      <c r="Q460" t="inlineStr">
        <is>
          <t>EA</t>
        </is>
      </c>
      <c r="R460" t="inlineStr">
        <is>
          <t>М</t>
        </is>
      </c>
      <c r="S460" s="2">
        <f>HYPERLINK("https://yandex.ru/maps/?&amp;text=57.28459, 55.464176", "57.28459, 55.464176")</f>
        <v/>
      </c>
      <c r="T460" s="2">
        <f>HYPERLINK("D:\venv_torgi\env\cache\objs_in_district/57.28459_55.464176.json", "57.28459_55.464176.json")</f>
        <v/>
      </c>
      <c r="U460" t="inlineStr">
        <is>
          <t xml:space="preserve">59:29:0010315:21 </t>
        </is>
      </c>
      <c r="V460" t="n">
        <v>1</v>
      </c>
      <c r="Y460" t="n">
        <v>0</v>
      </c>
      <c r="AA460" t="n">
        <v>0</v>
      </c>
      <c r="AB460" t="n">
        <v>1</v>
      </c>
    </row>
    <row r="461">
      <c r="A461" s="7" t="n">
        <v>459</v>
      </c>
      <c r="B461" t="n">
        <v>59</v>
      </c>
      <c r="C461" s="1" t="n">
        <v>91.40000000000001</v>
      </c>
      <c r="D461" s="2">
        <f>HYPERLINK("https://torgi.gov.ru/new/public/lots/lot/21000012310000000007_2/(lotInfo:info)", "21000012310000000007_2")</f>
        <v/>
      </c>
      <c r="E461" t="inlineStr">
        <is>
          <t>Нежилое помещение (магазин) площадью 91,4 кв. м (кадастровый номер 59:01:2912574:491) на цокольном этаже, по адресу: Пермский край, г. Пермь, Орджоникидзевский район, пер. Дубровский 1-й, д. 4. Помещение пустует.</t>
        </is>
      </c>
      <c r="F461" s="3" t="inlineStr">
        <is>
          <t>11.05.22 13:00</t>
        </is>
      </c>
      <c r="G461" t="inlineStr">
        <is>
          <t>г Пермь, 1-й Дубровский пер, д 4</t>
        </is>
      </c>
      <c r="H461" s="4" t="n">
        <v>960000</v>
      </c>
      <c r="I461" s="4" t="n">
        <v>10503.28227571116</v>
      </c>
      <c r="J461" t="inlineStr">
        <is>
          <t>магазин</t>
        </is>
      </c>
      <c r="K461" s="5" t="n">
        <v>2.95</v>
      </c>
      <c r="L461" s="4" t="n">
        <v>1167</v>
      </c>
      <c r="M461" t="n">
        <v>3558</v>
      </c>
      <c r="N461" s="6" t="n">
        <v>1048011</v>
      </c>
      <c r="O461" t="n">
        <v>9</v>
      </c>
      <c r="Q461" t="inlineStr">
        <is>
          <t>EA</t>
        </is>
      </c>
      <c r="R461" t="inlineStr">
        <is>
          <t>М</t>
        </is>
      </c>
      <c r="S461" s="2">
        <f>HYPERLINK("https://yandex.ru/maps/?&amp;text=58.114758, 56.31765", "58.114758, 56.31765")</f>
        <v/>
      </c>
      <c r="T461" s="2">
        <f>HYPERLINK("D:\venv_torgi\env\cache\objs_in_district/58.114758_56.31765.json", "58.114758_56.31765.json")</f>
        <v/>
      </c>
      <c r="U461" t="inlineStr">
        <is>
          <t>59:01:2912574:491</t>
        </is>
      </c>
      <c r="V461" t="n">
        <v>0</v>
      </c>
      <c r="Y461" t="n">
        <v>0</v>
      </c>
      <c r="AA461" t="n">
        <v>0</v>
      </c>
      <c r="AB461" t="n">
        <v>0</v>
      </c>
    </row>
    <row r="462">
      <c r="A462" s="7" t="n">
        <v>460</v>
      </c>
      <c r="B462" t="n">
        <v>59</v>
      </c>
      <c r="C462" s="1" t="n">
        <v>129.8</v>
      </c>
      <c r="D462" s="2">
        <f>HYPERLINK("https://torgi.gov.ru/new/public/lots/lot/21000020210000000043_7/(lotInfo:info)", "21000020210000000043_7")</f>
        <v/>
      </c>
      <c r="E462" t="inlineStr">
        <is>
          <t>Нежилое помещение № 3, назначение: нежилое, этаж № 1, общая площадь 129,8 кв.м, кадастровый номер 59:37:0620204:277,  адрес объекта: г. Усолье, ул. Свободы, д. 155 (объект обременен договором аренды до 31.08.23г.). На объекте проведена неузаконенная перепланировка.</t>
        </is>
      </c>
      <c r="F462" s="3" t="inlineStr">
        <is>
          <t>28.08.22 13:00</t>
        </is>
      </c>
      <c r="G462" t="inlineStr">
        <is>
          <t>Пермский край, г Усолье, ул Свободы, д 155</t>
        </is>
      </c>
      <c r="H462" s="4" t="n">
        <v>1500000</v>
      </c>
      <c r="I462" s="4" t="n">
        <v>11556.24036979969</v>
      </c>
      <c r="J462" t="inlineStr">
        <is>
          <t>Нежилое помещение</t>
        </is>
      </c>
      <c r="K462" s="5" t="n">
        <v>22.75</v>
      </c>
      <c r="L462" s="4" t="n">
        <v>428</v>
      </c>
      <c r="M462" t="n">
        <v>508</v>
      </c>
      <c r="N462" s="6" t="n">
        <v>82899</v>
      </c>
      <c r="O462" t="n">
        <v>27</v>
      </c>
      <c r="Q462" t="inlineStr">
        <is>
          <t>PP</t>
        </is>
      </c>
      <c r="R462" t="inlineStr">
        <is>
          <t>М</t>
        </is>
      </c>
      <c r="S462" s="2">
        <f>HYPERLINK("https://yandex.ru/maps/?&amp;text=59.427169, 56.683856", "59.427169, 56.683856")</f>
        <v/>
      </c>
      <c r="T462" s="2">
        <f>HYPERLINK("D:\venv_torgi\env\cache\objs_in_district/59.427169_56.683856.json", "59.427169_56.683856.json")</f>
        <v/>
      </c>
      <c r="U462" t="inlineStr">
        <is>
          <t xml:space="preserve">59:37:0620204:277,  </t>
        </is>
      </c>
      <c r="V462" t="n">
        <v>1</v>
      </c>
      <c r="Y462" t="n">
        <v>0</v>
      </c>
      <c r="AA462" t="n">
        <v>0</v>
      </c>
      <c r="AB462" t="n">
        <v>0</v>
      </c>
    </row>
    <row r="463">
      <c r="A463" s="7" t="n">
        <v>461</v>
      </c>
      <c r="B463" t="n">
        <v>59</v>
      </c>
      <c r="C463" s="1" t="n">
        <v>115.6</v>
      </c>
      <c r="D463" s="2">
        <f>HYPERLINK("https://torgi.gov.ru/new/public/lots/lot/21000020210000000043_10/(lotInfo:info)", "21000020210000000043_10")</f>
        <v/>
      </c>
      <c r="E463" t="inlineStr">
        <is>
          <t>Встроенное нежилое помещение, общая площадь 53,4 кв.м, кадастровый номер: 59:03:0400089:9732.Встроенное нежилое помещение, общая площадь 40,2 кв.мкадастровый номер: 59:03:0400089:9729.Встроенное нежилое помещение, общая площадь 16 кв.м, кадастровый номер: 59:03:0400089:9952.Нежилое помещение, общая площадь 6,0 кв.м, кадастровый номер: 59:03:0400089:11241.</t>
        </is>
      </c>
      <c r="F463" s="3" t="inlineStr">
        <is>
          <t>28.08.22 13:00</t>
        </is>
      </c>
      <c r="G463" t="inlineStr">
        <is>
          <t>Пермский край, г Березники, ул Комсомольская, д 10</t>
        </is>
      </c>
      <c r="H463" s="4" t="n">
        <v>1500000</v>
      </c>
      <c r="I463" s="4" t="n">
        <v>12975.7785467128</v>
      </c>
      <c r="J463" t="inlineStr">
        <is>
          <t>Нежилое помещение</t>
        </is>
      </c>
      <c r="K463" s="5" t="n">
        <v>4.11</v>
      </c>
      <c r="L463" s="4" t="n">
        <v>1297.5</v>
      </c>
      <c r="M463" t="n">
        <v>3159</v>
      </c>
      <c r="N463" s="6" t="n">
        <v>145115</v>
      </c>
      <c r="O463" t="n">
        <v>10</v>
      </c>
      <c r="Q463" t="inlineStr">
        <is>
          <t>PP</t>
        </is>
      </c>
      <c r="R463" t="inlineStr">
        <is>
          <t>М</t>
        </is>
      </c>
      <c r="S463" s="2">
        <f>HYPERLINK("https://yandex.ru/maps/?&amp;text=59.398715, 56.857959", "59.398715, 56.857959")</f>
        <v/>
      </c>
      <c r="T463" s="2">
        <f>HYPERLINK("D:\venv_torgi\env\cache\objs_in_district/59.398715_56.857959.json", "59.398715_56.857959.json")</f>
        <v/>
      </c>
      <c r="U463" t="inlineStr">
        <is>
          <t>59:03:0400089:9732</t>
        </is>
      </c>
      <c r="V463" t="n">
        <v>0</v>
      </c>
      <c r="Y463" t="n">
        <v>0</v>
      </c>
      <c r="AA463" t="n">
        <v>0</v>
      </c>
      <c r="AB463" t="n">
        <v>0</v>
      </c>
    </row>
    <row r="464">
      <c r="A464" s="7" t="n">
        <v>462</v>
      </c>
      <c r="B464" t="n">
        <v>59</v>
      </c>
      <c r="C464" s="1" t="n">
        <v>110.2</v>
      </c>
      <c r="D464" s="2">
        <f>HYPERLINK("https://torgi.gov.ru/new/public/lots/lot/21000023740000000001_3/(lotInfo:info)", "21000023740000000001_3")</f>
        <v/>
      </c>
      <c r="E464" t="inlineStr">
        <is>
          <t>Нежилое помещение, Пермский край, Добрянский городской округ, г. Добрянка, ул. Копылова, д.67. Общая площадь помещения 110,2 кв.м., кадастровый номер 59:18:0010602:3161.</t>
        </is>
      </c>
      <c r="F464" s="3" t="inlineStr">
        <is>
          <t>25.03.22 17:00</t>
        </is>
      </c>
      <c r="G464" t="inlineStr">
        <is>
          <t>Пермский край, г Добрянка, ул Копылова, д 67</t>
        </is>
      </c>
      <c r="H464" s="4" t="n">
        <v>1790000</v>
      </c>
      <c r="I464" s="4" t="n">
        <v>16243.1941923775</v>
      </c>
      <c r="J464" t="inlineStr">
        <is>
          <t>Нежилое помещение</t>
        </is>
      </c>
      <c r="K464" s="5" t="n">
        <v>3.03</v>
      </c>
      <c r="L464" s="4" t="n">
        <v>416.49</v>
      </c>
      <c r="M464" t="n">
        <v>5358</v>
      </c>
      <c r="N464" s="6" t="n">
        <v>33083</v>
      </c>
      <c r="O464" t="n">
        <v>39</v>
      </c>
      <c r="Q464" t="inlineStr">
        <is>
          <t>EA</t>
        </is>
      </c>
      <c r="R464" t="inlineStr">
        <is>
          <t>М</t>
        </is>
      </c>
      <c r="S464" s="2">
        <f>HYPERLINK("https://yandex.ru/maps/?&amp;text=58.467343, 56.397779", "58.467343, 56.397779")</f>
        <v/>
      </c>
      <c r="T464" s="2">
        <f>HYPERLINK("D:\venv_torgi\env\cache\objs_in_district/58.467343_56.397779.json", "58.467343_56.397779.json")</f>
        <v/>
      </c>
      <c r="U464" t="inlineStr">
        <is>
          <t>59:18:0010602:3161</t>
        </is>
      </c>
      <c r="V464" t="n">
        <v>1</v>
      </c>
      <c r="Y464" t="n">
        <v>0</v>
      </c>
      <c r="AA464" t="n">
        <v>0</v>
      </c>
      <c r="AB464" t="n">
        <v>0</v>
      </c>
    </row>
    <row r="465">
      <c r="A465" s="7" t="n">
        <v>463</v>
      </c>
      <c r="B465" t="n">
        <v>59</v>
      </c>
      <c r="C465" s="1" t="n">
        <v>48.5</v>
      </c>
      <c r="D465" s="2">
        <f>HYPERLINK("https://torgi.gov.ru/new/public/lots/lot/21000012310000000004_3/(lotInfo:info)", "21000012310000000004_3")</f>
        <v/>
      </c>
      <c r="E465" t="inlineStr">
        <is>
          <t>Нежилое помещение (встроенные помещения) площадью 48,5 кв. м (кадастровый номер 59:01:2912530:1848) на 1 этаже жилого дома по адресу: Пермский край, г. Пермь, ул. Пулковская, д. 9. Помещение пустует.</t>
        </is>
      </c>
      <c r="F465" s="3" t="inlineStr">
        <is>
          <t>10.03.22 13:00</t>
        </is>
      </c>
      <c r="G465" t="inlineStr">
        <is>
          <t>г Пермь, ул Пулковская, д 9</t>
        </is>
      </c>
      <c r="H465" s="4" t="n">
        <v>800000</v>
      </c>
      <c r="I465" s="4" t="n">
        <v>16494.84536082474</v>
      </c>
      <c r="J465" t="inlineStr">
        <is>
          <t>Нежилое помещение</t>
        </is>
      </c>
      <c r="K465" s="5" t="n">
        <v>2.45</v>
      </c>
      <c r="L465" s="4" t="n">
        <v>687.25</v>
      </c>
      <c r="M465" t="n">
        <v>6723</v>
      </c>
      <c r="N465" s="6" t="n">
        <v>1048011</v>
      </c>
      <c r="O465" t="n">
        <v>24</v>
      </c>
      <c r="Q465" t="inlineStr">
        <is>
          <t>EA</t>
        </is>
      </c>
      <c r="R465" t="inlineStr">
        <is>
          <t>М</t>
        </is>
      </c>
      <c r="S465" s="2">
        <f>HYPERLINK("https://yandex.ru/maps/?&amp;text=58.107048, 56.298634", "58.107048, 56.298634")</f>
        <v/>
      </c>
      <c r="T465" s="2">
        <f>HYPERLINK("D:\venv_torgi\env\cache\objs_in_district/58.107048_56.298634.json", "58.107048_56.298634.json")</f>
        <v/>
      </c>
      <c r="U465" t="inlineStr">
        <is>
          <t>59:01:2912530:1848</t>
        </is>
      </c>
      <c r="V465" t="n">
        <v>1</v>
      </c>
      <c r="Y465" t="n">
        <v>0</v>
      </c>
      <c r="AA465" t="n">
        <v>0</v>
      </c>
      <c r="AB465" t="n">
        <v>0</v>
      </c>
    </row>
    <row r="466">
      <c r="A466" s="7" t="n">
        <v>464</v>
      </c>
      <c r="B466" t="n">
        <v>59</v>
      </c>
      <c r="C466" s="1" t="n">
        <v>15.3</v>
      </c>
      <c r="D466" s="2">
        <f>HYPERLINK("https://torgi.gov.ru/new/public/lots/lot/21000012310000000009_5/(lotInfo:info)", "21000012310000000009_5")</f>
        <v/>
      </c>
      <c r="E466" t="inlineStr">
        <is>
          <t>Нежилое помещение площадью 15,3 кв. м (кадастровый номер 59:01:4410713:1206) на 1 этаже жилого дома по адресу: Пермский край, г. Пермь, Индустриальный район, ул. Чайковского и Кавалерийской, д. 19/11, пом.7. Помещение пустует.</t>
        </is>
      </c>
      <c r="F466" s="3" t="inlineStr">
        <is>
          <t>27.06.22 13:42</t>
        </is>
      </c>
      <c r="G466" t="inlineStr">
        <is>
          <t>г. Пермь, ул. Чайковского/Кавалерийской, 19/11</t>
        </is>
      </c>
      <c r="H466" s="4" t="n">
        <v>350000</v>
      </c>
      <c r="I466" s="4" t="n">
        <v>22875.81699346405</v>
      </c>
      <c r="J466" t="inlineStr">
        <is>
          <t>Нежилое помещение</t>
        </is>
      </c>
      <c r="Q466" t="inlineStr">
        <is>
          <t>EA</t>
        </is>
      </c>
      <c r="R466" t="inlineStr">
        <is>
          <t>М</t>
        </is>
      </c>
      <c r="U466" t="inlineStr">
        <is>
          <t>59:01:4410713:1206</t>
        </is>
      </c>
      <c r="V466" t="n">
        <v>1</v>
      </c>
      <c r="Y466" t="n">
        <v>0</v>
      </c>
      <c r="AA466" t="n">
        <v>0</v>
      </c>
      <c r="AB466" t="n">
        <v>0</v>
      </c>
    </row>
    <row r="467">
      <c r="A467" s="7" t="n">
        <v>465</v>
      </c>
      <c r="B467" t="n">
        <v>59</v>
      </c>
      <c r="C467" s="1" t="n">
        <v>15.8</v>
      </c>
      <c r="D467" s="2">
        <f>HYPERLINK("https://torgi.gov.ru/new/public/lots/lot/21000012310000000003_3/(lotInfo:info)", "21000012310000000003_3")</f>
        <v/>
      </c>
      <c r="E467" t="inlineStr">
        <is>
          <t>Нежилое помещение площадью 15,8 кв. м (кадастровый номер 59:01:3911616:3644) на 1 этаже нежилого здания по адресу: Пермский край, г. Пермь, Мотовилихинский район, ул. Гашкова, д. 19а. Помещения пустуют.</t>
        </is>
      </c>
      <c r="F467" s="3" t="inlineStr">
        <is>
          <t>09.03.22 13:00</t>
        </is>
      </c>
      <c r="G467" t="inlineStr">
        <is>
          <t>г Пермь, ул Гашкова, д 19а</t>
        </is>
      </c>
      <c r="H467" s="4" t="n">
        <v>400000</v>
      </c>
      <c r="I467" s="4" t="n">
        <v>25316.45569620253</v>
      </c>
      <c r="J467" t="inlineStr">
        <is>
          <t>Нежилое помещение</t>
        </is>
      </c>
      <c r="K467" s="5" t="n">
        <v>27.7</v>
      </c>
      <c r="M467" t="n">
        <v>914</v>
      </c>
      <c r="N467" s="6" t="n">
        <v>1048011</v>
      </c>
      <c r="Q467" t="inlineStr">
        <is>
          <t>EA</t>
        </is>
      </c>
      <c r="R467" t="inlineStr">
        <is>
          <t>М</t>
        </is>
      </c>
      <c r="S467" s="2">
        <f>HYPERLINK("https://yandex.ru/maps/?&amp;text=58.062622, 56.352207", "58.062622, 56.352207")</f>
        <v/>
      </c>
      <c r="U467" t="inlineStr">
        <is>
          <t>59:01:3911616:3644</t>
        </is>
      </c>
      <c r="V467" t="n">
        <v>1</v>
      </c>
      <c r="Y467" t="n">
        <v>0</v>
      </c>
      <c r="AA467" t="n">
        <v>0</v>
      </c>
      <c r="AB467" t="n">
        <v>0</v>
      </c>
    </row>
    <row r="468">
      <c r="A468" s="7" t="n">
        <v>466</v>
      </c>
      <c r="B468" t="n">
        <v>59</v>
      </c>
      <c r="C468" s="1" t="n">
        <v>199.6</v>
      </c>
      <c r="D468" s="2">
        <f>HYPERLINK("https://torgi.gov.ru/new/public/lots/lot/21000012310000000004_1/(lotInfo:info)", "21000012310000000004_1")</f>
        <v/>
      </c>
      <c r="E468" t="inlineStr">
        <is>
          <t>Нежилые помещения площадью 199,6 кв. м (кадастровый номер 59:01:4311904:2092) на 3 этаже жилого дома по адресу: Пермский край, г. Пермь, Мотовилихинский район, б-р Гагарина, д. 81/4. Помещения пустуют.</t>
        </is>
      </c>
      <c r="F468" s="3" t="inlineStr">
        <is>
          <t>10.03.22 13:00</t>
        </is>
      </c>
      <c r="G468" t="inlineStr">
        <is>
          <t>г Пермь, б-р Гагарина, д 81/4</t>
        </is>
      </c>
      <c r="H468" s="4" t="n">
        <v>6405000</v>
      </c>
      <c r="I468" s="4" t="n">
        <v>32089.17835671343</v>
      </c>
      <c r="J468" t="inlineStr">
        <is>
          <t>Нежилое помещение</t>
        </is>
      </c>
      <c r="K468" s="5" t="n">
        <v>3.55</v>
      </c>
      <c r="L468" s="4" t="n">
        <v>1069.63</v>
      </c>
      <c r="M468" t="n">
        <v>9051</v>
      </c>
      <c r="N468" s="6" t="n">
        <v>1048011</v>
      </c>
      <c r="O468" t="n">
        <v>30</v>
      </c>
      <c r="Q468" t="inlineStr">
        <is>
          <t>EA</t>
        </is>
      </c>
      <c r="R468" t="inlineStr">
        <is>
          <t>М</t>
        </is>
      </c>
      <c r="S468" s="2">
        <f>HYPERLINK("https://yandex.ru/maps/?&amp;text=57.999315, 56.290232", "57.999315, 56.290232")</f>
        <v/>
      </c>
      <c r="T468" s="2">
        <f>HYPERLINK("D:\venv_torgi\env\cache\objs_in_district/57.999315_56.290232.json", "57.999315_56.290232.json")</f>
        <v/>
      </c>
      <c r="U468" t="inlineStr">
        <is>
          <t>59:01:4311904:2092</t>
        </is>
      </c>
      <c r="V468" t="n">
        <v>3</v>
      </c>
      <c r="Y468" t="n">
        <v>0</v>
      </c>
      <c r="AA468" t="n">
        <v>0</v>
      </c>
      <c r="AB468" t="n">
        <v>0</v>
      </c>
    </row>
    <row r="469">
      <c r="A469" s="7" t="n">
        <v>467</v>
      </c>
      <c r="B469" t="n">
        <v>59</v>
      </c>
      <c r="C469" s="1" t="n">
        <v>26.7</v>
      </c>
      <c r="D469" s="2">
        <f>HYPERLINK("https://torgi.gov.ru/new/public/lots/lot/21000012310000000011_5/(lotInfo:info)", "21000012310000000011_5")</f>
        <v/>
      </c>
      <c r="E469" t="inlineStr">
        <is>
          <t>Нежилое помещение площадью 26,7 кв. м (кадастровый номер 59:01:1713517:903), этаж: № 1, расположенное по адресу: Пермский край, г.о. Пермский, г. Пермь, ул. Хабаровская, д. 173. Помещение пустует.</t>
        </is>
      </c>
      <c r="F469" s="3" t="inlineStr">
        <is>
          <t>09.08.22 13:00</t>
        </is>
      </c>
      <c r="G469" t="inlineStr">
        <is>
          <t>г Пермь, ул Хабаровская, д 173</t>
        </is>
      </c>
      <c r="H469" s="4" t="n">
        <v>1100000</v>
      </c>
      <c r="I469" s="4" t="n">
        <v>41198.50187265918</v>
      </c>
      <c r="J469" t="inlineStr">
        <is>
          <t>Нежилое помещение</t>
        </is>
      </c>
      <c r="K469" s="5" t="n">
        <v>11.85</v>
      </c>
      <c r="L469" s="4" t="n">
        <v>1420.62</v>
      </c>
      <c r="M469" t="n">
        <v>3477</v>
      </c>
      <c r="N469" s="6" t="n">
        <v>1048011</v>
      </c>
      <c r="O469" t="n">
        <v>29</v>
      </c>
      <c r="Q469" t="inlineStr">
        <is>
          <t>EA</t>
        </is>
      </c>
      <c r="R469" t="inlineStr">
        <is>
          <t>М</t>
        </is>
      </c>
      <c r="S469" s="2">
        <f>HYPERLINK("https://yandex.ru/maps/?&amp;text=58.043272, 56.088057", "58.043272, 56.088057")</f>
        <v/>
      </c>
      <c r="T469" s="2">
        <f>HYPERLINK("D:\venv_torgi\env\cache\objs_in_district/58.043272_56.088057.json", "58.043272_56.088057.json")</f>
        <v/>
      </c>
      <c r="U469" t="inlineStr">
        <is>
          <t>59:01:1713517:903</t>
        </is>
      </c>
      <c r="V469" t="n">
        <v>1</v>
      </c>
      <c r="Y469" t="n">
        <v>0</v>
      </c>
      <c r="AA469" t="n">
        <v>0</v>
      </c>
      <c r="AB469" t="n">
        <v>0</v>
      </c>
    </row>
    <row r="470">
      <c r="A470" s="7" t="n">
        <v>468</v>
      </c>
      <c r="B470" t="n">
        <v>59</v>
      </c>
      <c r="C470" s="1" t="n">
        <v>15.3</v>
      </c>
      <c r="D470" s="2">
        <f>HYPERLINK("https://torgi.gov.ru/new/public/lots/lot/21000012310000000003_1/(lotInfo:info)", "21000012310000000003_1")</f>
        <v/>
      </c>
      <c r="E470" t="inlineStr">
        <is>
          <t>Нежилое помещение площадью 15,3 кв. м (кадастровый номер 59:01:4410713:1206) на 1 этаже жилого дома по адресу: Пермский край, г. Пермь, Индустриальный район, ул. Чайковского и Кавалерийской, д. 19/11, пом.7. Помещение пустует.</t>
        </is>
      </c>
      <c r="F470" s="3" t="inlineStr">
        <is>
          <t>09.03.22 13:00</t>
        </is>
      </c>
      <c r="G470" t="inlineStr">
        <is>
          <t>г Пермь, ул Чайковского, д 19</t>
        </is>
      </c>
      <c r="H470" s="4" t="n">
        <v>647500</v>
      </c>
      <c r="I470" s="4" t="n">
        <v>42320.26143790849</v>
      </c>
      <c r="J470" t="inlineStr">
        <is>
          <t>Нежилое помещение</t>
        </is>
      </c>
      <c r="K470" s="5" t="n">
        <v>5.52</v>
      </c>
      <c r="L470" s="4" t="n">
        <v>1143.78</v>
      </c>
      <c r="M470" t="n">
        <v>7668</v>
      </c>
      <c r="N470" s="6" t="n">
        <v>1048011</v>
      </c>
      <c r="O470" t="n">
        <v>37</v>
      </c>
      <c r="Q470" t="inlineStr">
        <is>
          <t>EA</t>
        </is>
      </c>
      <c r="R470" t="inlineStr">
        <is>
          <t>М</t>
        </is>
      </c>
      <c r="S470" s="2">
        <f>HYPERLINK("https://yandex.ru/maps/?&amp;text=57.9852, 56.202126", "57.9852, 56.202126")</f>
        <v/>
      </c>
      <c r="T470" s="2">
        <f>HYPERLINK("D:\venv_torgi\env\cache\objs_in_district/57.9852_56.202126.json", "57.9852_56.202126.json")</f>
        <v/>
      </c>
      <c r="U470" t="inlineStr">
        <is>
          <t>59:01:4410713:1206</t>
        </is>
      </c>
      <c r="V470" t="n">
        <v>1</v>
      </c>
      <c r="Y470" t="n">
        <v>0</v>
      </c>
      <c r="AA470" t="n">
        <v>0</v>
      </c>
      <c r="AB470" t="n">
        <v>0</v>
      </c>
    </row>
    <row r="471">
      <c r="A471" s="7" t="n">
        <v>469</v>
      </c>
      <c r="B471" t="n">
        <v>59</v>
      </c>
      <c r="C471" s="1" t="n">
        <v>33</v>
      </c>
      <c r="D471" s="2">
        <f>HYPERLINK("https://torgi.gov.ru/new/public/lots/lot/21000012310000000011_7/(lotInfo:info)", "21000012310000000011_7")</f>
        <v/>
      </c>
      <c r="E471" t="inlineStr">
        <is>
          <t>Нежилое помещение площадью 33,0 кв. м (кадастровый номер 59:01:4410741:832), надстроенный этаж № -, расположенное по адресу: Российская Федерация, Пермский край, г.о. Пермский, г. Пермь, ул. Соловьева, д. 14. Помещение пустует.</t>
        </is>
      </c>
      <c r="F471" s="3" t="inlineStr">
        <is>
          <t>09.08.22 13:00</t>
        </is>
      </c>
      <c r="G471" t="inlineStr">
        <is>
          <t>г Пермь, ул Соловьева, д 14</t>
        </is>
      </c>
      <c r="H471" s="4" t="n">
        <v>1650000</v>
      </c>
      <c r="I471" s="4" t="n">
        <v>50000</v>
      </c>
      <c r="J471" t="inlineStr">
        <is>
          <t>Нежилое помещение</t>
        </is>
      </c>
      <c r="K471" s="5" t="n">
        <v>7.81</v>
      </c>
      <c r="L471" s="4" t="n">
        <v>714.29</v>
      </c>
      <c r="M471" t="n">
        <v>6405</v>
      </c>
      <c r="N471" s="6" t="n">
        <v>1048011</v>
      </c>
      <c r="O471" t="n">
        <v>70</v>
      </c>
      <c r="Q471" t="inlineStr">
        <is>
          <t>EA</t>
        </is>
      </c>
      <c r="R471" t="inlineStr">
        <is>
          <t>М</t>
        </is>
      </c>
      <c r="S471" s="2">
        <f>HYPERLINK("https://yandex.ru/maps/?&amp;text=57.9897578, 56.2493681", "57.9897578, 56.2493681")</f>
        <v/>
      </c>
      <c r="T471" s="2">
        <f>HYPERLINK("D:\venv_torgi\env\cache\objs_in_district/57.9897578_56.2493681.json", "57.9897578_56.2493681.json")</f>
        <v/>
      </c>
      <c r="U471" t="inlineStr">
        <is>
          <t>59:01:4410741:832</t>
        </is>
      </c>
      <c r="V471" t="n">
        <v>4</v>
      </c>
      <c r="Y471" t="n">
        <v>0</v>
      </c>
      <c r="AA471" t="n">
        <v>0</v>
      </c>
      <c r="AB471" t="n">
        <v>0</v>
      </c>
    </row>
    <row r="472">
      <c r="A472" s="7" t="n">
        <v>470</v>
      </c>
      <c r="B472" t="n">
        <v>59</v>
      </c>
      <c r="C472" s="1" t="n">
        <v>37.2</v>
      </c>
      <c r="D472" s="2">
        <f>HYPERLINK("https://torgi.gov.ru/new/public/lots/lot/21000012310000000011_3/(lotInfo:info)", "21000012310000000011_3")</f>
        <v/>
      </c>
      <c r="E472" t="inlineStr">
        <is>
          <t>Нежилые помещения площадью 37,2 кв. м (состоящие из 6 объектов: площадью 0,8 кв. м (кадастровый номер: 59:01:4311737:899); площадью 1,5 кв. м (кадастровый номер: 59:01:4311737:896); площадью 1,8 кв. м (кадастровый номер: 59:01:4311737:898); площадью 8,4 кв. м (кадастровый номер: 59:01:4311737:897); площадью 8,7 кв. м (кадастровый номер: 59:01:4311737:895), площадью 16,0 кв. м (кадастровый номер: 59:01:4311737:884), этаж № 1, расположенные по адресу: Пермский край, г. Пермь, Мотовилихинский район, ул. Уральская, д. 113. Помещения пустуют.</t>
        </is>
      </c>
      <c r="F472" s="3" t="inlineStr">
        <is>
          <t>09.08.22 13:00</t>
        </is>
      </c>
      <c r="G472" t="inlineStr">
        <is>
          <t>г Пермь, ул Уральская, д 113</t>
        </is>
      </c>
      <c r="H472" s="4" t="n">
        <v>2175000</v>
      </c>
      <c r="I472" s="4" t="n">
        <v>58467.74193548386</v>
      </c>
      <c r="J472" t="inlineStr">
        <is>
          <t>Нежилое помещение</t>
        </is>
      </c>
      <c r="K472" s="5" t="n">
        <v>11.54</v>
      </c>
      <c r="L472" s="4" t="n">
        <v>1827.09</v>
      </c>
      <c r="M472" t="n">
        <v>5067</v>
      </c>
      <c r="N472" s="6" t="n">
        <v>1048011</v>
      </c>
      <c r="O472" t="n">
        <v>32</v>
      </c>
      <c r="Q472" t="inlineStr">
        <is>
          <t>EA</t>
        </is>
      </c>
      <c r="R472" t="inlineStr">
        <is>
          <t>М</t>
        </is>
      </c>
      <c r="S472" s="2">
        <f>HYPERLINK("https://yandex.ru/maps/?&amp;text=58.01995, 56.27859", "58.01995, 56.27859")</f>
        <v/>
      </c>
      <c r="T472" s="2">
        <f>HYPERLINK("D:\venv_torgi\env\cache\objs_in_district/58.01995_56.27859.json", "58.01995_56.27859.json")</f>
        <v/>
      </c>
      <c r="U472" t="inlineStr">
        <is>
          <t>59:01:4311737:899</t>
        </is>
      </c>
      <c r="V472" t="n">
        <v>1</v>
      </c>
      <c r="Y472" t="n">
        <v>0</v>
      </c>
      <c r="AA472" t="n">
        <v>0</v>
      </c>
      <c r="AB472" t="n">
        <v>0</v>
      </c>
    </row>
    <row r="473">
      <c r="A473" s="7" t="n">
        <v>471</v>
      </c>
      <c r="B473" t="n">
        <v>59</v>
      </c>
      <c r="C473" s="1" t="n">
        <v>11.5</v>
      </c>
      <c r="D473" s="2">
        <f>HYPERLINK("https://torgi.gov.ru/new/public/lots/lot/21000012310000000004_2/(lotInfo:info)", "21000012310000000004_2")</f>
        <v/>
      </c>
      <c r="E473" t="inlineStr">
        <is>
          <t>Нежилое помещение (магазин) площадью 11,5 кв. м (кадастровый номер 59:01:4410037:287) на 1 этаже жилого дома по адресу: Пермский край, г. Пермь, Ленинский район, ул. Сибирская, д. 1. Помещение пустует.</t>
        </is>
      </c>
      <c r="F473" s="3" t="inlineStr">
        <is>
          <t>10.03.22 13:00</t>
        </is>
      </c>
      <c r="G473" t="inlineStr">
        <is>
          <t>г Пермь, ул Сибирская, д 1</t>
        </is>
      </c>
      <c r="H473" s="4" t="n">
        <v>2035000</v>
      </c>
      <c r="I473" s="4" t="n">
        <v>176956.5217391304</v>
      </c>
      <c r="J473" t="inlineStr">
        <is>
          <t>магазин</t>
        </is>
      </c>
      <c r="K473" s="5" t="n">
        <v>26.95</v>
      </c>
      <c r="L473" s="4" t="n">
        <v>4021.73</v>
      </c>
      <c r="M473" t="n">
        <v>6567</v>
      </c>
      <c r="N473" s="6" t="n">
        <v>1048011</v>
      </c>
      <c r="O473" t="n">
        <v>44</v>
      </c>
      <c r="Q473" t="inlineStr">
        <is>
          <t>EA</t>
        </is>
      </c>
      <c r="R473" t="inlineStr">
        <is>
          <t>М</t>
        </is>
      </c>
      <c r="S473" s="2">
        <f>HYPERLINK("https://yandex.ru/maps/?&amp;text=58.01732, 56.242406", "58.01732, 56.242406")</f>
        <v/>
      </c>
      <c r="T473" s="2">
        <f>HYPERLINK("D:\venv_torgi\env\cache\objs_in_district/58.01732_56.242406.json", "58.01732_56.242406.json")</f>
        <v/>
      </c>
      <c r="U473" t="inlineStr">
        <is>
          <t>59:01:4410037:287</t>
        </is>
      </c>
      <c r="V473" t="n">
        <v>1</v>
      </c>
      <c r="Y473" t="n">
        <v>0</v>
      </c>
      <c r="AA473" t="n">
        <v>0</v>
      </c>
      <c r="AB473" t="n">
        <v>0</v>
      </c>
    </row>
    <row r="474">
      <c r="A474" s="7" t="n">
        <v>472</v>
      </c>
      <c r="B474" t="n">
        <v>59</v>
      </c>
      <c r="C474" s="1" t="n">
        <v>12.8</v>
      </c>
      <c r="D474" s="2">
        <f>HYPERLINK("https://torgi.gov.ru/new/public/lots/lot/21000012310000000003_2/(lotInfo:info)", "21000012310000000003_2")</f>
        <v/>
      </c>
      <c r="E474" t="inlineStr">
        <is>
          <t>Нежилое помещение площадью 12,8 кв. м (кадастровый номер 59:01:4410396:3674) на 1 этаже жилого дома по адресу: Пермский край, г. Пермь, Дзержинский район, пр-кт Парковый, д. 5. Помещение пустует.</t>
        </is>
      </c>
      <c r="F474" s="3" t="inlineStr">
        <is>
          <t>09.03.22 13:00</t>
        </is>
      </c>
      <c r="G474" t="inlineStr">
        <is>
          <t>г Пермь, Парковый пр-кт, д 5</t>
        </is>
      </c>
      <c r="H474" s="4" t="n">
        <v>2370000</v>
      </c>
      <c r="I474" s="4" t="n">
        <v>185156.25</v>
      </c>
      <c r="J474" t="inlineStr">
        <is>
          <t>Нежилое помещение</t>
        </is>
      </c>
      <c r="K474" s="5" t="n">
        <v>21.14</v>
      </c>
      <c r="L474" s="4" t="n">
        <v>3560.69</v>
      </c>
      <c r="M474" t="n">
        <v>8760</v>
      </c>
      <c r="N474" s="6" t="n">
        <v>1048011</v>
      </c>
      <c r="O474" t="n">
        <v>52</v>
      </c>
      <c r="Q474" t="inlineStr">
        <is>
          <t>EA</t>
        </is>
      </c>
      <c r="R474" t="inlineStr">
        <is>
          <t>М</t>
        </is>
      </c>
      <c r="S474" s="2">
        <f>HYPERLINK("https://yandex.ru/maps/?&amp;text=57.997913, 56.1437", "57.997913, 56.1437")</f>
        <v/>
      </c>
      <c r="T474" s="2">
        <f>HYPERLINK("D:\venv_torgi\env\cache\objs_in_district/57.997913_56.1437.json", "57.997913_56.1437.json")</f>
        <v/>
      </c>
      <c r="U474" t="inlineStr">
        <is>
          <t>59:01:4410396:3674</t>
        </is>
      </c>
      <c r="V474" t="n">
        <v>1</v>
      </c>
      <c r="Y474" t="n">
        <v>0</v>
      </c>
      <c r="AA474" t="n">
        <v>0</v>
      </c>
      <c r="AB474" t="n">
        <v>0</v>
      </c>
    </row>
    <row r="475">
      <c r="A475" s="7" t="n">
        <v>473</v>
      </c>
      <c r="B475" t="n">
        <v>60</v>
      </c>
      <c r="C475" s="1" t="n">
        <v>219</v>
      </c>
      <c r="D475" s="2">
        <f>HYPERLINK("https://torgi.gov.ru/new/public/lots/lot/21000033830000000006_1/(lotInfo:info)", "21000033830000000006_1")</f>
        <v/>
      </c>
      <c r="E475" t="inlineStr">
        <is>
          <t>Нежилое помещения 1003, кадастровый номер 60:15:1008012:132, общей площадью 219 кв.м., расположенное на втором этаже здания по адресу: Псковская обл., г. Печоры, ул. Псковская, д.1,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      </is>
      </c>
      <c r="F475" s="3" t="inlineStr">
        <is>
          <t>31.07.22 14:00</t>
        </is>
      </c>
      <c r="G475" t="inlineStr">
        <is>
          <t>Псковская обл, г Печоры, ул Псковская, д 1, помещ 1003</t>
        </is>
      </c>
      <c r="H475" s="4" t="n">
        <v>1805700</v>
      </c>
      <c r="I475" s="4" t="n">
        <v>8245.205479452055</v>
      </c>
      <c r="J475" t="inlineStr">
        <is>
          <t>Здание</t>
        </is>
      </c>
      <c r="K475" s="5" t="n">
        <v>4.11</v>
      </c>
      <c r="L475" s="4" t="n">
        <v>132.98</v>
      </c>
      <c r="M475" t="n">
        <v>2007</v>
      </c>
      <c r="N475" s="6" t="n">
        <v>10034</v>
      </c>
      <c r="O475" t="n">
        <v>62</v>
      </c>
      <c r="Q475" t="inlineStr">
        <is>
          <t>EA</t>
        </is>
      </c>
      <c r="R475" t="inlineStr">
        <is>
          <t>М</t>
        </is>
      </c>
      <c r="S475" s="2">
        <f>HYPERLINK("https://yandex.ru/maps/?&amp;text=57.813397, 27.613826", "57.813397, 27.613826")</f>
        <v/>
      </c>
      <c r="T475" s="2">
        <f>HYPERLINK("D:\venv_torgi\env\cache\objs_in_district/57.813397_27.613826.json", "57.813397_27.613826.json")</f>
        <v/>
      </c>
      <c r="U475" t="inlineStr">
        <is>
          <t xml:space="preserve">60:15:1008012:132, </t>
        </is>
      </c>
      <c r="V475" t="n">
        <v>2</v>
      </c>
      <c r="Y475" t="n">
        <v>0</v>
      </c>
      <c r="Z475" t="n">
        <v>1</v>
      </c>
      <c r="AA475" t="n">
        <v>0</v>
      </c>
      <c r="AB475" t="n">
        <v>0</v>
      </c>
    </row>
    <row r="476">
      <c r="A476" s="7" t="n">
        <v>474</v>
      </c>
      <c r="B476" t="n">
        <v>60</v>
      </c>
      <c r="C476" s="1" t="n">
        <v>20.3</v>
      </c>
      <c r="D476" s="2">
        <f>HYPERLINK("https://torgi.gov.ru/new/public/lots/lot/21000003520000000002_1/(lotInfo:info)", "21000003520000000002_1")</f>
        <v/>
      </c>
      <c r="E476" t="inlineStr">
        <is>
          <t>Нежилое помещение, КН 60:13:0131411:1141, площадью 20,3 кв.м., расположенное на первом этаже одноэтажного здания магазина.</t>
        </is>
      </c>
      <c r="F476" s="3" t="inlineStr">
        <is>
          <t>13.04.22 14:00</t>
        </is>
      </c>
      <c r="G476" t="inlineStr">
        <is>
          <t>Островский район, г. Остров, ул. Апакидзе, д.1, пом.1001</t>
        </is>
      </c>
      <c r="H476" s="4" t="n">
        <v>200000</v>
      </c>
      <c r="I476" s="4" t="n">
        <v>9852.216748768473</v>
      </c>
      <c r="J476" t="inlineStr">
        <is>
          <t>магазина</t>
        </is>
      </c>
      <c r="Q476" t="inlineStr">
        <is>
          <t>EA</t>
        </is>
      </c>
      <c r="R476" t="inlineStr">
        <is>
          <t>М</t>
        </is>
      </c>
      <c r="U476" t="inlineStr">
        <is>
          <t>60:13:0131411:1141</t>
        </is>
      </c>
      <c r="V476" t="n">
        <v>1</v>
      </c>
      <c r="Y476" t="n">
        <v>0</v>
      </c>
      <c r="AA476" t="n">
        <v>0</v>
      </c>
      <c r="AB476" t="n">
        <v>0</v>
      </c>
    </row>
    <row r="477">
      <c r="A477" s="7" t="n">
        <v>475</v>
      </c>
      <c r="B477" t="n">
        <v>60</v>
      </c>
      <c r="C477" s="1" t="n">
        <v>190.8</v>
      </c>
      <c r="D477" s="2">
        <f>HYPERLINK("https://torgi.gov.ru/new/public/lots/lot/21000018880000000001_1/(lotInfo:info)", "21000018880000000001_1")</f>
        <v/>
      </c>
      <c r="E477" t="inlineStr">
        <is>
          <t>нежилое помещение, входящее в состав объекта культурного наследия федерального значения «Дом Трубинских со служебными постройками», XVII в., площадью 190,8 кв.м, с кадастровым номером 60:27:0010205:43, расположенное по адресу: Псковская область, г. Псков, ул. Леона Поземского, д. 22, пом. 1,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      </is>
      </c>
      <c r="F477" s="3" t="inlineStr">
        <is>
          <t>25.04.22 14:00</t>
        </is>
      </c>
      <c r="G477" t="inlineStr">
        <is>
          <t>г Псков, ул Леона Поземского, д 22</t>
        </is>
      </c>
      <c r="H477" s="4" t="n">
        <v>2094996</v>
      </c>
      <c r="I477" s="4" t="n">
        <v>10980.06289308176</v>
      </c>
      <c r="J477" t="inlineStr">
        <is>
          <t>Нежилое помещение</t>
        </is>
      </c>
      <c r="K477" s="5" t="n">
        <v>9.890000000000001</v>
      </c>
      <c r="L477" s="4" t="n">
        <v>183</v>
      </c>
      <c r="M477" t="n">
        <v>1110</v>
      </c>
      <c r="N477" s="6" t="n">
        <v>207571</v>
      </c>
      <c r="O477" t="n">
        <v>60</v>
      </c>
      <c r="Q477" t="inlineStr">
        <is>
          <t>EK</t>
        </is>
      </c>
      <c r="R477" t="inlineStr">
        <is>
          <t>М</t>
        </is>
      </c>
      <c r="S477" s="2">
        <f>HYPERLINK("https://yandex.ru/maps/?&amp;text=57.825256, 28.330519", "57.825256, 28.330519")</f>
        <v/>
      </c>
      <c r="T477" s="2">
        <f>HYPERLINK("D:\venv_torgi\env\cache\objs_in_district/57.825256_28.330519.json", "57.825256_28.330519.json")</f>
        <v/>
      </c>
      <c r="U477" t="inlineStr">
        <is>
          <t xml:space="preserve">60:27:0010205:43, </t>
        </is>
      </c>
      <c r="V477" t="n">
        <v>0</v>
      </c>
      <c r="Y477" t="n">
        <v>0</v>
      </c>
      <c r="Z477" t="n">
        <v>1</v>
      </c>
      <c r="AA477" t="n">
        <v>0</v>
      </c>
      <c r="AB477" t="n">
        <v>0</v>
      </c>
    </row>
    <row r="478">
      <c r="A478" s="7" t="n">
        <v>476</v>
      </c>
      <c r="B478" t="n">
        <v>60</v>
      </c>
      <c r="C478" s="1" t="n">
        <v>19.9</v>
      </c>
      <c r="D478" s="2">
        <f>HYPERLINK("https://torgi.gov.ru/new/public/lots/lot/22000003840000000010_1/(lotInfo:info)", "22000003840000000010_1")</f>
        <v/>
      </c>
      <c r="E478" t="inlineStr">
        <is>
          <t>нежилое помещение № 1006 с КН 60:04:0010260:511, общей площадью 19,9 кв. м, расположенное по адресу: рп Дедовичи, ул. Энергетиков д.1.</t>
        </is>
      </c>
      <c r="F478" s="3" t="inlineStr">
        <is>
          <t>30.05.22 13:00</t>
        </is>
      </c>
      <c r="G478" t="inlineStr">
        <is>
          <t>Псковская обл, рп Дедовичи, ул Энергетиков, д 1</t>
        </is>
      </c>
      <c r="H478" s="4" t="n">
        <v>227411.1</v>
      </c>
      <c r="I478" s="4" t="n">
        <v>11427.69346733668</v>
      </c>
      <c r="J478" t="inlineStr">
        <is>
          <t>Нежилое помещение</t>
        </is>
      </c>
      <c r="K478" s="5" t="n">
        <v>32.93</v>
      </c>
      <c r="M478" t="n">
        <v>347</v>
      </c>
      <c r="N478" s="6" t="n">
        <v>7836</v>
      </c>
      <c r="Q478" t="inlineStr">
        <is>
          <t>EA</t>
        </is>
      </c>
      <c r="R478" t="inlineStr">
        <is>
          <t>М</t>
        </is>
      </c>
      <c r="S478" s="2">
        <f>HYPERLINK("https://yandex.ru/maps/?&amp;text=57.528297, 29.969038", "57.528297, 29.969038")</f>
        <v/>
      </c>
      <c r="V478" t="n">
        <v>0</v>
      </c>
      <c r="Y478" t="n">
        <v>0</v>
      </c>
      <c r="AA478" t="n">
        <v>0</v>
      </c>
      <c r="AB478" t="n">
        <v>0</v>
      </c>
    </row>
    <row r="479">
      <c r="A479" s="7" t="n">
        <v>477</v>
      </c>
      <c r="B479" t="n">
        <v>60</v>
      </c>
      <c r="C479" s="1" t="n">
        <v>28.5</v>
      </c>
      <c r="D479" s="2">
        <f>HYPERLINK("https://torgi.gov.ru/new/public/lots/lot/22000003840000000009_1/(lotInfo:info)", "22000003840000000009_1")</f>
        <v/>
      </c>
      <c r="E479" t="inlineStr">
        <is>
          <t>нежилое помещение № 1005 с КН 60:04:0010260:510, общей площадью 28,5 кв. м, расположенное по адресу: рп Дедовичи, ул. Энергетиков д.1.</t>
        </is>
      </c>
      <c r="F479" s="3" t="inlineStr">
        <is>
          <t>30.05.22 13:00</t>
        </is>
      </c>
      <c r="G479" t="inlineStr">
        <is>
          <t>Псковская обл, рп Дедовичи, ул Энергетиков, д 1</t>
        </is>
      </c>
      <c r="H479" s="4" t="n">
        <v>344974.7</v>
      </c>
      <c r="I479" s="4" t="n">
        <v>12104.37543859649</v>
      </c>
      <c r="J479" t="inlineStr">
        <is>
          <t>Нежилое помещение</t>
        </is>
      </c>
      <c r="K479" s="5" t="n">
        <v>34.88</v>
      </c>
      <c r="M479" t="n">
        <v>347</v>
      </c>
      <c r="N479" s="6" t="n">
        <v>7836</v>
      </c>
      <c r="Q479" t="inlineStr">
        <is>
          <t>EA</t>
        </is>
      </c>
      <c r="R479" t="inlineStr">
        <is>
          <t>М</t>
        </is>
      </c>
      <c r="S479" s="2">
        <f>HYPERLINK("https://yandex.ru/maps/?&amp;text=57.528297, 29.969038", "57.528297, 29.969038")</f>
        <v/>
      </c>
      <c r="V479" t="n">
        <v>0</v>
      </c>
      <c r="Y479" t="n">
        <v>0</v>
      </c>
      <c r="AA479" t="n">
        <v>0</v>
      </c>
      <c r="AB479" t="n">
        <v>0</v>
      </c>
    </row>
    <row r="480">
      <c r="A480" s="7" t="n">
        <v>478</v>
      </c>
      <c r="B480" t="n">
        <v>61</v>
      </c>
      <c r="C480" s="1" t="n">
        <v>419</v>
      </c>
      <c r="D480" s="2">
        <f>HYPERLINK("https://torgi.gov.ru/new/public/lots/lot/22000056320000000003_3/(lotInfo:info)", "22000056320000000003_3")</f>
        <v/>
      </c>
      <c r="E480" t="inlineStr">
        <is>
          <t>Нежилое помещение, литер: ч.литера А, а5, а6, а7, а8, а9, этаж № 1, номера на поэтажном плане: 1, 2, 3, 4, 5, 6-7, 8, 9, 22, 23-24, 25-26, 27, 28, 29-30, 31, 32-33, 31а, 34, 35-36, 37, 38, площадь: общая 419,0 кв.м., кадастровый номер 61:59:0020415:719, расположенное по адресу: Ростовская область, г.Шахты, ул.Прокатная, 4а.</t>
        </is>
      </c>
      <c r="F480" s="3" t="inlineStr">
        <is>
          <t>04.05.22 08:00</t>
        </is>
      </c>
      <c r="G480" t="inlineStr">
        <is>
          <t>Ростовская обл, г Шахты, ул Прокатная, д 4А</t>
        </is>
      </c>
      <c r="H480" s="4" t="n">
        <v>750000</v>
      </c>
      <c r="I480" s="4" t="n">
        <v>1789.976133651551</v>
      </c>
      <c r="J480" t="inlineStr">
        <is>
          <t>Нежилое помещение</t>
        </is>
      </c>
      <c r="K480" s="5" t="n">
        <v>0.72</v>
      </c>
      <c r="L480" s="4" t="n">
        <v>127.79</v>
      </c>
      <c r="M480" t="n">
        <v>2480</v>
      </c>
      <c r="N480" s="6" t="n">
        <v>235492</v>
      </c>
      <c r="O480" t="n">
        <v>14</v>
      </c>
      <c r="Q480" t="inlineStr">
        <is>
          <t>BOC</t>
        </is>
      </c>
      <c r="R480" t="inlineStr">
        <is>
          <t>М</t>
        </is>
      </c>
      <c r="S480" s="2">
        <f>HYPERLINK("https://yandex.ru/maps/?&amp;text=47.718725, 40.234221", "47.718725, 40.234221")</f>
        <v/>
      </c>
      <c r="T480" s="2">
        <f>HYPERLINK("D:\venv_torgi\env\cache\objs_in_district/47.718725_40.234221.json", "47.718725_40.234221.json")</f>
        <v/>
      </c>
      <c r="U480" t="inlineStr">
        <is>
          <t xml:space="preserve">61:59:0020415:719, </t>
        </is>
      </c>
      <c r="V480" t="n">
        <v>1</v>
      </c>
      <c r="Y480" t="n">
        <v>0</v>
      </c>
      <c r="AA480" t="n">
        <v>0</v>
      </c>
      <c r="AB480" t="n">
        <v>0</v>
      </c>
    </row>
    <row r="481">
      <c r="A481" s="7" t="n">
        <v>479</v>
      </c>
      <c r="B481" t="n">
        <v>61</v>
      </c>
      <c r="C481" s="1" t="n">
        <v>45.2</v>
      </c>
      <c r="D481" s="2">
        <f>HYPERLINK("https://torgi.gov.ru/new/public/lots/lot/22000005750000000002_1/(lotInfo:info)", "22000005750000000002_1")</f>
        <v/>
      </c>
      <c r="E481" t="inlineStr">
        <is>
          <t>Нежилое здание, площадью 45,2 кв.м., расположенное по адресу: Ростовская область, Каменский район, х.Астахов, ул.Советская, 99 одновременно с отчуждением земельного участка с кадастровым номером 61:15:0020201:388, общей площадью 2500 кв.м. на котором оно расположено</t>
        </is>
      </c>
      <c r="F481" s="3" t="inlineStr">
        <is>
          <t>19.06.22 13:00</t>
        </is>
      </c>
      <c r="G481" t="inlineStr">
        <is>
          <t>Ростовская обл, Каменский р-н, хутор Астахов, ул Советская</t>
        </is>
      </c>
      <c r="H481" s="4" t="n">
        <v>126000</v>
      </c>
      <c r="I481" s="4" t="n">
        <v>2787.610619469026</v>
      </c>
      <c r="J481" t="inlineStr">
        <is>
          <t>жилое здание</t>
        </is>
      </c>
      <c r="K481" s="5" t="n">
        <v>22.3</v>
      </c>
      <c r="M481" t="n">
        <v>125</v>
      </c>
      <c r="N481" s="6" t="n">
        <v>790</v>
      </c>
      <c r="Q481" t="inlineStr">
        <is>
          <t>EA</t>
        </is>
      </c>
      <c r="R481" t="inlineStr">
        <is>
          <t>М</t>
        </is>
      </c>
      <c r="S481" s="2">
        <f>HYPERLINK("https://yandex.ru/maps/?&amp;text=48.460941, 40.299861", "48.460941, 40.299861")</f>
        <v/>
      </c>
      <c r="U481" t="inlineStr">
        <is>
          <t xml:space="preserve">61:15:0020201:388, </t>
        </is>
      </c>
      <c r="V481" t="n">
        <v>0</v>
      </c>
      <c r="Y481" t="n">
        <v>0</v>
      </c>
      <c r="AA481" t="n">
        <v>0</v>
      </c>
      <c r="AB481" t="n">
        <v>1</v>
      </c>
    </row>
    <row r="482">
      <c r="A482" s="7" t="n">
        <v>480</v>
      </c>
      <c r="B482" t="n">
        <v>61</v>
      </c>
      <c r="C482" s="1" t="n">
        <v>46.9</v>
      </c>
      <c r="D482" s="2">
        <f>HYPERLINK("https://torgi.gov.ru/new/public/lots/lot/21000031020000000001_1/(lotInfo:info)", "21000031020000000001_1")</f>
        <v/>
      </c>
      <c r="E482" t="inlineStr">
        <is>
          <t>Нежилое помещение общей площадью 46,9 кв.м. с кадастровым номером 61:50:0000000:4834</t>
        </is>
      </c>
      <c r="F482" s="3" t="inlineStr">
        <is>
          <t>11.05.22 14:00</t>
        </is>
      </c>
      <c r="G482" t="inlineStr">
        <is>
          <t>Ростовская обл, г Донецк, пр-кт Мира, д 50, помещ 4</t>
        </is>
      </c>
      <c r="H482" s="4" t="n">
        <v>132000</v>
      </c>
      <c r="I482" s="4" t="n">
        <v>2814.498933901919</v>
      </c>
      <c r="J482" t="inlineStr">
        <is>
          <t>Нежилое помещение</t>
        </is>
      </c>
      <c r="K482" s="5" t="n">
        <v>1.28</v>
      </c>
      <c r="M482" t="n">
        <v>2202</v>
      </c>
      <c r="N482" s="6" t="n">
        <v>48428</v>
      </c>
      <c r="Q482" t="inlineStr">
        <is>
          <t>EA</t>
        </is>
      </c>
      <c r="R482" t="inlineStr">
        <is>
          <t>М</t>
        </is>
      </c>
      <c r="S482" s="2">
        <f>HYPERLINK("https://yandex.ru/maps/?&amp;text=48.338072, 39.948961", "48.338072, 39.948961")</f>
        <v/>
      </c>
      <c r="U482" t="inlineStr">
        <is>
          <t>61:50:0000000:4834</t>
        </is>
      </c>
      <c r="V482" t="n">
        <v>2</v>
      </c>
      <c r="Y482" t="n">
        <v>0</v>
      </c>
      <c r="AA482" t="n">
        <v>0</v>
      </c>
      <c r="AB482" t="n">
        <v>0</v>
      </c>
    </row>
    <row r="483">
      <c r="A483" s="7" t="n">
        <v>481</v>
      </c>
      <c r="B483" t="n">
        <v>61</v>
      </c>
      <c r="C483" s="1" t="n">
        <v>86.5</v>
      </c>
      <c r="D483" s="2">
        <f>HYPERLINK("https://torgi.gov.ru/new/public/lots/lot/21000026100000000003_2/(lotInfo:info)", "21000026100000000003_2")</f>
        <v/>
      </c>
      <c r="E483" t="inlineStr">
        <is>
          <t>Нежилое помещение, общей площадью-86,5 кв.м., кадастровый номер 61:49:0010411:294, расположенное по адресу: Ростовская область, г. Гуково, ул. Костюшкина, д.47-а и земельный участок общей площадью-176 кв.м., кадастровый номер 61:49:0010411:54. Категория земель: Земли населенных пунктов - под нежилым помещением. Адрес земельного участка - Ростовская область, г. Гуково, ул. Костюшкина,47-а. Стоимость земельного участка- 14 000,00 рублей.Обременение имущества: не установлено.</t>
        </is>
      </c>
      <c r="F483" s="3" t="inlineStr">
        <is>
          <t>01.08.22 10:00</t>
        </is>
      </c>
      <c r="G483" t="inlineStr">
        <is>
          <t>Ростовская обл, г Гуково, ул Костюшкина, д 47а</t>
        </is>
      </c>
      <c r="H483" s="4" t="n">
        <v>387000</v>
      </c>
      <c r="I483" s="4" t="n">
        <v>4473.988439306358</v>
      </c>
      <c r="J483" t="inlineStr">
        <is>
          <t>Нежилое помещение</t>
        </is>
      </c>
      <c r="K483" s="5" t="n">
        <v>1.91</v>
      </c>
      <c r="M483" t="n">
        <v>2342</v>
      </c>
      <c r="N483" s="6" t="n">
        <v>66332</v>
      </c>
      <c r="Q483" t="inlineStr">
        <is>
          <t>EA</t>
        </is>
      </c>
      <c r="R483" t="inlineStr">
        <is>
          <t>М</t>
        </is>
      </c>
      <c r="S483" s="2">
        <f>HYPERLINK("https://yandex.ru/maps/?&amp;text=48.025074, 39.86574", "48.025074, 39.86574")</f>
        <v/>
      </c>
      <c r="U483" t="inlineStr">
        <is>
          <t xml:space="preserve">61:49:0010411:294, </t>
        </is>
      </c>
      <c r="V483" t="n">
        <v>1</v>
      </c>
      <c r="Y483" t="n">
        <v>0</v>
      </c>
      <c r="AA483" t="n">
        <v>0</v>
      </c>
      <c r="AB483" t="n">
        <v>1</v>
      </c>
    </row>
    <row r="484">
      <c r="A484" s="7" t="n">
        <v>482</v>
      </c>
      <c r="B484" t="n">
        <v>61</v>
      </c>
      <c r="C484" s="1" t="n">
        <v>46</v>
      </c>
      <c r="D484" s="2">
        <f>HYPERLINK("https://torgi.gov.ru/new/public/lots/lot/21000031020000000002_2/(lotInfo:info)", "21000031020000000002_2")</f>
        <v/>
      </c>
      <c r="E484" t="inlineStr">
        <is>
          <t>Нежилое помещение, расположенное в одноэтажном здании</t>
        </is>
      </c>
      <c r="F484" s="3" t="inlineStr">
        <is>
          <t>23.08.22 14:00</t>
        </is>
      </c>
      <c r="G484" t="inlineStr">
        <is>
          <t>Ростовская обл, г Донецк, ул Стадионная, д 20</t>
        </is>
      </c>
      <c r="H484" s="4" t="n">
        <v>205920</v>
      </c>
      <c r="I484" s="4" t="n">
        <v>4476.521739130435</v>
      </c>
      <c r="J484" t="inlineStr">
        <is>
          <t>Нежилое помещение</t>
        </is>
      </c>
      <c r="K484" s="5" t="n">
        <v>2.03</v>
      </c>
      <c r="M484" t="n">
        <v>2202</v>
      </c>
      <c r="N484" s="6" t="n">
        <v>48428</v>
      </c>
      <c r="Q484" t="inlineStr">
        <is>
          <t>EA</t>
        </is>
      </c>
      <c r="R484" t="inlineStr">
        <is>
          <t>М</t>
        </is>
      </c>
      <c r="S484" s="2">
        <f>HYPERLINK("https://yandex.ru/maps/?&amp;text=48.341612, 39.948683", "48.341612, 39.948683")</f>
        <v/>
      </c>
      <c r="U484" t="inlineStr">
        <is>
          <t xml:space="preserve">61:50:0030102:244, </t>
        </is>
      </c>
      <c r="V484" t="n">
        <v>0</v>
      </c>
      <c r="Y484" t="n">
        <v>0</v>
      </c>
      <c r="AA484" t="n">
        <v>0</v>
      </c>
      <c r="AB484" t="n">
        <v>0</v>
      </c>
    </row>
    <row r="485">
      <c r="A485" s="7" t="n">
        <v>483</v>
      </c>
      <c r="B485" t="n">
        <v>61</v>
      </c>
      <c r="C485" s="1" t="n">
        <v>75</v>
      </c>
      <c r="D485" s="2">
        <f>HYPERLINK("https://torgi.gov.ru/new/public/lots/lot/22000056320000000003_1/(lotInfo:info)", "22000056320000000003_1")</f>
        <v/>
      </c>
      <c r="E485" t="inlineStr">
        <is>
          <t>Нежилое помещение, литер: ч.А, этаж: 1, комнаты 25, 26, 27, 28, 33, 34, площадь: общая 75,0 кв.м., кадастровый номер 61:59:0020210:2380, расположенное по адресу: Ростовская область, г.Шахты, ул.Текстильная, 23, комнаты 25,26,27,28,33,34</t>
        </is>
      </c>
      <c r="F485" s="3" t="inlineStr">
        <is>
          <t>04.05.22 08:00</t>
        </is>
      </c>
      <c r="G485" t="inlineStr">
        <is>
          <t>Ростовская обл, г Шахты, ул Текстильная, д 23</t>
        </is>
      </c>
      <c r="H485" s="4" t="n">
        <v>360500</v>
      </c>
      <c r="I485" s="4" t="n">
        <v>4806.666666666667</v>
      </c>
      <c r="J485" t="inlineStr">
        <is>
          <t>Нежилое помещение</t>
        </is>
      </c>
      <c r="K485" s="5" t="n">
        <v>1.67</v>
      </c>
      <c r="M485" t="n">
        <v>2878</v>
      </c>
      <c r="N485" s="6" t="n">
        <v>235492</v>
      </c>
      <c r="Q485" t="inlineStr">
        <is>
          <t>BOC</t>
        </is>
      </c>
      <c r="R485" t="inlineStr">
        <is>
          <t>М</t>
        </is>
      </c>
      <c r="S485" s="2">
        <f>HYPERLINK("https://yandex.ru/maps/?&amp;text=47.729744, 40.24997", "47.729744, 40.24997")</f>
        <v/>
      </c>
      <c r="U485" t="inlineStr">
        <is>
          <t xml:space="preserve">61:59:0020210:2380, </t>
        </is>
      </c>
      <c r="V485" t="n">
        <v>1</v>
      </c>
      <c r="Y485" t="n">
        <v>0</v>
      </c>
      <c r="AA485" t="n">
        <v>0</v>
      </c>
      <c r="AB485" t="n">
        <v>0</v>
      </c>
    </row>
    <row r="486">
      <c r="A486" s="7" t="n">
        <v>484</v>
      </c>
      <c r="B486" t="n">
        <v>61</v>
      </c>
      <c r="C486" s="1" t="n">
        <v>45.9</v>
      </c>
      <c r="D486" s="2">
        <f>HYPERLINK("https://torgi.gov.ru/new/public/lots/lot/21000028760000000019_2/(lotInfo:info)", "21000028760000000019_2")</f>
        <v/>
      </c>
      <c r="E486" t="inlineStr">
        <is>
          <t>подстанция К-6 (электроцех), назначение: нежилое помещение, расположенное по адресу: Ростовская область, г. Каменск-Шахтинский, ул. Декабристов, территория больницы. Площадь: 45,9 кв.м. Кадастровый номер 61:52:0000000:12044.</t>
        </is>
      </c>
      <c r="F486" s="3" t="inlineStr">
        <is>
          <t>18.08.22 15:00</t>
        </is>
      </c>
      <c r="G486" t="inlineStr">
        <is>
          <t>Ростовская обл, г Каменск-Шахтинский, ул Декабристов</t>
        </is>
      </c>
      <c r="H486" s="4" t="n">
        <v>371474</v>
      </c>
      <c r="I486" s="4" t="n">
        <v>8093.115468409586</v>
      </c>
      <c r="J486" t="inlineStr">
        <is>
          <t>Нежилое помещение</t>
        </is>
      </c>
      <c r="K486" s="5" t="n">
        <v>3.76</v>
      </c>
      <c r="M486" t="n">
        <v>2150</v>
      </c>
      <c r="N486" s="6" t="n">
        <v>89657</v>
      </c>
      <c r="Q486" t="inlineStr">
        <is>
          <t>EA</t>
        </is>
      </c>
      <c r="R486" t="inlineStr">
        <is>
          <t>М</t>
        </is>
      </c>
      <c r="S486" s="2">
        <f>HYPERLINK("https://yandex.ru/maps/?&amp;text=48.325577, 40.248217", "48.325577, 40.248217")</f>
        <v/>
      </c>
      <c r="U486" t="inlineStr">
        <is>
          <t>61:52:0000000:12044</t>
        </is>
      </c>
      <c r="V486" t="n">
        <v>0</v>
      </c>
      <c r="Y486" t="n">
        <v>0</v>
      </c>
      <c r="AA486" t="n">
        <v>0</v>
      </c>
      <c r="AB486" t="n">
        <v>0</v>
      </c>
    </row>
    <row r="487">
      <c r="A487" s="7" t="n">
        <v>485</v>
      </c>
      <c r="B487" t="n">
        <v>61</v>
      </c>
      <c r="C487" s="1" t="n">
        <v>371.6</v>
      </c>
      <c r="D487" s="2">
        <f>HYPERLINK("https://torgi.gov.ru/new/public/lots/lot/22000006690000000004_1/(lotInfo:info)", "22000006690000000004_1")</f>
        <v/>
      </c>
      <c r="E487" t="inlineStr">
        <is>
          <t>нежилое помещение, площадь 371,6 кв.м., расположенное по адресу: Ростовская область, Усть-Донецкий район, р.п. Усть-Донецкий, ул. Комсомольская, 29, ком. 2-4, 20 1 этаж, ком. 1-26 2 этаж, кадастровый номер: 61:39:0010101:2002</t>
        </is>
      </c>
      <c r="F487" s="3" t="inlineStr">
        <is>
          <t>05.08.22 15:00</t>
        </is>
      </c>
      <c r="G487" t="inlineStr">
        <is>
          <t>Ростовская обл, рп Усть-Донецкий, ул Комсомольская, зд 29</t>
        </is>
      </c>
      <c r="H487" s="4" t="n">
        <v>3090000</v>
      </c>
      <c r="I487" s="4" t="n">
        <v>8315.392895586652</v>
      </c>
      <c r="J487" t="inlineStr">
        <is>
          <t>Нежилое помещение</t>
        </is>
      </c>
      <c r="K487" s="5" t="n">
        <v>3.59</v>
      </c>
      <c r="L487" s="4" t="n">
        <v>251.97</v>
      </c>
      <c r="M487" t="n">
        <v>2319</v>
      </c>
      <c r="N487" s="6" t="n">
        <v>11310</v>
      </c>
      <c r="O487" t="n">
        <v>33</v>
      </c>
      <c r="Q487" t="inlineStr">
        <is>
          <t>EA</t>
        </is>
      </c>
      <c r="R487" t="inlineStr">
        <is>
          <t>М</t>
        </is>
      </c>
      <c r="S487" s="2">
        <f>HYPERLINK("https://yandex.ru/maps/?&amp;text=47.642797, 40.872842", "47.642797, 40.872842")</f>
        <v/>
      </c>
      <c r="T487" s="2">
        <f>HYPERLINK("D:\venv_torgi\env\cache\objs_in_district/47.642797_40.872842.json", "47.642797_40.872842.json")</f>
        <v/>
      </c>
      <c r="U487" t="inlineStr">
        <is>
          <t>61:39:0010101:2002</t>
        </is>
      </c>
      <c r="V487" t="n">
        <v>1</v>
      </c>
      <c r="Y487" t="n">
        <v>0</v>
      </c>
      <c r="AA487" t="n">
        <v>0</v>
      </c>
      <c r="AB487" t="n">
        <v>0</v>
      </c>
    </row>
    <row r="488">
      <c r="A488" s="7" t="n">
        <v>486</v>
      </c>
      <c r="B488" t="n">
        <v>61</v>
      </c>
      <c r="C488" s="1" t="n">
        <v>243</v>
      </c>
      <c r="D488" s="2">
        <f>HYPERLINK("https://torgi.gov.ru/new/public/lots/lot/21000021890000000005_8/(lotInfo:info)", "21000021890000000005_8")</f>
        <v/>
      </c>
      <c r="E488" t="inlineStr">
        <is>
          <t>нежилое помещение, наименование: нежилое помещение, Этаж № 1, ант. Общая площадь 243 кв. м.</t>
        </is>
      </c>
      <c r="F488" s="3" t="inlineStr">
        <is>
          <t>02.08.22 15:00</t>
        </is>
      </c>
      <c r="G488" t="inlineStr">
        <is>
          <t>г. Таганрог, ул. Чехова, 96/пер. Антона Глушко, 34</t>
        </is>
      </c>
      <c r="H488" s="4" t="n">
        <v>2849904</v>
      </c>
      <c r="I488" s="4" t="n">
        <v>11728</v>
      </c>
      <c r="J488" t="inlineStr">
        <is>
          <t>Нежилое помещение</t>
        </is>
      </c>
      <c r="Q488" t="inlineStr">
        <is>
          <t>EA</t>
        </is>
      </c>
      <c r="R488" t="inlineStr">
        <is>
          <t>М</t>
        </is>
      </c>
      <c r="U488" t="inlineStr">
        <is>
          <t>61:58:0001124:558</t>
        </is>
      </c>
      <c r="V488" t="n">
        <v>1</v>
      </c>
      <c r="Y488" t="n">
        <v>0</v>
      </c>
      <c r="AA488" t="n">
        <v>0</v>
      </c>
      <c r="AB488" t="n">
        <v>0</v>
      </c>
    </row>
    <row r="489">
      <c r="A489" s="7" t="n">
        <v>487</v>
      </c>
      <c r="B489" t="n">
        <v>61</v>
      </c>
      <c r="C489" s="1" t="n">
        <v>52.1</v>
      </c>
      <c r="D489" s="2">
        <f>HYPERLINK("https://torgi.gov.ru/new/public/lots/lot/21000027130000000003_3/(lotInfo:info)", "21000027130000000003_3")</f>
        <v/>
      </c>
      <c r="E489" t="inlineStr">
        <is>
          <t>Нежилое помещение площадью 52,1 кв. м, этаж: № 1, номера на поэтажном плане: 43, 44, кадастровый номер: 61:55:0020735:510. Расположено на первом этаже 5-и этажного жилого дома. Адрес (местоположение): Ростовская обл., г. Новочеркасск, ул. Каштанова, д. 49</t>
        </is>
      </c>
      <c r="F489" s="3" t="inlineStr">
        <is>
          <t>22.08.22 14:00</t>
        </is>
      </c>
      <c r="G489" t="inlineStr">
        <is>
          <t>Ростовская обл, г Новочеркасск, ул Каштанова, д 49</t>
        </is>
      </c>
      <c r="H489" s="4" t="n">
        <v>660000</v>
      </c>
      <c r="I489" s="4" t="n">
        <v>12667.9462571977</v>
      </c>
      <c r="J489" t="inlineStr">
        <is>
          <t>Нежилое помещение</t>
        </is>
      </c>
      <c r="K489" s="5" t="n">
        <v>2.44</v>
      </c>
      <c r="L489" s="4" t="n">
        <v>603.1900000000001</v>
      </c>
      <c r="M489" t="n">
        <v>5187</v>
      </c>
      <c r="N489" s="6" t="n">
        <v>168766</v>
      </c>
      <c r="O489" t="n">
        <v>21</v>
      </c>
      <c r="Q489" t="inlineStr">
        <is>
          <t>EA</t>
        </is>
      </c>
      <c r="R489" t="inlineStr">
        <is>
          <t>М</t>
        </is>
      </c>
      <c r="S489" s="2">
        <f>HYPERLINK("https://yandex.ru/maps/?&amp;text=47.487873, 40.093599", "47.487873, 40.093599")</f>
        <v/>
      </c>
      <c r="T489" s="2">
        <f>HYPERLINK("D:\venv_torgi\env\cache\objs_in_district/47.487873_40.093599.json", "47.487873_40.093599.json")</f>
        <v/>
      </c>
      <c r="U489" t="inlineStr">
        <is>
          <t>61:55:0020735:510</t>
        </is>
      </c>
      <c r="V489" t="n">
        <v>1</v>
      </c>
      <c r="Y489" t="n">
        <v>0</v>
      </c>
      <c r="AA489" t="n">
        <v>0</v>
      </c>
      <c r="AB489" t="n">
        <v>0</v>
      </c>
    </row>
    <row r="490">
      <c r="A490" s="7" t="n">
        <v>488</v>
      </c>
      <c r="B490" t="n">
        <v>61</v>
      </c>
      <c r="C490" s="1" t="n">
        <v>12.9</v>
      </c>
      <c r="D490" s="2">
        <f>HYPERLINK("https://torgi.gov.ru/new/public/lots/lot/22000006760000000001_1/(lotInfo:info)", "22000006760000000001_1")</f>
        <v/>
      </c>
      <c r="E490" t="inlineStr">
        <is>
          <t>Нежилое помещение, расположенное по адресу: Ростовская область, Аксайский район, п. Рассвет, ул. Институтская 12, помещение 5, этаж 1, кадастровый номер 61:02:0100204:1037, площадь 12,9 кв.м.; вход из общего коридора, окна во двор, помещение изолированное, высота потолков - 3 метра</t>
        </is>
      </c>
      <c r="F490" s="3" t="inlineStr">
        <is>
          <t>01.03.22 06:00</t>
        </is>
      </c>
      <c r="G490" t="inlineStr">
        <is>
          <t>Ростовская обл, Аксайский р-н, поселок Рассвет, ул Институтская, д 12</t>
        </is>
      </c>
      <c r="H490" s="4" t="n">
        <v>434000</v>
      </c>
      <c r="I490" s="4" t="n">
        <v>33643.41085271318</v>
      </c>
      <c r="J490" t="inlineStr">
        <is>
          <t>Нежилое помещение</t>
        </is>
      </c>
      <c r="K490" s="5" t="n">
        <v>83.69</v>
      </c>
      <c r="M490" t="n">
        <v>402</v>
      </c>
      <c r="N490" s="6" t="n">
        <v>5424</v>
      </c>
      <c r="Q490" t="inlineStr">
        <is>
          <t>EA</t>
        </is>
      </c>
      <c r="R490" t="inlineStr">
        <is>
          <t>М</t>
        </is>
      </c>
      <c r="S490" s="2">
        <f>HYPERLINK("https://yandex.ru/maps/?&amp;text=47.366226, 39.890938", "47.366226, 39.890938")</f>
        <v/>
      </c>
      <c r="U490" t="inlineStr">
        <is>
          <t xml:space="preserve">61:02:0100204:1037, </t>
        </is>
      </c>
      <c r="V490" t="n">
        <v>1</v>
      </c>
      <c r="Y490" t="n">
        <v>-1</v>
      </c>
      <c r="AA490" t="n">
        <v>0</v>
      </c>
      <c r="AB490" t="n">
        <v>0</v>
      </c>
    </row>
    <row r="491">
      <c r="A491" s="7" t="n">
        <v>489</v>
      </c>
      <c r="B491" t="n">
        <v>62</v>
      </c>
      <c r="C491" s="1" t="n">
        <v>971.8</v>
      </c>
      <c r="D491" s="2">
        <f>HYPERLINK("https://torgi.gov.ru/new/public/lots/lot/21000001570000000011_1/(lotInfo:info)", "21000001570000000011_1")</f>
        <v/>
      </c>
      <c r="E491" t="inlineStr">
        <is>
          <t>нежилые помещения с кадастровым номером: 62:29:0130004:1630, назначение: нежилое помещение, площадью 40,1 кв.м, этаж № 1, расположенное по адресу: г. Рязань, ул. Предзаводская, д. 10, пом. Н2 , реестровый номер 24931 и с кадастровым номером 62:29:0130004:2410, назначение: нежилое помещение, площадью 931,7 кв.м., этаж № 1, этаж № 2, расположенное по адресу: г. Рязань, ул. Предзаводская, д. 10, пом. Н3, реестровый номер 278785.</t>
        </is>
      </c>
      <c r="F491" s="3" t="inlineStr">
        <is>
          <t>19.04.22 08:00</t>
        </is>
      </c>
      <c r="G491" t="inlineStr">
        <is>
          <t>г Рязань, ул Предзаводская, д 10</t>
        </is>
      </c>
      <c r="H491" s="4" t="n">
        <v>1577777.77</v>
      </c>
      <c r="I491" s="4" t="n">
        <v>1623.5622247376</v>
      </c>
      <c r="J491" t="inlineStr">
        <is>
          <t>Нежилое помещение</t>
        </is>
      </c>
      <c r="K491" s="5" t="n">
        <v>0.38</v>
      </c>
      <c r="L491" s="4" t="n">
        <v>124.85</v>
      </c>
      <c r="M491" t="n">
        <v>4259</v>
      </c>
      <c r="N491" s="6" t="n">
        <v>537622</v>
      </c>
      <c r="O491" t="n">
        <v>13</v>
      </c>
      <c r="Q491" t="inlineStr">
        <is>
          <t>BOC</t>
        </is>
      </c>
      <c r="R491" t="inlineStr">
        <is>
          <t>М</t>
        </is>
      </c>
      <c r="S491" s="2">
        <f>HYPERLINK("https://yandex.ru/maps/?&amp;text=54.535416, 39.7807", "54.535416, 39.7807")</f>
        <v/>
      </c>
      <c r="T491" s="2">
        <f>HYPERLINK("D:\venv_torgi\env\cache\objs_in_district/54.535416_39.7807.json", "54.535416_39.7807.json")</f>
        <v/>
      </c>
      <c r="U491" t="inlineStr">
        <is>
          <t xml:space="preserve">62:29:0130004:1630, </t>
        </is>
      </c>
      <c r="V491" t="n">
        <v>1</v>
      </c>
      <c r="Y491" t="n">
        <v>0</v>
      </c>
      <c r="AA491" t="n">
        <v>0</v>
      </c>
      <c r="AB491" t="n">
        <v>0</v>
      </c>
    </row>
    <row r="492">
      <c r="A492" s="7" t="n">
        <v>490</v>
      </c>
      <c r="B492" t="n">
        <v>62</v>
      </c>
      <c r="C492" s="1" t="n">
        <v>58.3</v>
      </c>
      <c r="D492" s="2">
        <f>HYPERLINK("https://torgi.gov.ru/new/public/lots/lot/21000006080000000001_4/(lotInfo:info)", "21000006080000000001_4")</f>
        <v/>
      </c>
      <c r="E492" t="inlineStr">
        <is>
          <t>Нежилое помещение Н, лит. А, назначение - магазин, общей площадью 58,3 кв.м, кадастровый номер 62:26:0011012:129, расположенное по адресу: Рязанская область, г. Касимов, ул. Нариманова, д. 56-а.</t>
        </is>
      </c>
      <c r="F492" s="3" t="inlineStr">
        <is>
          <t>06.06.22 20:59</t>
        </is>
      </c>
      <c r="G492" t="inlineStr">
        <is>
          <t>Рязанская обл, г Касимов, ул Нариманова, д 56а</t>
        </is>
      </c>
      <c r="H492" s="4" t="n">
        <v>316598</v>
      </c>
      <c r="I492" s="4" t="n">
        <v>5430.497427101201</v>
      </c>
      <c r="J492" t="inlineStr">
        <is>
          <t>магазин</t>
        </is>
      </c>
      <c r="K492" s="5" t="n">
        <v>5.9</v>
      </c>
      <c r="M492" t="n">
        <v>920</v>
      </c>
      <c r="N492" s="6" t="n">
        <v>30696</v>
      </c>
      <c r="Q492" t="inlineStr">
        <is>
          <t>EA</t>
        </is>
      </c>
      <c r="R492" t="inlineStr">
        <is>
          <t>М</t>
        </is>
      </c>
      <c r="S492" s="2">
        <f>HYPERLINK("https://yandex.ru/maps/?&amp;text=54.93645, 41.41901", "54.93645, 41.41901")</f>
        <v/>
      </c>
      <c r="U492" t="inlineStr">
        <is>
          <t xml:space="preserve">62:26:0011012:129, </t>
        </is>
      </c>
      <c r="V492" t="n">
        <v>0</v>
      </c>
      <c r="Y492" t="n">
        <v>0</v>
      </c>
      <c r="AA492" t="n">
        <v>0</v>
      </c>
      <c r="AB492" t="n">
        <v>0</v>
      </c>
    </row>
    <row r="493">
      <c r="A493" s="7" t="n">
        <v>491</v>
      </c>
      <c r="B493" t="n">
        <v>62</v>
      </c>
      <c r="C493" s="1" t="n">
        <v>42.6</v>
      </c>
      <c r="D493" s="2">
        <f>HYPERLINK("https://torgi.gov.ru/new/public/lots/lot/21000006080000000003_4/(lotInfo:info)", "21000006080000000003_4")</f>
        <v/>
      </c>
      <c r="E493" t="inlineStr">
        <is>
          <t>Нежилое помещение Н, назначение: нежилое, этаж № 1, общей площадью 42,6 кв.м, кадастровый номер 62:26:0010802:359, расположенное по адресу: Рязанская область, г. Касимов, ул. Поселок Фабрика, д. 8, пом. Н</t>
        </is>
      </c>
      <c r="F493" s="3" t="inlineStr">
        <is>
          <t>15.08.22 20:59</t>
        </is>
      </c>
      <c r="G493" t="inlineStr">
        <is>
          <t>Рязанская обл, г Касимов, ул Поселок Фабрика, д 8, помещ Н</t>
        </is>
      </c>
      <c r="H493" s="4" t="n">
        <v>337924</v>
      </c>
      <c r="I493" s="4" t="n">
        <v>7932.488262910798</v>
      </c>
      <c r="J493" t="inlineStr">
        <is>
          <t>Нежилое помещение</t>
        </is>
      </c>
      <c r="K493" s="5" t="n">
        <v>7.43</v>
      </c>
      <c r="M493" t="n">
        <v>1067</v>
      </c>
      <c r="N493" s="6" t="n">
        <v>30696</v>
      </c>
      <c r="Q493" t="inlineStr">
        <is>
          <t>EA</t>
        </is>
      </c>
      <c r="R493" t="inlineStr">
        <is>
          <t>М</t>
        </is>
      </c>
      <c r="S493" s="2">
        <f>HYPERLINK("https://yandex.ru/maps/?&amp;text=54.945143, 41.36759", "54.945143, 41.36759")</f>
        <v/>
      </c>
      <c r="U493" t="inlineStr">
        <is>
          <t xml:space="preserve">62:26:0010802:359, </t>
        </is>
      </c>
      <c r="V493" t="n">
        <v>1</v>
      </c>
      <c r="Y493" t="n">
        <v>0</v>
      </c>
      <c r="AA493" t="n">
        <v>0</v>
      </c>
      <c r="AB493" t="n">
        <v>0</v>
      </c>
    </row>
    <row r="494">
      <c r="A494" s="7" t="n">
        <v>492</v>
      </c>
      <c r="B494" t="n">
        <v>62</v>
      </c>
      <c r="C494" s="1" t="n">
        <v>54.6</v>
      </c>
      <c r="D494" s="2">
        <f>HYPERLINK("https://torgi.gov.ru/new/public/lots/lot/21000006080000000003_6/(lotInfo:info)", "21000006080000000003_6")</f>
        <v/>
      </c>
      <c r="E494" t="inlineStr">
        <is>
          <t>Нежилое помещение Н7, назначение: нежилое, этаж № 1, общей площадью 54,6 кв.м, кадастровый номер 62:26:0010802:365, расположенное по адресу: Рязанская область, г. Касимов, пос. Фабрики, д. 8, Н7</t>
        </is>
      </c>
      <c r="F494" s="3" t="inlineStr">
        <is>
          <t>15.08.22 20:59</t>
        </is>
      </c>
      <c r="G494" t="inlineStr">
        <is>
          <t>Рязанская обл, г Касимов, ул Поселок Фабрика, д 8, помещ Н7</t>
        </is>
      </c>
      <c r="H494" s="4" t="n">
        <v>433114</v>
      </c>
      <c r="I494" s="4" t="n">
        <v>7932.490842490843</v>
      </c>
      <c r="J494" t="inlineStr">
        <is>
          <t>Нежилое помещение</t>
        </is>
      </c>
      <c r="K494" s="5" t="n">
        <v>7.43</v>
      </c>
      <c r="M494" t="n">
        <v>1067</v>
      </c>
      <c r="N494" s="6" t="n">
        <v>30696</v>
      </c>
      <c r="Q494" t="inlineStr">
        <is>
          <t>EA</t>
        </is>
      </c>
      <c r="R494" t="inlineStr">
        <is>
          <t>М</t>
        </is>
      </c>
      <c r="S494" s="2">
        <f>HYPERLINK("https://yandex.ru/maps/?&amp;text=54.945143, 41.36759", "54.945143, 41.36759")</f>
        <v/>
      </c>
      <c r="U494" t="inlineStr">
        <is>
          <t xml:space="preserve">62:26:0010802:365, </t>
        </is>
      </c>
      <c r="V494" t="n">
        <v>1</v>
      </c>
      <c r="Y494" t="n">
        <v>0</v>
      </c>
      <c r="AA494" t="n">
        <v>0</v>
      </c>
      <c r="AB494" t="n">
        <v>0</v>
      </c>
    </row>
    <row r="495">
      <c r="A495" s="7" t="n">
        <v>493</v>
      </c>
      <c r="B495" t="n">
        <v>62</v>
      </c>
      <c r="C495" s="1" t="n">
        <v>26.8</v>
      </c>
      <c r="D495" s="2">
        <f>HYPERLINK("https://torgi.gov.ru/new/public/lots/lot/21000006080000000003_5/(lotInfo:info)", "21000006080000000003_5")</f>
        <v/>
      </c>
      <c r="E495" t="inlineStr">
        <is>
          <t>Нежилое помещение Н5, назначение: нежилое, этаж № 1, общей площадью 26,8 кв.м, кадастровый номер 62:26:0010802:363, расположенное по адресу: Рязанская область, г. Касимов, пос. Фабрики, д. 8, Н5</t>
        </is>
      </c>
      <c r="F495" s="3" t="inlineStr">
        <is>
          <t>15.08.22 20:59</t>
        </is>
      </c>
      <c r="G495" t="inlineStr">
        <is>
          <t>Рязанская обл, г Касимов, ул Поселок Фабрика, д 8, помещ Н5</t>
        </is>
      </c>
      <c r="H495" s="4" t="n">
        <v>212591</v>
      </c>
      <c r="I495" s="4" t="n">
        <v>7932.5</v>
      </c>
      <c r="J495" t="inlineStr">
        <is>
          <t>Нежилое помещение</t>
        </is>
      </c>
      <c r="K495" s="5" t="n">
        <v>7.43</v>
      </c>
      <c r="M495" t="n">
        <v>1067</v>
      </c>
      <c r="N495" s="6" t="n">
        <v>30696</v>
      </c>
      <c r="Q495" t="inlineStr">
        <is>
          <t>EA</t>
        </is>
      </c>
      <c r="R495" t="inlineStr">
        <is>
          <t>М</t>
        </is>
      </c>
      <c r="S495" s="2">
        <f>HYPERLINK("https://yandex.ru/maps/?&amp;text=54.945143, 41.36759", "54.945143, 41.36759")</f>
        <v/>
      </c>
      <c r="U495" t="inlineStr">
        <is>
          <t xml:space="preserve">62:26:0010802:363, </t>
        </is>
      </c>
      <c r="V495" t="n">
        <v>1</v>
      </c>
      <c r="Y495" t="n">
        <v>0</v>
      </c>
      <c r="AA495" t="n">
        <v>0</v>
      </c>
      <c r="AB495" t="n">
        <v>0</v>
      </c>
    </row>
    <row r="496">
      <c r="A496" s="7" t="n">
        <v>494</v>
      </c>
      <c r="B496" t="n">
        <v>62</v>
      </c>
      <c r="C496" s="1" t="n">
        <v>109.7</v>
      </c>
      <c r="D496" s="2">
        <f>HYPERLINK("https://torgi.gov.ru/new/public/lots/lot/21000002760000000002_1/(lotInfo:info)", "21000002760000000002_1")</f>
        <v/>
      </c>
      <c r="E496" t="inlineStr">
        <is>
          <t>Помещение, кадастровый номер 62:29:0070021:381; местоположение: Рязанская область, г. Рязань, ул. Баженова, д. 36; пом. Н2; площадь 109,7 кв.м; назначение: нежилое; наименование: помещение; номер, тип этажа, на котором расположено помещение: этаж № 1; с земельным участком, занимаемым помещением и необходимым для его использования, кадастровый номер 62:29:0070021:1750; местоположение: Рязанская область, г. Рязань, ул. Баженова, 36; площадь 144 кв.м; категория земель: земли населенных пунктов; виды разрешенного использования: служебные гаражи</t>
        </is>
      </c>
      <c r="F496" s="3" t="inlineStr">
        <is>
          <t>21.06.22 20:59</t>
        </is>
      </c>
      <c r="G496" t="inlineStr">
        <is>
          <t>г Рязань, ул Баженова, д 36</t>
        </is>
      </c>
      <c r="H496" s="4" t="n">
        <v>1527517.6</v>
      </c>
      <c r="I496" s="4" t="n">
        <v>13924.49954421149</v>
      </c>
      <c r="J496" t="inlineStr">
        <is>
          <t>Нежилое помещение</t>
        </is>
      </c>
      <c r="K496" s="5" t="n">
        <v>4.97</v>
      </c>
      <c r="L496" s="4" t="n">
        <v>1547.11</v>
      </c>
      <c r="M496" t="n">
        <v>2801</v>
      </c>
      <c r="N496" s="6" t="n">
        <v>537622</v>
      </c>
      <c r="O496" t="n">
        <v>9</v>
      </c>
      <c r="Q496" t="inlineStr">
        <is>
          <t>EA</t>
        </is>
      </c>
      <c r="R496" t="inlineStr">
        <is>
          <t>М</t>
        </is>
      </c>
      <c r="S496" s="2">
        <f>HYPERLINK("https://yandex.ru/maps/?&amp;text=54.605704, 39.736752", "54.605704, 39.736752")</f>
        <v/>
      </c>
      <c r="T496" s="2">
        <f>HYPERLINK("D:\venv_torgi\env\cache\objs_in_district/54.605704_39.736752.json", "54.605704_39.736752.json")</f>
        <v/>
      </c>
      <c r="U496" t="inlineStr">
        <is>
          <t xml:space="preserve">62:29:0070021:381; </t>
        </is>
      </c>
      <c r="V496" t="n">
        <v>1</v>
      </c>
      <c r="Y496" t="n">
        <v>0</v>
      </c>
      <c r="AA496" t="n">
        <v>0</v>
      </c>
      <c r="AB496" t="n">
        <v>1</v>
      </c>
    </row>
    <row r="497">
      <c r="A497" s="7" t="n">
        <v>495</v>
      </c>
      <c r="B497" t="n">
        <v>62</v>
      </c>
      <c r="C497" s="1" t="n">
        <v>21.1</v>
      </c>
      <c r="D497" s="2">
        <f>HYPERLINK("https://torgi.gov.ru/new/public/lots/lot/21000001570000000003_1/(lotInfo:info)", "21000001570000000003_1")</f>
        <v/>
      </c>
      <c r="E497" t="inlineStr">
        <is>
          <t>нежилое помещение с кадастровым номером 62:29:0020003:3500, назначение: нежилое помещение, площадью 21,1 кв.м, этаж № 9, расположенное по адресу: г. Рязань, ул. Бирюзова, д.21, Н8, реестровый номер 199210.</t>
        </is>
      </c>
      <c r="F497" s="3" t="inlineStr">
        <is>
          <t>14.03.22 07:00</t>
        </is>
      </c>
      <c r="G497" t="inlineStr">
        <is>
          <t>г Рязань, ул Бирюзова, д 21</t>
        </is>
      </c>
      <c r="H497" s="4" t="n">
        <v>331037.6</v>
      </c>
      <c r="I497" s="4" t="n">
        <v>15688.98578199052</v>
      </c>
      <c r="J497" t="inlineStr">
        <is>
          <t>Нежилое помещение</t>
        </is>
      </c>
      <c r="K497" s="5" t="n">
        <v>5.42</v>
      </c>
      <c r="M497" t="n">
        <v>2893</v>
      </c>
      <c r="N497" s="6" t="n">
        <v>537622</v>
      </c>
      <c r="Q497" t="inlineStr">
        <is>
          <t>PP</t>
        </is>
      </c>
      <c r="R497" t="inlineStr">
        <is>
          <t>М</t>
        </is>
      </c>
      <c r="S497" s="2">
        <f>HYPERLINK("https://yandex.ru/maps/?&amp;text=54.66552, 39.657898", "54.66552, 39.657898")</f>
        <v/>
      </c>
      <c r="U497" t="inlineStr">
        <is>
          <t xml:space="preserve">62:29:0020003:3500, </t>
        </is>
      </c>
      <c r="V497" t="n">
        <v>4</v>
      </c>
      <c r="Y497" t="n">
        <v>0</v>
      </c>
      <c r="AA497" t="n">
        <v>0</v>
      </c>
      <c r="AB497" t="n">
        <v>0</v>
      </c>
    </row>
    <row r="498">
      <c r="A498" s="7" t="n">
        <v>496</v>
      </c>
      <c r="B498" t="n">
        <v>62</v>
      </c>
      <c r="C498" s="1" t="n">
        <v>15.6</v>
      </c>
      <c r="D498" s="2">
        <f>HYPERLINK("https://torgi.gov.ru/new/public/lots/lot/21000001570000000026_1/(lotInfo:info)", "21000001570000000026_1")</f>
        <v/>
      </c>
      <c r="E498" t="inlineStr">
        <is>
          <t>нежилое помещение с кадастровым номером 62:29:0080057:542, назначение: нежилое, площадью 15,6 кв. м, этаж № 1, расположенное по адресу: г. Рязань, ул. Горького, д. 15, пом. Н1, реестровый номер 27778.</t>
        </is>
      </c>
      <c r="F498" s="3" t="inlineStr">
        <is>
          <t>14.06.22 07:00</t>
        </is>
      </c>
      <c r="G498" t="inlineStr">
        <is>
          <t>г Рязань, ул Горького, д 15</t>
        </is>
      </c>
      <c r="H498" s="4" t="n">
        <v>439393.5</v>
      </c>
      <c r="I498" s="4" t="n">
        <v>28166.25</v>
      </c>
      <c r="J498" t="inlineStr">
        <is>
          <t>Нежилое помещение</t>
        </is>
      </c>
      <c r="K498" s="5" t="n">
        <v>6.17</v>
      </c>
      <c r="M498" t="n">
        <v>4567</v>
      </c>
      <c r="N498" s="6" t="n">
        <v>537622</v>
      </c>
      <c r="Q498" t="inlineStr">
        <is>
          <t>EA</t>
        </is>
      </c>
      <c r="R498" t="inlineStr">
        <is>
          <t>М</t>
        </is>
      </c>
      <c r="S498" s="2">
        <f>HYPERLINK("https://yandex.ru/maps/?&amp;text=54.62062, 39.750687", "54.62062, 39.750687")</f>
        <v/>
      </c>
      <c r="U498" t="inlineStr">
        <is>
          <t xml:space="preserve">62:29:0080057:542, </t>
        </is>
      </c>
      <c r="V498" t="n">
        <v>1</v>
      </c>
      <c r="Y498" t="n">
        <v>0</v>
      </c>
      <c r="AA498" t="n">
        <v>0</v>
      </c>
      <c r="AB498" t="n">
        <v>0</v>
      </c>
    </row>
    <row r="499">
      <c r="A499" s="7" t="n">
        <v>497</v>
      </c>
      <c r="B499" t="n">
        <v>63</v>
      </c>
      <c r="C499" s="1" t="n">
        <v>1527.9</v>
      </c>
      <c r="D499" s="2">
        <f>HYPERLINK("https://torgi.gov.ru/new/public/lots/lot/21000005400000000042_1/(lotInfo:info)", "21000005400000000042_1")</f>
        <v/>
      </c>
      <c r="E499" t="inlineStr">
        <is>
          <t>Нежилое помещение, расположенное по адресу: Самарская область, г. Тольятти, Автозаводский район, ул. Свердлова, д. 51, пом. Б/Н (1013), площадью 1 527,9 кв. м (подземный этаж № 1, номера на поэтажном плане подземный этаж № 1 поз. 227, 227а, 228, 229, 230, 231, 232, 233, 234, 235, 236), с кадастровым номером: 63:09:0101163:8424</t>
        </is>
      </c>
      <c r="F499" s="3" t="inlineStr">
        <is>
          <t>27.04.22 13:00</t>
        </is>
      </c>
      <c r="G499" t="inlineStr">
        <is>
          <t>Самарская обл, г Тольятти, ул Свердлова, влд 51</t>
        </is>
      </c>
      <c r="H499" s="4" t="n">
        <v>3353741</v>
      </c>
      <c r="I499" s="4" t="n">
        <v>2195.000327246547</v>
      </c>
      <c r="J499" t="inlineStr">
        <is>
          <t>Нежилое помещение</t>
        </is>
      </c>
      <c r="K499" s="5" t="n">
        <v>0.6</v>
      </c>
      <c r="L499" s="4" t="n">
        <v>121.94</v>
      </c>
      <c r="M499" t="n">
        <v>3650</v>
      </c>
      <c r="N499" s="6" t="n">
        <v>731544</v>
      </c>
      <c r="O499" t="n">
        <v>18</v>
      </c>
      <c r="Q499" t="inlineStr">
        <is>
          <t>EA</t>
        </is>
      </c>
      <c r="R499" t="inlineStr">
        <is>
          <t>М</t>
        </is>
      </c>
      <c r="S499" s="2">
        <f>HYPERLINK("https://yandex.ru/maps/?&amp;text=53.52945, 49.26407", "53.52945, 49.26407")</f>
        <v/>
      </c>
      <c r="T499" s="2">
        <f>HYPERLINK("D:\venv_torgi\env\cache\objs_in_district/53.52945_49.26407.json", "53.52945_49.26407.json")</f>
        <v/>
      </c>
      <c r="U499" t="inlineStr">
        <is>
          <t>63:09:0101163:8424</t>
        </is>
      </c>
      <c r="V499" t="n">
        <v>1</v>
      </c>
      <c r="Y499" t="n">
        <v>0</v>
      </c>
      <c r="AA499" t="n">
        <v>0</v>
      </c>
      <c r="AB499" t="n">
        <v>0</v>
      </c>
    </row>
    <row r="500">
      <c r="A500" s="7" t="n">
        <v>498</v>
      </c>
      <c r="B500" t="n">
        <v>63</v>
      </c>
      <c r="C500" s="1" t="n">
        <v>114.2</v>
      </c>
      <c r="D500" s="2">
        <f>HYPERLINK("https://torgi.gov.ru/new/public/lots/lot/21000005400000000054_1/(lotInfo:info)", "21000005400000000054_1")</f>
        <v/>
      </c>
      <c r="E500" t="inlineStr">
        <is>
          <t>Нежилое помещение, расположенное по адресу: Самарская область, г. Тольятти, Автозаводский район, ул. Свердлова, д. 51, площадью 114,2 кв.м (-1 этаж: комнаты №№ 162, 163, 164), с кадастровым номером: 63:09:0101163:8996.</t>
        </is>
      </c>
      <c r="F500" s="3" t="inlineStr">
        <is>
          <t>12.05.22 13:00</t>
        </is>
      </c>
      <c r="G500" t="inlineStr">
        <is>
          <t>Самарская обл, г Тольятти, ул Свердлова, влд 51</t>
        </is>
      </c>
      <c r="H500" s="4" t="n">
        <v>342843</v>
      </c>
      <c r="I500" s="4" t="n">
        <v>3002.127845884413</v>
      </c>
      <c r="J500" t="inlineStr">
        <is>
          <t>Нежилое помещение</t>
        </is>
      </c>
      <c r="K500" s="5" t="n">
        <v>0.82</v>
      </c>
      <c r="L500" s="4" t="n">
        <v>166.78</v>
      </c>
      <c r="M500" t="n">
        <v>3650</v>
      </c>
      <c r="N500" s="6" t="n">
        <v>731544</v>
      </c>
      <c r="O500" t="n">
        <v>18</v>
      </c>
      <c r="Q500" t="inlineStr">
        <is>
          <t>EA</t>
        </is>
      </c>
      <c r="R500" t="inlineStr">
        <is>
          <t>М</t>
        </is>
      </c>
      <c r="S500" s="2">
        <f>HYPERLINK("https://yandex.ru/maps/?&amp;text=53.52945, 49.26407", "53.52945, 49.26407")</f>
        <v/>
      </c>
      <c r="T500" s="2">
        <f>HYPERLINK("D:\venv_torgi\env\cache\objs_in_district/53.52945_49.26407.json", "53.52945_49.26407.json")</f>
        <v/>
      </c>
      <c r="U500" t="inlineStr">
        <is>
          <t>63:09:0101163:8996</t>
        </is>
      </c>
      <c r="V500" t="n">
        <v>1</v>
      </c>
      <c r="Y500" t="n">
        <v>0</v>
      </c>
      <c r="AA500" t="n">
        <v>0</v>
      </c>
      <c r="AB500" t="n">
        <v>0</v>
      </c>
    </row>
    <row r="501">
      <c r="A501" s="7" t="n">
        <v>499</v>
      </c>
      <c r="B501" t="n">
        <v>63</v>
      </c>
      <c r="C501" s="1" t="n">
        <v>293</v>
      </c>
      <c r="D501" s="2">
        <f>HYPERLINK("https://torgi.gov.ru/new/public/lots/lot/21000017990000000016_1/(lotInfo:info)", "21000017990000000016_1")</f>
        <v/>
      </c>
      <c r="E501" t="inlineStr">
        <is>
          <t>Продажа  посредством публичного предложения:нежилых помещений  (комнат № 1, 2, 3, 4, 9, 10, 11, 12, 13, 14, 15, 16, 17, 25, 26, 27, 28, 29, 30) общей  площадью 293 кв.м.  на поэтажном плане -1 этажа 5-ти этажного жилого дома, расположенного по адресу:  Самарская обл., городской округ Жигулевск,  г. Жигулевск, ул. Ткачева, дом 16.</t>
        </is>
      </c>
      <c r="F501" s="3" t="inlineStr">
        <is>
          <t>12.08.22 19:59</t>
        </is>
      </c>
      <c r="G501" t="inlineStr">
        <is>
          <t>Самарская обл, г Жигулевск, ул Ткачева, д 16</t>
        </is>
      </c>
      <c r="H501" s="4" t="n">
        <v>935700</v>
      </c>
      <c r="I501" s="4" t="n">
        <v>3193.515358361775</v>
      </c>
      <c r="J501" t="inlineStr">
        <is>
          <t>Нежилое помещение</t>
        </is>
      </c>
      <c r="K501" s="5" t="n">
        <v>1.21</v>
      </c>
      <c r="L501" s="4" t="n">
        <v>177.39</v>
      </c>
      <c r="M501" t="n">
        <v>2631</v>
      </c>
      <c r="N501" s="6" t="n">
        <v>52455</v>
      </c>
      <c r="O501" t="n">
        <v>18</v>
      </c>
      <c r="Q501" t="inlineStr">
        <is>
          <t>PP</t>
        </is>
      </c>
      <c r="R501" t="inlineStr">
        <is>
          <t>М</t>
        </is>
      </c>
      <c r="S501" s="2">
        <f>HYPERLINK("https://yandex.ru/maps/?&amp;text=53.395314, 49.496157", "53.395314, 49.496157")</f>
        <v/>
      </c>
      <c r="T501" s="2">
        <f>HYPERLINK("D:\venv_torgi\env\cache\objs_in_district/53.395314_49.496157.json", "53.395314_49.496157.json")</f>
        <v/>
      </c>
      <c r="V501" t="n">
        <v>1</v>
      </c>
      <c r="Y501" t="n">
        <v>0</v>
      </c>
      <c r="AA501" t="n">
        <v>0</v>
      </c>
      <c r="AB501" t="n">
        <v>0</v>
      </c>
    </row>
    <row r="502">
      <c r="A502" s="7" t="n">
        <v>500</v>
      </c>
      <c r="B502" t="n">
        <v>63</v>
      </c>
      <c r="C502" s="1" t="n">
        <v>29.8</v>
      </c>
      <c r="D502" s="2">
        <f>HYPERLINK("https://torgi.gov.ru/new/public/lots/lot/21000002520000000001_12/(lotInfo:info)", "21000002520000000001_12")</f>
        <v/>
      </c>
      <c r="E502" t="inlineStr">
        <is>
          <t>Нежилое помещение площадью 29,8 кв.м, Этаж № 1, расположенное по адресу: Самарская область, г. Самара, р-н Промышленный, ул. Теннисная, д. 31Кадастровый номер: 63:01:0734001:2586</t>
        </is>
      </c>
      <c r="F502" s="3" t="inlineStr">
        <is>
          <t>06.04.22 05:00</t>
        </is>
      </c>
      <c r="G502" t="inlineStr">
        <is>
          <t>г Самара, ул Теннисная, д 31</t>
        </is>
      </c>
      <c r="H502" s="4" t="n">
        <v>580000</v>
      </c>
      <c r="I502" s="4" t="n">
        <v>19463.08724832215</v>
      </c>
      <c r="J502" t="inlineStr">
        <is>
          <t>Нежилое помещение</t>
        </is>
      </c>
      <c r="K502" s="5" t="n">
        <v>3.39</v>
      </c>
      <c r="L502" s="4" t="n">
        <v>1769.36</v>
      </c>
      <c r="M502" t="n">
        <v>5733</v>
      </c>
      <c r="N502" s="6" t="n">
        <v>1156608</v>
      </c>
      <c r="O502" t="n">
        <v>11</v>
      </c>
      <c r="Q502" t="inlineStr">
        <is>
          <t>EA</t>
        </is>
      </c>
      <c r="R502" t="inlineStr">
        <is>
          <t>М</t>
        </is>
      </c>
      <c r="S502" s="2">
        <f>HYPERLINK("https://yandex.ru/maps/?&amp;text=53.215763, 50.271313", "53.215763, 50.271313")</f>
        <v/>
      </c>
      <c r="T502" s="2">
        <f>HYPERLINK("D:\venv_torgi\env\cache\objs_in_district/53.215763_50.271313.json", "53.215763_50.271313.json")</f>
        <v/>
      </c>
      <c r="U502" t="inlineStr">
        <is>
          <t>63:01:0734001:2586</t>
        </is>
      </c>
      <c r="V502" t="n">
        <v>1</v>
      </c>
      <c r="Y502" t="n">
        <v>0</v>
      </c>
      <c r="AA502" t="n">
        <v>0</v>
      </c>
      <c r="AB502" t="n">
        <v>0</v>
      </c>
    </row>
    <row r="503">
      <c r="A503" s="7" t="n">
        <v>501</v>
      </c>
      <c r="B503" t="n">
        <v>63</v>
      </c>
      <c r="C503" s="1" t="n">
        <v>25.6</v>
      </c>
      <c r="D503" s="2">
        <f>HYPERLINK("https://torgi.gov.ru/new/public/lots/lot/21000002520000000004_5/(lotInfo:info)", "21000002520000000004_5")</f>
        <v/>
      </c>
      <c r="E503" t="inlineStr">
        <is>
          <t>Нежилое помещение площадью 25,6 кв.м, Этаж № 1, расположенное по адресу: Российская Федерация, Самарская область, г. Самара, Куйбышевский район, ул. Флотская, д. 17 Кадастровый номер: 63:01:0411004:2258</t>
        </is>
      </c>
      <c r="F503" s="3" t="inlineStr">
        <is>
          <t>22.07.22 05:00</t>
        </is>
      </c>
      <c r="G503" t="inlineStr">
        <is>
          <t>г Самара, ул Флотская, д 17</t>
        </is>
      </c>
      <c r="H503" s="4" t="n">
        <v>502500</v>
      </c>
      <c r="I503" s="4" t="n">
        <v>19628.90625</v>
      </c>
      <c r="J503" t="inlineStr">
        <is>
          <t>Нежилое помещение</t>
        </is>
      </c>
      <c r="K503" s="5" t="n">
        <v>5.65</v>
      </c>
      <c r="L503" s="4" t="n">
        <v>1154.59</v>
      </c>
      <c r="M503" t="n">
        <v>3474</v>
      </c>
      <c r="N503" s="6" t="n">
        <v>1156608</v>
      </c>
      <c r="O503" t="n">
        <v>17</v>
      </c>
      <c r="Q503" t="inlineStr">
        <is>
          <t>PP</t>
        </is>
      </c>
      <c r="R503" t="inlineStr">
        <is>
          <t>М</t>
        </is>
      </c>
      <c r="S503" s="2">
        <f>HYPERLINK("https://yandex.ru/maps/?&amp;text=53.145057, 50.046609", "53.145057, 50.046609")</f>
        <v/>
      </c>
      <c r="T503" s="2">
        <f>HYPERLINK("D:\venv_torgi\env\cache\objs_in_district/53.145057_50.046609.json", "53.145057_50.046609.json")</f>
        <v/>
      </c>
      <c r="U503" t="inlineStr">
        <is>
          <t>63:01:0411004:2258</t>
        </is>
      </c>
      <c r="V503" t="n">
        <v>1</v>
      </c>
      <c r="Y503" t="n">
        <v>0</v>
      </c>
      <c r="AA503" t="n">
        <v>0</v>
      </c>
      <c r="AB503" t="n">
        <v>0</v>
      </c>
    </row>
    <row r="504">
      <c r="A504" s="7" t="n">
        <v>502</v>
      </c>
      <c r="B504" t="n">
        <v>63</v>
      </c>
      <c r="C504" s="1" t="n">
        <v>64.3</v>
      </c>
      <c r="D504" s="2">
        <f>HYPERLINK("https://torgi.gov.ru/new/public/lots/lot/22000071240000000002_1/(lotInfo:info)", "22000071240000000002_1")</f>
        <v/>
      </c>
      <c r="E504" t="inlineStr">
        <is>
          <t>Пристроенное нежилое помещение площадью 64,30 кв.м с кадастровым номером 63:27:0704015:875 расположенное по адресу: Самарская область, Нефтегорский район, г.Нефтегорск, ул.Нефтяников, 54А</t>
        </is>
      </c>
      <c r="F504" s="3" t="inlineStr">
        <is>
          <t>28.04.22 13:00</t>
        </is>
      </c>
      <c r="G504" t="inlineStr">
        <is>
          <t>Самарская обл, г Нефтегорск, ул Нефтяников, д 54А</t>
        </is>
      </c>
      <c r="H504" s="4" t="n">
        <v>1505000</v>
      </c>
      <c r="I504" s="4" t="n">
        <v>23405.90979782271</v>
      </c>
      <c r="J504" t="inlineStr">
        <is>
          <t>Нежилое помещение</t>
        </is>
      </c>
      <c r="K504" s="5" t="n">
        <v>17.77</v>
      </c>
      <c r="L504" s="4" t="n">
        <v>1950.42</v>
      </c>
      <c r="M504" t="n">
        <v>1317</v>
      </c>
      <c r="N504" s="6" t="n">
        <v>17916</v>
      </c>
      <c r="O504" t="n">
        <v>12</v>
      </c>
      <c r="Q504" t="inlineStr">
        <is>
          <t>EA</t>
        </is>
      </c>
      <c r="R504" t="inlineStr">
        <is>
          <t>М</t>
        </is>
      </c>
      <c r="S504" s="2">
        <f>HYPERLINK("https://yandex.ru/maps/?&amp;text=52.794323, 51.156445", "52.794323, 51.156445")</f>
        <v/>
      </c>
      <c r="T504" s="2">
        <f>HYPERLINK("D:\venv_torgi\env\cache\objs_in_district/52.794323_51.156445.json", "52.794323_51.156445.json")</f>
        <v/>
      </c>
      <c r="U504" t="inlineStr">
        <is>
          <t xml:space="preserve">63:27:0704015:875 </t>
        </is>
      </c>
      <c r="V504" t="n">
        <v>0</v>
      </c>
      <c r="Y504" t="n">
        <v>0</v>
      </c>
      <c r="AA504" t="n">
        <v>0</v>
      </c>
      <c r="AB504" t="n">
        <v>0</v>
      </c>
    </row>
    <row r="505">
      <c r="A505" s="7" t="n">
        <v>503</v>
      </c>
      <c r="B505" t="n">
        <v>63</v>
      </c>
      <c r="C505" s="1" t="n">
        <v>70.8</v>
      </c>
      <c r="D505" s="2">
        <f>HYPERLINK("https://torgi.gov.ru/new/public/lots/lot/21000002520000000004_1/(lotInfo:info)", "21000002520000000004_1")</f>
        <v/>
      </c>
      <c r="E505" t="inlineStr">
        <is>
          <t>Нежилое помещение площадью 70,8 кв.м, Этаж № 2, расположенное по адресу: Самарская область, г. Самара, Железнодорожный район, ул. Авроры, дом 70.Кадастровый номер: 63:01:0117004:1771</t>
        </is>
      </c>
      <c r="F505" s="3" t="inlineStr">
        <is>
          <t>22.07.22 05:00</t>
        </is>
      </c>
      <c r="G505" t="inlineStr">
        <is>
          <t>г Самара, ул Авроры, д 70</t>
        </is>
      </c>
      <c r="H505" s="4" t="n">
        <v>1683000</v>
      </c>
      <c r="I505" s="4" t="n">
        <v>23771.18644067797</v>
      </c>
      <c r="J505" t="inlineStr">
        <is>
          <t>Нежилое помещение</t>
        </is>
      </c>
      <c r="K505" s="5" t="n">
        <v>3.68</v>
      </c>
      <c r="L505" s="4" t="n">
        <v>540.25</v>
      </c>
      <c r="M505" t="n">
        <v>6459</v>
      </c>
      <c r="N505" s="6" t="n">
        <v>1156608</v>
      </c>
      <c r="O505" t="n">
        <v>44</v>
      </c>
      <c r="Q505" t="inlineStr">
        <is>
          <t>PP</t>
        </is>
      </c>
      <c r="R505" t="inlineStr">
        <is>
          <t>М</t>
        </is>
      </c>
      <c r="S505" s="2">
        <f>HYPERLINK("https://yandex.ru/maps/?&amp;text=53.188913, 50.189737", "53.188913, 50.189737")</f>
        <v/>
      </c>
      <c r="T505" s="2">
        <f>HYPERLINK("D:\venv_torgi\env\cache\objs_in_district/53.188913_50.189737.json", "53.188913_50.189737.json")</f>
        <v/>
      </c>
      <c r="U505" t="inlineStr">
        <is>
          <t>63:01:0117004:1771</t>
        </is>
      </c>
      <c r="V505" t="n">
        <v>2</v>
      </c>
      <c r="Y505" t="n">
        <v>0</v>
      </c>
      <c r="AA505" t="n">
        <v>0</v>
      </c>
      <c r="AB505" t="n">
        <v>0</v>
      </c>
    </row>
    <row r="506">
      <c r="A506" s="7" t="n">
        <v>504</v>
      </c>
      <c r="B506" t="n">
        <v>63</v>
      </c>
      <c r="C506" s="1" t="n">
        <v>127.1</v>
      </c>
      <c r="D506" s="2">
        <f>HYPERLINK("https://torgi.gov.ru/new/public/lots/lot/21000002520000000001_7/(lotInfo:info)", "21000002520000000001_7")</f>
        <v/>
      </c>
      <c r="E506" t="inlineStr">
        <is>
          <t>Нежилое помещение площадью 127,1 кв.м, Цокольный этаж № 1, расположенное по адресу: Российская Федерация, Самарская область, г. Самара, р-н Ленинский, ул. Мичурина, д. 6.Кадастровый номер: 63:01:0517003:586</t>
        </is>
      </c>
      <c r="F506" s="3" t="inlineStr">
        <is>
          <t>06.04.22 05:00</t>
        </is>
      </c>
      <c r="G506" t="inlineStr">
        <is>
          <t>г Самара, ул Мичурина, д 6</t>
        </is>
      </c>
      <c r="H506" s="4" t="n">
        <v>3200500</v>
      </c>
      <c r="I506" s="4" t="n">
        <v>25180.95987411487</v>
      </c>
      <c r="J506" t="inlineStr">
        <is>
          <t>Нежилое помещение</t>
        </is>
      </c>
      <c r="K506" s="5" t="n">
        <v>3.34</v>
      </c>
      <c r="L506" s="4" t="n">
        <v>599.52</v>
      </c>
      <c r="M506" t="n">
        <v>7549</v>
      </c>
      <c r="N506" s="6" t="n">
        <v>1156608</v>
      </c>
      <c r="O506" t="n">
        <v>42</v>
      </c>
      <c r="Q506" t="inlineStr">
        <is>
          <t>EA</t>
        </is>
      </c>
      <c r="R506" t="inlineStr">
        <is>
          <t>М</t>
        </is>
      </c>
      <c r="S506" s="2">
        <f>HYPERLINK("https://yandex.ru/maps/?&amp;text=53.198775, 50.128679", "53.198775, 50.128679")</f>
        <v/>
      </c>
      <c r="T506" s="2">
        <f>HYPERLINK("D:\venv_torgi\env\cache\objs_in_district/53.198775_50.128679.json", "53.198775_50.128679.json")</f>
        <v/>
      </c>
      <c r="U506" t="inlineStr">
        <is>
          <t>63:01:0517003:586</t>
        </is>
      </c>
      <c r="V506" t="n">
        <v>0</v>
      </c>
      <c r="Y506" t="n">
        <v>0</v>
      </c>
      <c r="AA506" t="n">
        <v>0</v>
      </c>
      <c r="AB506" t="n">
        <v>0</v>
      </c>
    </row>
    <row r="507">
      <c r="A507" s="7" t="n">
        <v>505</v>
      </c>
      <c r="B507" t="n">
        <v>63</v>
      </c>
      <c r="C507" s="1" t="n">
        <v>35</v>
      </c>
      <c r="D507" s="2">
        <f>HYPERLINK("https://torgi.gov.ru/new/public/lots/lot/21000014860000000002_1/(lotInfo:info)", "21000014860000000002_1")</f>
        <v/>
      </c>
      <c r="E507" t="inlineStr">
        <is>
          <t>в соответствии с информационным сообщением</t>
        </is>
      </c>
      <c r="F507" s="3" t="inlineStr">
        <is>
          <t>20.04.22 05:00</t>
        </is>
      </c>
      <c r="G507" t="inlineStr">
        <is>
          <t>Самарская обл, г Новокуйбышевск, пр-кт Победы, д 38</t>
        </is>
      </c>
      <c r="H507" s="4" t="n">
        <v>1086645</v>
      </c>
      <c r="I507" s="4" t="n">
        <v>31047</v>
      </c>
      <c r="J507" t="inlineStr">
        <is>
          <t>Нежилое помещение</t>
        </is>
      </c>
      <c r="K507" s="5" t="n">
        <v>3.71</v>
      </c>
      <c r="L507" s="4" t="n">
        <v>1724.83</v>
      </c>
      <c r="M507" t="n">
        <v>8361</v>
      </c>
      <c r="N507" s="6" t="n">
        <v>103057</v>
      </c>
      <c r="O507" t="n">
        <v>18</v>
      </c>
      <c r="Q507" t="inlineStr">
        <is>
          <t>EA</t>
        </is>
      </c>
      <c r="R507" t="inlineStr">
        <is>
          <t>М</t>
        </is>
      </c>
      <c r="S507" s="2">
        <f>HYPERLINK("https://yandex.ru/maps/?&amp;text=53.092045, 49.98071", "53.092045, 49.98071")</f>
        <v/>
      </c>
      <c r="T507" s="2">
        <f>HYPERLINK("D:\venv_torgi\env\cache\objs_in_district/53.092045_49.98071.json", "53.092045_49.98071.json")</f>
        <v/>
      </c>
      <c r="V507" t="n">
        <v>1</v>
      </c>
      <c r="Y507" t="n">
        <v>0</v>
      </c>
      <c r="AA507" t="n">
        <v>0</v>
      </c>
      <c r="AB507" t="n">
        <v>0</v>
      </c>
    </row>
    <row r="508">
      <c r="A508" s="7" t="n">
        <v>506</v>
      </c>
      <c r="B508" t="n">
        <v>63</v>
      </c>
      <c r="C508" s="1" t="n">
        <v>19.4</v>
      </c>
      <c r="D508" s="2">
        <f>HYPERLINK("https://torgi.gov.ru/new/public/lots/lot/21000002520000000001_9/(lotInfo:info)", "21000002520000000001_9")</f>
        <v/>
      </c>
      <c r="E508" t="inlineStr">
        <is>
          <t>Нежилое помещение площадью 19,4 кв.м, Этаж № 1, расположенное по адресу: Самарская область, г. Самара, Промышленный р-н, ул. Калинина, д. 11.Кадастровый номер: 63:01:0729001:901</t>
        </is>
      </c>
      <c r="F508" s="3" t="inlineStr">
        <is>
          <t>06.04.22 05:00</t>
        </is>
      </c>
      <c r="G508" t="inlineStr">
        <is>
          <t>г Самара, ул Калинина, д 11</t>
        </is>
      </c>
      <c r="H508" s="4" t="n">
        <v>612000</v>
      </c>
      <c r="I508" s="4" t="n">
        <v>31546.39175257732</v>
      </c>
      <c r="J508" t="inlineStr">
        <is>
          <t>Нежилое помещение</t>
        </is>
      </c>
      <c r="K508" s="5" t="n">
        <v>6.59</v>
      </c>
      <c r="L508" s="4" t="n">
        <v>876.28</v>
      </c>
      <c r="M508" t="n">
        <v>4788</v>
      </c>
      <c r="N508" s="6" t="n">
        <v>1156608</v>
      </c>
      <c r="O508" t="n">
        <v>36</v>
      </c>
      <c r="Q508" t="inlineStr">
        <is>
          <t>EA</t>
        </is>
      </c>
      <c r="R508" t="inlineStr">
        <is>
          <t>М</t>
        </is>
      </c>
      <c r="S508" s="2">
        <f>HYPERLINK("https://yandex.ru/maps/?&amp;text=53.216783, 50.252485", "53.216783, 50.252485")</f>
        <v/>
      </c>
      <c r="T508" s="2">
        <f>HYPERLINK("D:\venv_torgi\env\cache\objs_in_district/53.216783_50.252485.json", "53.216783_50.252485.json")</f>
        <v/>
      </c>
      <c r="U508" t="inlineStr">
        <is>
          <t>63:01:0729001:901</t>
        </is>
      </c>
      <c r="V508" t="n">
        <v>1</v>
      </c>
      <c r="Y508" t="n">
        <v>0</v>
      </c>
      <c r="AA508" t="n">
        <v>0</v>
      </c>
      <c r="AB508" t="n">
        <v>0</v>
      </c>
    </row>
    <row r="509">
      <c r="A509" s="7" t="n">
        <v>507</v>
      </c>
      <c r="B509" t="n">
        <v>63</v>
      </c>
      <c r="C509" s="1" t="n">
        <v>19.5</v>
      </c>
      <c r="D509" s="2">
        <f>HYPERLINK("https://torgi.gov.ru/new/public/lots/lot/21000002520000000001_10/(lotInfo:info)", "21000002520000000001_10")</f>
        <v/>
      </c>
      <c r="E509" t="inlineStr">
        <is>
          <t>Нежилое помещение площадью 19,5 кв.м, Этаж № 1, расположенное по адресу: Российская Федерация, Самарская область, г. Самара, Промышленный р-н, ул. Калинина, д. 11.Кадастровый номер: 63:01:0729001:902</t>
        </is>
      </c>
      <c r="F509" s="3" t="inlineStr">
        <is>
          <t>06.04.22 05:00</t>
        </is>
      </c>
      <c r="G509" t="inlineStr">
        <is>
          <t>г Самара, ул Калинина, д 11</t>
        </is>
      </c>
      <c r="H509" s="4" t="n">
        <v>624000</v>
      </c>
      <c r="I509" s="4" t="n">
        <v>32000</v>
      </c>
      <c r="J509" t="inlineStr">
        <is>
          <t>Нежилое помещение</t>
        </is>
      </c>
      <c r="K509" s="5" t="n">
        <v>6.68</v>
      </c>
      <c r="L509" s="4" t="n">
        <v>888.89</v>
      </c>
      <c r="M509" t="n">
        <v>4788</v>
      </c>
      <c r="N509" s="6" t="n">
        <v>1156608</v>
      </c>
      <c r="O509" t="n">
        <v>36</v>
      </c>
      <c r="Q509" t="inlineStr">
        <is>
          <t>EA</t>
        </is>
      </c>
      <c r="R509" t="inlineStr">
        <is>
          <t>М</t>
        </is>
      </c>
      <c r="S509" s="2">
        <f>HYPERLINK("https://yandex.ru/maps/?&amp;text=53.216783, 50.252485", "53.216783, 50.252485")</f>
        <v/>
      </c>
      <c r="T509" s="2">
        <f>HYPERLINK("D:\venv_torgi\env\cache\objs_in_district/53.216783_50.252485.json", "53.216783_50.252485.json")</f>
        <v/>
      </c>
      <c r="U509" t="inlineStr">
        <is>
          <t>63:01:0729001:902</t>
        </is>
      </c>
      <c r="V509" t="n">
        <v>1</v>
      </c>
      <c r="Y509" t="n">
        <v>0</v>
      </c>
      <c r="AA509" t="n">
        <v>0</v>
      </c>
      <c r="AB509" t="n">
        <v>0</v>
      </c>
    </row>
    <row r="510">
      <c r="A510" s="7" t="n">
        <v>508</v>
      </c>
      <c r="B510" t="n">
        <v>63</v>
      </c>
      <c r="C510" s="1" t="n">
        <v>29.3</v>
      </c>
      <c r="D510" s="2">
        <f>HYPERLINK("https://torgi.gov.ru/new/public/lots/lot/21000002520000000001_16/(lotInfo:info)", "21000002520000000001_16")</f>
        <v/>
      </c>
      <c r="E510" t="inlineStr">
        <is>
          <t>Нежилое помещение площадью 29,3 кв.м, Этаж № 1, расположенного по адресу: Самарская область, г. Самара, Советский район, ул. Промышленности, д. 298, 1 этаж: комнаты №№ 52-54.Кадастровый номер: 63:01:0916005:1368.</t>
        </is>
      </c>
      <c r="F510" s="3" t="inlineStr">
        <is>
          <t>06.04.22 05:00</t>
        </is>
      </c>
      <c r="G510" t="inlineStr">
        <is>
          <t>г Самара, ул Промышленности, д 298</t>
        </is>
      </c>
      <c r="H510" s="4" t="n">
        <v>1015000</v>
      </c>
      <c r="I510" s="4" t="n">
        <v>34641.63822525597</v>
      </c>
      <c r="J510" t="inlineStr">
        <is>
          <t>Нежилое помещение</t>
        </is>
      </c>
      <c r="K510" s="5" t="n">
        <v>3.69</v>
      </c>
      <c r="L510" s="4" t="n">
        <v>1574.59</v>
      </c>
      <c r="M510" t="n">
        <v>9396</v>
      </c>
      <c r="N510" s="6" t="n">
        <v>1156608</v>
      </c>
      <c r="O510" t="n">
        <v>22</v>
      </c>
      <c r="Q510" t="inlineStr">
        <is>
          <t>EA</t>
        </is>
      </c>
      <c r="R510" t="inlineStr">
        <is>
          <t>М</t>
        </is>
      </c>
      <c r="S510" s="2">
        <f>HYPERLINK("https://yandex.ru/maps/?&amp;text=53.200808, 50.225966", "53.200808, 50.225966")</f>
        <v/>
      </c>
      <c r="T510" s="2">
        <f>HYPERLINK("D:\venv_torgi\env\cache\objs_in_district/53.200808_50.225966.json", "53.200808_50.225966.json")</f>
        <v/>
      </c>
      <c r="U510" t="inlineStr">
        <is>
          <t>63:01:0916005:1368</t>
        </is>
      </c>
      <c r="V510" t="n">
        <v>1</v>
      </c>
      <c r="Y510" t="n">
        <v>0</v>
      </c>
      <c r="AA510" t="n">
        <v>0</v>
      </c>
      <c r="AB510" t="n">
        <v>0</v>
      </c>
    </row>
    <row r="511">
      <c r="A511" s="7" t="n">
        <v>509</v>
      </c>
      <c r="B511" t="n">
        <v>63</v>
      </c>
      <c r="C511" s="1" t="n">
        <v>35.9</v>
      </c>
      <c r="D511" s="2">
        <f>HYPERLINK("https://torgi.gov.ru/new/public/lots/lot/21000014860000000002_2/(lotInfo:info)", "21000014860000000002_2")</f>
        <v/>
      </c>
      <c r="E511" t="inlineStr">
        <is>
          <t>в соответствии с информационным сообщением</t>
        </is>
      </c>
      <c r="F511" s="3" t="inlineStr">
        <is>
          <t>20.04.22 05:00</t>
        </is>
      </c>
      <c r="G511" t="inlineStr">
        <is>
          <t>Самарская обл, г Новокуйбышевск, пр-кт Победы, д 50</t>
        </is>
      </c>
      <c r="H511" s="4" t="n">
        <v>1433025</v>
      </c>
      <c r="I511" s="4" t="n">
        <v>39917.13091922006</v>
      </c>
      <c r="J511" t="inlineStr">
        <is>
          <t>Нежилое помещение</t>
        </is>
      </c>
      <c r="K511" s="5" t="n">
        <v>4.54</v>
      </c>
      <c r="L511" s="4" t="n">
        <v>2494.81</v>
      </c>
      <c r="M511" t="n">
        <v>8796</v>
      </c>
      <c r="N511" s="6" t="n">
        <v>103057</v>
      </c>
      <c r="O511" t="n">
        <v>16</v>
      </c>
      <c r="Q511" t="inlineStr">
        <is>
          <t>EA</t>
        </is>
      </c>
      <c r="R511" t="inlineStr">
        <is>
          <t>М</t>
        </is>
      </c>
      <c r="S511" s="2">
        <f>HYPERLINK("https://yandex.ru/maps/?&amp;text=53.08905, 49.989243", "53.08905, 49.989243")</f>
        <v/>
      </c>
      <c r="T511" s="2">
        <f>HYPERLINK("D:\venv_torgi\env\cache\objs_in_district/53.08905_49.989243.json", "53.08905_49.989243.json")</f>
        <v/>
      </c>
      <c r="V511" t="n">
        <v>1</v>
      </c>
      <c r="Y511" t="n">
        <v>0</v>
      </c>
      <c r="AA511" t="n">
        <v>0</v>
      </c>
      <c r="AB511" t="n">
        <v>0</v>
      </c>
    </row>
    <row r="512">
      <c r="A512" s="7" t="n">
        <v>510</v>
      </c>
      <c r="B512" t="n">
        <v>63</v>
      </c>
      <c r="C512" s="1" t="n">
        <v>15.1</v>
      </c>
      <c r="D512" s="2">
        <f>HYPERLINK("https://torgi.gov.ru/new/public/lots/lot/21000002520000000001_11/(lotInfo:info)", "21000002520000000001_11")</f>
        <v/>
      </c>
      <c r="E512" t="inlineStr">
        <is>
          <t>Нежилое помещение площадью 15,1 кв.м, Этаж № 1, расположенное по адресу: Самарская область, г. Самара, Промышленный р-н, ул. Ново-Вокзальная, д. 277.Кадастровый номер: 63:01:0705003:2960</t>
        </is>
      </c>
      <c r="F512" s="3" t="inlineStr">
        <is>
          <t>06.04.22 05:00</t>
        </is>
      </c>
      <c r="G512" t="inlineStr">
        <is>
          <t>г Самара, ул Ново-Вокзальная, д 277</t>
        </is>
      </c>
      <c r="H512" s="4" t="n">
        <v>646000</v>
      </c>
      <c r="I512" s="4" t="n">
        <v>42781.45695364239</v>
      </c>
      <c r="J512" t="inlineStr">
        <is>
          <t>Нежилое помещение</t>
        </is>
      </c>
      <c r="K512" s="5" t="n">
        <v>7.14</v>
      </c>
      <c r="L512" s="4" t="n">
        <v>3565.08</v>
      </c>
      <c r="M512" t="n">
        <v>5991</v>
      </c>
      <c r="N512" s="6" t="n">
        <v>1156608</v>
      </c>
      <c r="O512" t="n">
        <v>12</v>
      </c>
      <c r="Q512" t="inlineStr">
        <is>
          <t>EA</t>
        </is>
      </c>
      <c r="R512" t="inlineStr">
        <is>
          <t>М</t>
        </is>
      </c>
      <c r="S512" s="2">
        <f>HYPERLINK("https://yandex.ru/maps/?&amp;text=53.249493, 50.2018", "53.249493, 50.2018")</f>
        <v/>
      </c>
      <c r="T512" s="2">
        <f>HYPERLINK("D:\venv_torgi\env\cache\objs_in_district/53.249493_50.2018.json", "53.249493_50.2018.json")</f>
        <v/>
      </c>
      <c r="U512" t="inlineStr">
        <is>
          <t>63:01:0705003:2960</t>
        </is>
      </c>
      <c r="V512" t="n">
        <v>1</v>
      </c>
      <c r="Y512" t="n">
        <v>0</v>
      </c>
      <c r="AA512" t="n">
        <v>0</v>
      </c>
      <c r="AB512" t="n">
        <v>0</v>
      </c>
    </row>
    <row r="513">
      <c r="A513" s="7" t="n">
        <v>511</v>
      </c>
      <c r="B513" t="n">
        <v>64</v>
      </c>
      <c r="C513" s="1" t="n">
        <v>29.9</v>
      </c>
      <c r="D513" s="2">
        <f>HYPERLINK("https://torgi.gov.ru/new/public/lots/lot/22000118680000000001_1/(lotInfo:info)", "22000118680000000001_1")</f>
        <v/>
      </c>
      <c r="E513" t="inlineStr">
        <is>
          <t>Нежилое здание (кадастровый номер 64:34:231601:414) общей площадью 29,9 кв.м.  расположенного по адресу; Саратовская область, Татищевский район. поселок Тимирязевский, улица Дружбы д.ом 30/1; земельный участок  (кадастровый номер 64:34:231601:411) общей площадью 363 кв.м. расположенного по адресу; Саратовская область, Татищевский район. поселок Тимирязевский, улица Дружбы д.ом 30/1</t>
        </is>
      </c>
      <c r="F513" s="3" t="inlineStr">
        <is>
          <t>31.07.22 20:00</t>
        </is>
      </c>
      <c r="G513" t="inlineStr">
        <is>
          <t>Саратовская обл, Татищевский р-н, поселок Тимирязевский, ул Дружбы, д 30/1</t>
        </is>
      </c>
      <c r="H513" s="4" t="n">
        <v>113000</v>
      </c>
      <c r="I513" s="4" t="n">
        <v>3779.264214046823</v>
      </c>
      <c r="J513" t="inlineStr">
        <is>
          <t>жилое здание</t>
        </is>
      </c>
      <c r="K513" s="5" t="n">
        <v>47.84</v>
      </c>
      <c r="M513" t="n">
        <v>79</v>
      </c>
      <c r="N513" s="6" t="n">
        <v>189</v>
      </c>
      <c r="Q513" t="inlineStr">
        <is>
          <t>EA</t>
        </is>
      </c>
      <c r="R513" t="inlineStr">
        <is>
          <t>М</t>
        </is>
      </c>
      <c r="S513" s="2">
        <f>HYPERLINK("https://yandex.ru/maps/?&amp;text=51.615079, 45.478307", "51.615079, 45.478307")</f>
        <v/>
      </c>
      <c r="U513" t="inlineStr">
        <is>
          <t>64:34:231601:414</t>
        </is>
      </c>
      <c r="V513" t="n">
        <v>1</v>
      </c>
      <c r="Y513" t="n">
        <v>0</v>
      </c>
      <c r="AA513" t="n">
        <v>0</v>
      </c>
      <c r="AB513" t="n">
        <v>1</v>
      </c>
    </row>
    <row r="514">
      <c r="A514" s="7" t="n">
        <v>512</v>
      </c>
      <c r="B514" t="n">
        <v>64</v>
      </c>
      <c r="C514" s="1" t="n">
        <v>47.2</v>
      </c>
      <c r="D514" s="2">
        <f>HYPERLINK("https://torgi.gov.ru/new/public/lots/lot/21000001900000000015_1/(lotInfo:info)", "21000001900000000015_1")</f>
        <v/>
      </c>
      <c r="E514" t="inlineStr">
        <is>
          <t>состояние - удовлетворительное, требуется ремонт; текущее использование: не используется длительное время;- дата и номер государственной регистрации права собственности Саратовской области: 64-64/017-64/017/011/2015-471/2 от 03.03.2015.</t>
        </is>
      </c>
      <c r="F514" s="3" t="inlineStr">
        <is>
          <t>05.07.22 14:00</t>
        </is>
      </c>
      <c r="G514" t="inlineStr">
        <is>
          <t>Саратовская обл, Энгельсский р-н, село Первомайское, ул Трактовая, д 21/2</t>
        </is>
      </c>
      <c r="H514" s="4" t="n">
        <v>193200</v>
      </c>
      <c r="I514" s="4" t="n">
        <v>4093.220338983051</v>
      </c>
      <c r="J514" t="inlineStr">
        <is>
          <t>Нежилое помещение</t>
        </is>
      </c>
      <c r="K514" s="5" t="n">
        <v>74.42</v>
      </c>
      <c r="M514" t="n">
        <v>55</v>
      </c>
      <c r="N514" s="6" t="n">
        <v>281</v>
      </c>
      <c r="Q514" t="inlineStr">
        <is>
          <t>PP</t>
        </is>
      </c>
      <c r="R514" t="inlineStr">
        <is>
          <t>М</t>
        </is>
      </c>
      <c r="S514" s="2">
        <f>HYPERLINK("https://yandex.ru/maps/?&amp;text=51.340197, 46.51216", "51.340197, 46.51216")</f>
        <v/>
      </c>
      <c r="U514" t="inlineStr">
        <is>
          <t xml:space="preserve">64:38:000000:12853, </t>
        </is>
      </c>
      <c r="V514" t="n">
        <v>1</v>
      </c>
      <c r="Y514" t="n">
        <v>0</v>
      </c>
      <c r="AA514" t="n">
        <v>0</v>
      </c>
      <c r="AB514" t="n">
        <v>0</v>
      </c>
    </row>
    <row r="515">
      <c r="A515" s="7" t="n">
        <v>513</v>
      </c>
      <c r="B515" t="n">
        <v>64</v>
      </c>
      <c r="C515" s="1" t="n">
        <v>43.6</v>
      </c>
      <c r="D515" s="2">
        <f>HYPERLINK("https://torgi.gov.ru/new/public/lots/lot/21000001900000000016_1/(lotInfo:info)", "21000001900000000016_1")</f>
        <v/>
      </c>
      <c r="E515" t="inlineStr">
        <is>
          <t>состояние - удовлетворительное, требуется ремонт; текущее использование: не используется длительное время;- дата и номер государственной регистрации права собственности Саратовской области: 64-64/017-64/017/011/2015-485/2 от 03.03.2015.</t>
        </is>
      </c>
      <c r="F515" s="3" t="inlineStr">
        <is>
          <t>05.07.22 14:00</t>
        </is>
      </c>
      <c r="G515" t="inlineStr">
        <is>
          <t>Саратовская область, Энгельсский район, с. Заветное, ул. Новая, д. 15/2</t>
        </is>
      </c>
      <c r="H515" s="4" t="n">
        <v>299750</v>
      </c>
      <c r="I515" s="4" t="n">
        <v>6875</v>
      </c>
      <c r="J515" t="inlineStr">
        <is>
          <t>Нежилое помещение</t>
        </is>
      </c>
      <c r="Q515" t="inlineStr">
        <is>
          <t>PP</t>
        </is>
      </c>
      <c r="R515" t="inlineStr">
        <is>
          <t>М</t>
        </is>
      </c>
      <c r="U515" t="inlineStr">
        <is>
          <t xml:space="preserve">64:38:130301:605, </t>
        </is>
      </c>
      <c r="V515" t="n">
        <v>1</v>
      </c>
      <c r="Y515" t="n">
        <v>0</v>
      </c>
      <c r="AA515" t="n">
        <v>0</v>
      </c>
      <c r="AB515" t="n">
        <v>0</v>
      </c>
    </row>
    <row r="516">
      <c r="A516" s="7" t="n">
        <v>514</v>
      </c>
      <c r="B516" t="n">
        <v>64</v>
      </c>
      <c r="C516" s="1" t="n">
        <v>74.40000000000001</v>
      </c>
      <c r="D516" s="2">
        <f>HYPERLINK("https://torgi.gov.ru/new/public/lots/lot/21000015660000000024_1/(lotInfo:info)", "21000015660000000024_1")</f>
        <v/>
      </c>
      <c r="E516" t="inlineStr">
        <is>
          <t>Нежилое помещение площадью 74,4 кв.м, расположенное по адресу: Саратовская область, город Энгельс, ул. Марины Расковой, д. 21, пом.1, кадастровый номер 64:50:000000:78527</t>
        </is>
      </c>
      <c r="F516" s="3" t="inlineStr">
        <is>
          <t>26.07.22 14:00</t>
        </is>
      </c>
      <c r="G516" t="inlineStr">
        <is>
          <t>Саратовская обл, г Энгельс, ул Марины Расковой, д 21</t>
        </is>
      </c>
      <c r="H516" s="4" t="n">
        <v>806884.4</v>
      </c>
      <c r="I516" s="4" t="n">
        <v>10845.22043010753</v>
      </c>
      <c r="J516" t="inlineStr">
        <is>
          <t>Нежилое помещение</t>
        </is>
      </c>
      <c r="K516" s="5" t="n">
        <v>3.99</v>
      </c>
      <c r="L516" s="4" t="n">
        <v>570.79</v>
      </c>
      <c r="M516" t="n">
        <v>2721</v>
      </c>
      <c r="N516" s="6" t="n">
        <v>224508</v>
      </c>
      <c r="O516" t="n">
        <v>19</v>
      </c>
      <c r="Q516" t="inlineStr">
        <is>
          <t>EA</t>
        </is>
      </c>
      <c r="R516" t="inlineStr">
        <is>
          <t>М</t>
        </is>
      </c>
      <c r="S516" s="2">
        <f>HYPERLINK("https://yandex.ru/maps/?&amp;text=51.481354, 46.14403", "51.481354, 46.14403")</f>
        <v/>
      </c>
      <c r="T516" s="2">
        <f>HYPERLINK("D:\venv_torgi\env\cache\objs_in_district/51.481354_46.14403.json", "51.481354_46.14403.json")</f>
        <v/>
      </c>
      <c r="U516" t="inlineStr">
        <is>
          <t>64:50:000000:78527</t>
        </is>
      </c>
      <c r="V516" t="n">
        <v>0</v>
      </c>
      <c r="Y516" t="n">
        <v>0</v>
      </c>
      <c r="AA516" t="n">
        <v>0</v>
      </c>
      <c r="AB516" t="n">
        <v>0</v>
      </c>
    </row>
    <row r="517">
      <c r="A517" s="7" t="n">
        <v>515</v>
      </c>
      <c r="B517" t="n">
        <v>66</v>
      </c>
      <c r="C517" s="1" t="n">
        <v>247.8</v>
      </c>
      <c r="D517" s="2">
        <f>HYPERLINK("https://torgi.gov.ru/new/public/lots/lot/21000003140000000010_1/(lotInfo:info)", "21000003140000000010_1")</f>
        <v/>
      </c>
      <c r="E517" t="inlineStr">
        <is>
          <t>-здание нежилого назначения общей площадью 247,8 кв.м, кадастровый номер 66:19: 2201001:907, расположенное по адресу: Свердловская область, Пригородный район, с. Лая, ул. Кушвинская, 107;- земельный участок площадью 4245 кв.м, кадастровый номер 66:19:2201001:916 расположенный по адресу: Свердловская область, Пригородный район, с. Лая, ул. Кушвинская, 107;</t>
        </is>
      </c>
      <c r="F517" s="3" t="inlineStr">
        <is>
          <t>22.05.22 15:00</t>
        </is>
      </c>
      <c r="G517" t="inlineStr">
        <is>
          <t>Свердловская обл, Пригородный р-н, село Лая, ул Кушвинская, д 107</t>
        </is>
      </c>
      <c r="H517" s="4" t="n">
        <v>300474.5</v>
      </c>
      <c r="I517" s="4" t="n">
        <v>1212.568603712671</v>
      </c>
      <c r="J517" t="inlineStr">
        <is>
          <t>здание</t>
        </is>
      </c>
      <c r="K517" s="5" t="n">
        <v>3.71</v>
      </c>
      <c r="L517" s="4" t="n">
        <v>1212</v>
      </c>
      <c r="M517" t="n">
        <v>327</v>
      </c>
      <c r="O517" t="n">
        <v>1</v>
      </c>
      <c r="Q517" t="inlineStr">
        <is>
          <t>PP</t>
        </is>
      </c>
      <c r="R517" t="inlineStr">
        <is>
          <t>М</t>
        </is>
      </c>
      <c r="S517" s="2">
        <f>HYPERLINK("https://yandex.ru/maps/?&amp;text=58.057688, 59.927223", "58.057688, 59.927223")</f>
        <v/>
      </c>
      <c r="T517" s="2">
        <f>HYPERLINK("D:\venv_torgi\env\cache\objs_in_district/58.057688_59.927223.json", "58.057688_59.927223.json")</f>
        <v/>
      </c>
      <c r="U517" t="inlineStr">
        <is>
          <t xml:space="preserve">66:19: 2201001:907, </t>
        </is>
      </c>
      <c r="V517" t="n">
        <v>1</v>
      </c>
      <c r="Y517" t="n">
        <v>0</v>
      </c>
      <c r="AA517" t="n">
        <v>0</v>
      </c>
      <c r="AB517" t="n">
        <v>1</v>
      </c>
    </row>
    <row r="518">
      <c r="A518" s="7" t="n">
        <v>516</v>
      </c>
      <c r="B518" t="n">
        <v>66</v>
      </c>
      <c r="C518" s="1" t="n">
        <v>197.6</v>
      </c>
      <c r="D518" s="2">
        <f>HYPERLINK("https://torgi.gov.ru/new/public/lots/lot/21000020190000000010_2/(lotInfo:info)", "21000020190000000010_2")</f>
        <v/>
      </c>
      <c r="E518" t="inlineStr">
        <is>
          <t>расположен в двухэтажном отдельностоящем здании, стены – шлакобетонные; пол – линолеум; потолок – побелка; отделка стен – обои, панели, покраска; электричество, водоснабжение, канализация, отопление – имеется. Физическое состояние помещения удовлетворительное, требуется косметический ремонт. Физическое состояние объекта - удовлетворительное. В настоящее время Объект продажи не эксплуатируется.</t>
        </is>
      </c>
      <c r="F518" s="3" t="inlineStr">
        <is>
          <t>08.08.22 13:00</t>
        </is>
      </c>
      <c r="G518" t="inlineStr">
        <is>
          <t>Свердловская обл, г Первоуральск, поселок Новоуткинск, ул Партизан, стр 66, помещ 5</t>
        </is>
      </c>
      <c r="H518" s="4" t="n">
        <v>1024200</v>
      </c>
      <c r="I518" s="4" t="n">
        <v>5183.198380566801</v>
      </c>
      <c r="J518" t="inlineStr">
        <is>
          <t>Нежилое помещение</t>
        </is>
      </c>
      <c r="K518" s="5" t="n">
        <v>1.87</v>
      </c>
      <c r="L518" s="4" t="n">
        <v>259.15</v>
      </c>
      <c r="M518" t="n">
        <v>2769</v>
      </c>
      <c r="N518" s="6" t="n">
        <v>148282</v>
      </c>
      <c r="O518" t="n">
        <v>20</v>
      </c>
      <c r="Q518" t="inlineStr">
        <is>
          <t>PP</t>
        </is>
      </c>
      <c r="R518" t="inlineStr">
        <is>
          <t>М</t>
        </is>
      </c>
      <c r="S518" s="2">
        <f>HYPERLINK("https://yandex.ru/maps/?&amp;text=56.991758, 59.568742", "56.991758, 59.568742")</f>
        <v/>
      </c>
      <c r="T518" s="2">
        <f>HYPERLINK("D:\venv_torgi\env\cache\objs_in_district/56.991758_59.568742.json", "56.991758_59.568742.json")</f>
        <v/>
      </c>
      <c r="U518" t="inlineStr">
        <is>
          <t>66:58:1101006:2704</t>
        </is>
      </c>
      <c r="V518" t="n">
        <v>2</v>
      </c>
      <c r="Y518" t="n">
        <v>0</v>
      </c>
      <c r="AA518" t="n">
        <v>0</v>
      </c>
      <c r="AB518" t="n">
        <v>0</v>
      </c>
    </row>
    <row r="519">
      <c r="A519" s="7" t="n">
        <v>517</v>
      </c>
      <c r="B519" t="n">
        <v>66</v>
      </c>
      <c r="C519" s="1" t="n">
        <v>31.6</v>
      </c>
      <c r="D519" s="2">
        <f>HYPERLINK("https://torgi.gov.ru/new/public/lots/lot/21000011540000000004_2/(lotInfo:info)", "21000011540000000004_2")</f>
        <v/>
      </c>
      <c r="E519" t="inlineStr">
        <is>
          <t>Адрес (местонахождение) объекта: Свердловская область, г. Красноуфимск, ул. Азина, д. 90, пом. 7Кадастровый номер объекта: 66:52:0109010:895Плошадь: 31,6 кв.м</t>
        </is>
      </c>
      <c r="F519" s="3" t="inlineStr">
        <is>
          <t>10.07.22 19:00</t>
        </is>
      </c>
      <c r="G519" t="inlineStr">
        <is>
          <t>Свердловская обл, г Красноуфимск, ул Азина, д 90</t>
        </is>
      </c>
      <c r="H519" s="4" t="n">
        <v>179000</v>
      </c>
      <c r="I519" s="4" t="n">
        <v>5664.556962025316</v>
      </c>
      <c r="J519" t="inlineStr">
        <is>
          <t>Нежилое помещение</t>
        </is>
      </c>
      <c r="K519" s="5" t="n">
        <v>10.69</v>
      </c>
      <c r="M519" t="n">
        <v>530</v>
      </c>
      <c r="N519" s="6" t="n">
        <v>39632</v>
      </c>
      <c r="Q519" t="inlineStr">
        <is>
          <t>EA</t>
        </is>
      </c>
      <c r="R519" t="inlineStr">
        <is>
          <t>М</t>
        </is>
      </c>
      <c r="S519" s="2">
        <f>HYPERLINK("https://yandex.ru/maps/?&amp;text=56.603621, 57.804918", "56.603621, 57.804918")</f>
        <v/>
      </c>
      <c r="U519" t="inlineStr">
        <is>
          <t>66:52:0109010:895</t>
        </is>
      </c>
      <c r="V519" t="n">
        <v>1</v>
      </c>
      <c r="Y519" t="n">
        <v>0</v>
      </c>
      <c r="AA519" t="n">
        <v>0</v>
      </c>
      <c r="AB519" t="n">
        <v>0</v>
      </c>
    </row>
    <row r="520">
      <c r="A520" s="7" t="n">
        <v>518</v>
      </c>
      <c r="B520" t="n">
        <v>66</v>
      </c>
      <c r="C520" s="1" t="n">
        <v>125.3</v>
      </c>
      <c r="D520" s="2">
        <f>HYPERLINK("https://torgi.gov.ru/new/public/lots/lot/21000014250000000031_1/(lotInfo:info)", "21000014250000000031_1")</f>
        <v/>
      </c>
      <c r="E520" t="inlineStr">
        <is>
          <t>Нежилое помещение, этаж цоколь, кадастровый номер 66:56:0113002:3199, площадь 125,3 кв.м. Помещение находится в пятиэтажном многоквартирном жилом доме. Год постройки 1968, износ составляет 28%. Все коммуникации. Ранее использовалось как помещение специализированного жилищного фонда (7-комнатная квартира). Договорных отношений нет.</t>
        </is>
      </c>
      <c r="F520" s="3" t="inlineStr">
        <is>
          <t>01.08.22 15:00</t>
        </is>
      </c>
      <c r="G520" t="inlineStr">
        <is>
          <t>Свердловская обл, г Нижний Тагил, ул Карла Маркса, д 7</t>
        </is>
      </c>
      <c r="H520" s="4" t="n">
        <v>721000</v>
      </c>
      <c r="I520" s="4" t="n">
        <v>5754.189944134078</v>
      </c>
      <c r="J520" t="inlineStr">
        <is>
          <t>Нежилое помещение</t>
        </is>
      </c>
      <c r="K520" s="5" t="n">
        <v>0.98</v>
      </c>
      <c r="L520" s="4" t="n">
        <v>261.55</v>
      </c>
      <c r="M520" t="n">
        <v>5877</v>
      </c>
      <c r="N520" s="6" t="n">
        <v>356886</v>
      </c>
      <c r="O520" t="n">
        <v>22</v>
      </c>
      <c r="Q520" t="inlineStr">
        <is>
          <t>EA</t>
        </is>
      </c>
      <c r="R520" t="inlineStr">
        <is>
          <t>М</t>
        </is>
      </c>
      <c r="S520" s="2">
        <f>HYPERLINK("https://yandex.ru/maps/?&amp;text=57.908356, 59.95094", "57.908356, 59.95094")</f>
        <v/>
      </c>
      <c r="T520" s="2">
        <f>HYPERLINK("D:\venv_torgi\env\cache\objs_in_district/57.908356_59.95094.json", "57.908356_59.95094.json")</f>
        <v/>
      </c>
      <c r="U520" t="inlineStr">
        <is>
          <t xml:space="preserve">66:56:0113002:3199, </t>
        </is>
      </c>
      <c r="V520" t="n">
        <v>0</v>
      </c>
      <c r="Y520" t="n">
        <v>0</v>
      </c>
      <c r="AA520" t="n">
        <v>0</v>
      </c>
      <c r="AB520" t="n">
        <v>0</v>
      </c>
    </row>
    <row r="521">
      <c r="A521" s="7" t="n">
        <v>519</v>
      </c>
      <c r="B521" t="n">
        <v>66</v>
      </c>
      <c r="C521" s="1" t="n">
        <v>28.8</v>
      </c>
      <c r="D521" s="2">
        <f>HYPERLINK("https://torgi.gov.ru/new/public/lots/lot/21000003140000000005_1/(lotInfo:info)", "21000003140000000005_1")</f>
        <v/>
      </c>
      <c r="E521" t="inlineStr">
        <is>
          <t>помещения нежилого назначения, общей площадью 28,8 кв.м. (кадастровый номер 66:19:2101001:1052) расположенные по адресу: Свердловская область, Пригородный район, пгт. Горноуральский, д.26.</t>
        </is>
      </c>
      <c r="F521" s="3" t="inlineStr">
        <is>
          <t>27.03.22 15:00</t>
        </is>
      </c>
      <c r="G521" t="inlineStr">
        <is>
          <t>Свердловская обл, Пригородный р-н, пгт Горноуральский, д 26</t>
        </is>
      </c>
      <c r="H521" s="4" t="n">
        <v>257250</v>
      </c>
      <c r="I521" s="4" t="n">
        <v>8932.291666666666</v>
      </c>
      <c r="J521" t="inlineStr">
        <is>
          <t>Нежилое помещение</t>
        </is>
      </c>
      <c r="K521" s="5" t="n">
        <v>49.08</v>
      </c>
      <c r="L521" s="4" t="inlineStr"/>
      <c r="M521" t="n">
        <v>182</v>
      </c>
      <c r="O521" t="inlineStr"/>
      <c r="Q521" t="inlineStr">
        <is>
          <t>EA</t>
        </is>
      </c>
      <c r="R521" t="inlineStr">
        <is>
          <t>М</t>
        </is>
      </c>
      <c r="S521" s="2">
        <f>HYPERLINK("https://yandex.ru/maps/?&amp;text=58.063564, 59.899573", "58.063564, 59.899573")</f>
        <v/>
      </c>
      <c r="T521" s="8">
        <f>HYPERLINK("D:\venv_torgi\env\cache\objs_in_district/58.063564_59.899573.json", "58.063564_59.899573.json")</f>
        <v/>
      </c>
      <c r="U521" t="inlineStr">
        <is>
          <t>66:19:2101001:1052</t>
        </is>
      </c>
      <c r="V521" t="n">
        <v>0</v>
      </c>
      <c r="Y521" t="n">
        <v>0</v>
      </c>
      <c r="AA521" t="n">
        <v>0</v>
      </c>
      <c r="AB521" t="n">
        <v>0</v>
      </c>
    </row>
    <row r="522">
      <c r="A522" s="7" t="n">
        <v>520</v>
      </c>
      <c r="B522" t="n">
        <v>66</v>
      </c>
      <c r="C522" s="1" t="n">
        <v>62.5</v>
      </c>
      <c r="D522" s="2">
        <f>HYPERLINK("https://torgi.gov.ru/new/public/lots/lot/22000061910000000001_3/(lotInfo:info)", "22000061910000000001_3")</f>
        <v/>
      </c>
      <c r="E522" t="inlineStr">
        <is>
          <t>Здание, в котором расположены нежилые помещения, представляет собой отдельно стоящее здание нежилого назначения, год постройки – 1984, основной материал стен – кирпич. Помещения изолированы от других частей здания, имеют самостоятельный выход на улицу. Пристроенный тамбур, площадью 4,9 кв.м. демонтирован, требует восстановления, в помещениях частично разбиты окна – витрины.Элементы благоустройства помещения: отопление, водопровод, канализация, электроснабжение отсутствуют.Помещения длительное время не эксплуатировались, требуют ремонта, состояние не удовлетворительное.</t>
        </is>
      </c>
      <c r="F522" s="3" t="inlineStr">
        <is>
          <t>18.04.22 11:00</t>
        </is>
      </c>
      <c r="G522" t="inlineStr">
        <is>
          <t>Свердловская обл, г Заречный, ул Таховская, д 20</t>
        </is>
      </c>
      <c r="H522" s="4" t="n">
        <v>730800</v>
      </c>
      <c r="I522" s="4" t="n">
        <v>11692.8</v>
      </c>
      <c r="J522" t="inlineStr">
        <is>
          <t>Здание</t>
        </is>
      </c>
      <c r="K522" s="5" t="n">
        <v>2.08</v>
      </c>
      <c r="L522" s="4" t="n">
        <v>615.37</v>
      </c>
      <c r="M522" t="n">
        <v>5622</v>
      </c>
      <c r="N522" s="6" t="n">
        <v>95747</v>
      </c>
      <c r="O522" t="n">
        <v>19</v>
      </c>
      <c r="Q522" t="inlineStr">
        <is>
          <t>EA</t>
        </is>
      </c>
      <c r="R522" t="inlineStr">
        <is>
          <t>М</t>
        </is>
      </c>
      <c r="S522" s="2">
        <f>HYPERLINK("https://yandex.ru/maps/?&amp;text=56.802135, 61.322693", "56.802135, 61.322693")</f>
        <v/>
      </c>
      <c r="T522" s="2">
        <f>HYPERLINK("D:\venv_torgi\env\cache\objs_in_district/56.802135_61.322693.json", "56.802135_61.322693.json")</f>
        <v/>
      </c>
      <c r="U522" t="inlineStr">
        <is>
          <t>66:42:0101026:472</t>
        </is>
      </c>
      <c r="V522" t="n">
        <v>1</v>
      </c>
      <c r="Y522" t="n">
        <v>0</v>
      </c>
      <c r="AA522" t="n">
        <v>0</v>
      </c>
      <c r="AB522" t="n">
        <v>0</v>
      </c>
    </row>
    <row r="523">
      <c r="A523" s="7" t="n">
        <v>521</v>
      </c>
      <c r="B523" t="n">
        <v>66</v>
      </c>
      <c r="C523" s="1" t="n">
        <v>96.40000000000001</v>
      </c>
      <c r="D523" s="2">
        <f>HYPERLINK("https://torgi.gov.ru/new/public/lots/lot/22000040720000000001_1/(lotInfo:info)", "22000040720000000001_1")</f>
        <v/>
      </c>
      <c r="E523" t="inlineStr">
        <is>
      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      </is>
      </c>
      <c r="F523" s="3" t="inlineStr">
        <is>
          <t>18.03.22 05:00</t>
        </is>
      </c>
      <c r="G523" t="inlineStr">
        <is>
          <t>Свердловская обл, г Асбест, ул Садовая, д 20</t>
        </is>
      </c>
      <c r="H523" s="4" t="n">
        <v>1150000</v>
      </c>
      <c r="I523" s="4" t="n">
        <v>11929.46058091286</v>
      </c>
      <c r="J523" t="inlineStr">
        <is>
          <t>Нежилое помещение</t>
        </is>
      </c>
      <c r="K523" s="5" t="n">
        <v>14.73</v>
      </c>
      <c r="L523" s="4" t="n">
        <v>917.62</v>
      </c>
      <c r="M523" t="n">
        <v>810</v>
      </c>
      <c r="N523" s="6" t="n">
        <v>65338</v>
      </c>
      <c r="O523" t="n">
        <v>13</v>
      </c>
      <c r="Q523" t="inlineStr">
        <is>
          <t>EA</t>
        </is>
      </c>
      <c r="R523" t="inlineStr">
        <is>
          <t>М</t>
        </is>
      </c>
      <c r="S523" s="2">
        <f>HYPERLINK("https://yandex.ru/maps/?&amp;text=57.01859, 61.465696", "57.01859, 61.465696")</f>
        <v/>
      </c>
      <c r="T523" s="2">
        <f>HYPERLINK("D:\venv_torgi\env\cache\objs_in_district/57.01859_61.465696.json", "57.01859_61.465696.json")</f>
        <v/>
      </c>
      <c r="U523" t="inlineStr">
        <is>
          <t>66:34:0502003:1113</t>
        </is>
      </c>
      <c r="V523" t="n">
        <v>1</v>
      </c>
      <c r="Y523" t="n">
        <v>0</v>
      </c>
      <c r="AA523" t="n">
        <v>0</v>
      </c>
      <c r="AB523" t="n">
        <v>0</v>
      </c>
    </row>
    <row r="524">
      <c r="A524" s="7" t="n">
        <v>522</v>
      </c>
      <c r="B524" t="n">
        <v>66</v>
      </c>
      <c r="C524" s="1" t="n">
        <v>436.1</v>
      </c>
      <c r="D524" s="2">
        <f>HYPERLINK("https://torgi.gov.ru/new/public/lots/lot/21000004700000000002_2/(lotInfo:info)", "21000004700000000002_2")</f>
        <v/>
      </c>
      <c r="E524" t="inlineStr">
        <is>
          <t>Нежилые помещения № 25-41, расположенные в двухэтажном доме, кадастровый номер 66:15:0000000:2556, этаж: 2, литер: А, общей площадью 436,1 кв.м., назначение: торговое, культурно-просветительское. Адрес (местоположение) объекта: Свердловская область, р-н Невьянский, р.п. Верх-Нейвинский, ул. Ленина, д. 32.</t>
        </is>
      </c>
      <c r="F524" s="3" t="inlineStr">
        <is>
          <t>06.04.22 08:00</t>
        </is>
      </c>
      <c r="G524" t="inlineStr">
        <is>
          <t>Свердловская обл, Невьянский р-н, пгт Верх-Нейвинский, ул Ленина, д 32</t>
        </is>
      </c>
      <c r="H524" s="4" t="n">
        <v>5563000</v>
      </c>
      <c r="I524" s="4" t="n">
        <v>12756.24856684247</v>
      </c>
      <c r="J524" t="inlineStr">
        <is>
          <t>торговое, культурно</t>
        </is>
      </c>
      <c r="K524" s="5" t="n">
        <v>17.94</v>
      </c>
      <c r="L524" s="4" t="n">
        <v>531.5</v>
      </c>
      <c r="M524" t="n">
        <v>711</v>
      </c>
      <c r="N524" s="6" t="n">
        <v>4835</v>
      </c>
      <c r="O524" t="n">
        <v>24</v>
      </c>
      <c r="Q524" t="inlineStr">
        <is>
          <t>EA</t>
        </is>
      </c>
      <c r="R524" t="inlineStr">
        <is>
          <t>М</t>
        </is>
      </c>
      <c r="S524" s="2">
        <f>HYPERLINK("https://yandex.ru/maps/?&amp;text=57.265945, 60.132244", "57.265945, 60.132244")</f>
        <v/>
      </c>
      <c r="T524" s="2">
        <f>HYPERLINK("D:\venv_torgi\env\cache\objs_in_district/57.265945_60.132244.json", "57.265945_60.132244.json")</f>
        <v/>
      </c>
      <c r="U524" t="inlineStr">
        <is>
          <t xml:space="preserve">66:15:0000000:2556, </t>
        </is>
      </c>
      <c r="V524" t="n">
        <v>2</v>
      </c>
      <c r="Y524" t="n">
        <v>0</v>
      </c>
      <c r="AA524" t="n">
        <v>0</v>
      </c>
      <c r="AB524" t="n">
        <v>0</v>
      </c>
    </row>
    <row r="525">
      <c r="A525" s="7" t="n">
        <v>523</v>
      </c>
      <c r="B525" t="n">
        <v>66</v>
      </c>
      <c r="C525" s="1" t="n">
        <v>11.1</v>
      </c>
      <c r="D525" s="2">
        <f>HYPERLINK("https://torgi.gov.ru/new/public/lots/lot/22000061910000000001_4/(lotInfo:info)", "22000061910000000001_4")</f>
        <v/>
      </c>
      <c r="E525" t="inlineStr">
        <is>
          <t>Здание, в котором расположено нежилое помещение, представляет собой отдельно стоящее здание склада промышленных и продовольственных товаров, литер 4 нежилого назначения, год постройки – 1976, основной материал стен – кирпич, помещение не имеет самостоятельного выхода на улицу, также не имеет оконного проема.</t>
        </is>
      </c>
      <c r="F525" s="3" t="inlineStr">
        <is>
          <t>18.04.22 11:00</t>
        </is>
      </c>
      <c r="G525" t="inlineStr">
        <is>
          <t>Свердловская обл, г Заречный, ул Октябрьская, зд 11/7</t>
        </is>
      </c>
      <c r="H525" s="4" t="n">
        <v>143000</v>
      </c>
      <c r="I525" s="4" t="n">
        <v>12882.88288288288</v>
      </c>
      <c r="J525" t="inlineStr">
        <is>
          <t>Здание</t>
        </is>
      </c>
      <c r="K525" s="5" t="n">
        <v>10.79</v>
      </c>
      <c r="M525" t="n">
        <v>1194</v>
      </c>
      <c r="N525" s="6" t="n">
        <v>95747</v>
      </c>
      <c r="Q525" t="inlineStr">
        <is>
          <t>EA</t>
        </is>
      </c>
      <c r="R525" t="inlineStr">
        <is>
          <t>М</t>
        </is>
      </c>
      <c r="S525" s="2">
        <f>HYPERLINK("https://yandex.ru/maps/?&amp;text=56.811428, 61.338953", "56.811428, 61.338953")</f>
        <v/>
      </c>
      <c r="U525" t="inlineStr">
        <is>
          <t>66:42:0101030:4022</t>
        </is>
      </c>
      <c r="V525" t="n">
        <v>1</v>
      </c>
      <c r="Y525" t="n">
        <v>0</v>
      </c>
      <c r="AA525" t="n">
        <v>0</v>
      </c>
      <c r="AB525" t="n">
        <v>0</v>
      </c>
    </row>
    <row r="526">
      <c r="A526" s="7" t="n">
        <v>524</v>
      </c>
      <c r="B526" t="n">
        <v>66</v>
      </c>
      <c r="C526" s="1" t="n">
        <v>123.3</v>
      </c>
      <c r="D526" s="2">
        <f>HYPERLINK("https://torgi.gov.ru/new/public/lots/lot/21000000900000000002_7/(lotInfo:info)", "21000000900000000002_7")</f>
        <v/>
      </c>
      <c r="E526" t="inlineStr">
        <is>
          <t>Наименование имущества: Нежилые помещения №№1-11 по поэтажному плану цокольного этажа, общей площадью 123,3 кв.м., кадастровый №66:57:0102024:943, расположенные по адресу: Свердловская область, г. Новоуральск, ул. Северная,4</t>
        </is>
      </c>
      <c r="F526" s="3" t="inlineStr">
        <is>
          <t>28.04.22 10:00</t>
        </is>
      </c>
      <c r="G526" t="inlineStr">
        <is>
          <t>Свердловская обл, г Новоуральск, ул Северная, д 4</t>
        </is>
      </c>
      <c r="H526" s="4" t="n">
        <v>1638138.37</v>
      </c>
      <c r="I526" s="4" t="n">
        <v>13285.79375506894</v>
      </c>
      <c r="J526" t="inlineStr">
        <is>
          <t>Нежилое помещение</t>
        </is>
      </c>
      <c r="K526" s="5" t="n">
        <v>4.26</v>
      </c>
      <c r="L526" s="4" t="n">
        <v>738.0599999999999</v>
      </c>
      <c r="M526" t="n">
        <v>3115</v>
      </c>
      <c r="N526" s="6" t="n">
        <v>87992</v>
      </c>
      <c r="O526" t="n">
        <v>18</v>
      </c>
      <c r="Q526" t="inlineStr">
        <is>
          <t>EA</t>
        </is>
      </c>
      <c r="R526" t="inlineStr">
        <is>
          <t>М</t>
        </is>
      </c>
      <c r="S526" s="2">
        <f>HYPERLINK("https://yandex.ru/maps/?&amp;text=57.245434, 60.087276", "57.245434, 60.087276")</f>
        <v/>
      </c>
      <c r="T526" s="2">
        <f>HYPERLINK("D:\venv_torgi\env\cache\objs_in_district/57.245434_60.087276.json", "57.245434_60.087276.json")</f>
        <v/>
      </c>
      <c r="U526" t="inlineStr">
        <is>
          <t xml:space="preserve">66:57:0102024:943, </t>
        </is>
      </c>
      <c r="V526" t="n">
        <v>0</v>
      </c>
      <c r="Y526" t="n">
        <v>0</v>
      </c>
      <c r="AA526" t="n">
        <v>0</v>
      </c>
      <c r="AB526" t="n">
        <v>0</v>
      </c>
    </row>
    <row r="527">
      <c r="A527" s="7" t="n">
        <v>525</v>
      </c>
      <c r="B527" t="n">
        <v>66</v>
      </c>
      <c r="C527" s="1" t="n">
        <v>56.1</v>
      </c>
      <c r="D527" s="2">
        <f>HYPERLINK("https://torgi.gov.ru/new/public/lots/lot/22000042370000000005_2/(lotInfo:info)", "22000042370000000005_2")</f>
        <v/>
      </c>
      <c r="E527" t="inlineStr">
        <is>
          <t>с кадастровым номером: 66:45:0000000:10363, этаж: 1, площадью 56,1 кв.м. расположен в кирпичном 5 этажном доме, требуется ремонт.</t>
        </is>
      </c>
      <c r="F527" s="3" t="inlineStr">
        <is>
          <t>11.08.22 12:00</t>
        </is>
      </c>
      <c r="G527" t="inlineStr">
        <is>
          <t>Свердловская обл, г Каменск-Уральский, поселок Первомайский, д 27</t>
        </is>
      </c>
      <c r="H527" s="4" t="n">
        <v>780014</v>
      </c>
      <c r="I527" s="4" t="n">
        <v>13903.99286987522</v>
      </c>
      <c r="J527" t="inlineStr">
        <is>
          <t>Нежилое помещение</t>
        </is>
      </c>
      <c r="K527" s="5" t="n">
        <v>21.66</v>
      </c>
      <c r="L527" s="4" t="n">
        <v>4634.33</v>
      </c>
      <c r="M527" t="n">
        <v>642</v>
      </c>
      <c r="N527" s="6" t="n">
        <v>170960</v>
      </c>
      <c r="O527" t="n">
        <v>3</v>
      </c>
      <c r="Q527" t="inlineStr">
        <is>
          <t>EA</t>
        </is>
      </c>
      <c r="R527" t="inlineStr">
        <is>
          <t>М</t>
        </is>
      </c>
      <c r="S527" s="2">
        <f>HYPERLINK("https://yandex.ru/maps/?&amp;text=56.442244, 61.810254", "56.442244, 61.810254")</f>
        <v/>
      </c>
      <c r="T527" s="2">
        <f>HYPERLINK("D:\venv_torgi\env\cache\objs_in_district/56.442244_61.810254.json", "56.442244_61.810254.json")</f>
        <v/>
      </c>
      <c r="U527" t="inlineStr">
        <is>
          <t xml:space="preserve">66:45:0000000:10363, </t>
        </is>
      </c>
      <c r="V527" t="n">
        <v>1</v>
      </c>
      <c r="Y527" t="n">
        <v>0</v>
      </c>
      <c r="AA527" t="n">
        <v>-1</v>
      </c>
      <c r="AB527" t="n">
        <v>0</v>
      </c>
    </row>
    <row r="528">
      <c r="A528" s="7" t="n">
        <v>526</v>
      </c>
      <c r="B528" t="n">
        <v>66</v>
      </c>
      <c r="C528" s="1" t="n">
        <v>17.3</v>
      </c>
      <c r="D528" s="2">
        <f>HYPERLINK("https://torgi.gov.ru/new/public/lots/lot/21000020190000000009_1/(lotInfo:info)", "21000020190000000009_1")</f>
        <v/>
      </c>
      <c r="E528" t="inlineStr">
        <is>
          <t>нежилое помещение в одноэтажном жилом здании, отдельный вход, отделка стен – обои;  пол – линолеум; потолок побелка, материал стен – дерево. Имеется электричество, отопление печное, водоснабжение и канализация отсутствует. Физическое состояние объекта муниципального нежилого фонда удовлетворительное</t>
        </is>
      </c>
      <c r="F528" s="3" t="inlineStr">
        <is>
          <t>02.08.22 13:00</t>
        </is>
      </c>
      <c r="G528" t="inlineStr">
        <is>
          <t>Свердловская обл, г Первоуральск, село Новоалексеевское, ул Буденного, д 13</t>
        </is>
      </c>
      <c r="H528" s="4" t="n">
        <v>265650</v>
      </c>
      <c r="I528" s="4" t="n">
        <v>15355.49132947977</v>
      </c>
      <c r="J528" t="inlineStr">
        <is>
          <t>Нежилое помещение</t>
        </is>
      </c>
      <c r="K528" s="5" t="n">
        <v>12.06</v>
      </c>
      <c r="M528" t="n">
        <v>1273</v>
      </c>
      <c r="N528" s="6" t="n">
        <v>148282</v>
      </c>
      <c r="Q528" t="inlineStr">
        <is>
          <t>EA</t>
        </is>
      </c>
      <c r="R528" t="inlineStr">
        <is>
          <t>М</t>
        </is>
      </c>
      <c r="S528" s="2">
        <f>HYPERLINK("https://yandex.ru/maps/?&amp;text=56.850511, 60.138426", "56.850511, 60.138426")</f>
        <v/>
      </c>
      <c r="U528" t="inlineStr">
        <is>
          <t>66:58:2101004:1409</t>
        </is>
      </c>
      <c r="V528" t="n">
        <v>0</v>
      </c>
      <c r="Y528" t="n">
        <v>1</v>
      </c>
      <c r="AA528" t="n">
        <v>0</v>
      </c>
      <c r="AB528" t="n">
        <v>0</v>
      </c>
    </row>
    <row r="529">
      <c r="A529" s="7" t="n">
        <v>527</v>
      </c>
      <c r="B529" t="n">
        <v>66</v>
      </c>
      <c r="C529" s="1" t="n">
        <v>205.7</v>
      </c>
      <c r="D529" s="2">
        <f>HYPERLINK("https://torgi.gov.ru/new/public/lots/lot/21000020190000000001_3/(lotInfo:info)", "21000020190000000001_3")</f>
        <v/>
      </c>
      <c r="E529" t="inlineStr">
        <is>
      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      </is>
      </c>
      <c r="F529" s="3" t="inlineStr">
        <is>
          <t>04.04.22 13:00</t>
        </is>
      </c>
      <c r="G529" t="inlineStr">
        <is>
          <t>Свердловская обл, г Первоуральск, пр-кт Ильича, д 1А</t>
        </is>
      </c>
      <c r="H529" s="4" t="n">
        <v>3211250</v>
      </c>
      <c r="I529" s="4" t="n">
        <v>15611.3271754983</v>
      </c>
      <c r="J529" t="inlineStr">
        <is>
          <t>Нежилое помещение</t>
        </is>
      </c>
      <c r="K529" s="5" t="n">
        <v>4.2</v>
      </c>
      <c r="L529" s="4" t="n">
        <v>1115.07</v>
      </c>
      <c r="M529" t="n">
        <v>3720</v>
      </c>
      <c r="N529" s="6" t="n">
        <v>148282</v>
      </c>
      <c r="O529" t="n">
        <v>14</v>
      </c>
      <c r="Q529" t="inlineStr">
        <is>
          <t>EA</t>
        </is>
      </c>
      <c r="R529" t="inlineStr">
        <is>
          <t>М</t>
        </is>
      </c>
      <c r="S529" s="2">
        <f>HYPERLINK("https://yandex.ru/maps/?&amp;text=56.90548, 59.92929", "56.90548, 59.92929")</f>
        <v/>
      </c>
      <c r="T529" s="2">
        <f>HYPERLINK("D:\venv_torgi\env\cache\objs_in_district/56.90548_59.92929.json", "56.90548_59.92929.json")</f>
        <v/>
      </c>
      <c r="U529" t="inlineStr">
        <is>
          <t xml:space="preserve">66:58:0111013:4558, </t>
        </is>
      </c>
      <c r="V529" t="n">
        <v>0</v>
      </c>
      <c r="Y529" t="n">
        <v>1</v>
      </c>
      <c r="AA529" t="n">
        <v>0</v>
      </c>
      <c r="AB529" t="n">
        <v>0</v>
      </c>
    </row>
    <row r="530">
      <c r="A530" s="7" t="n">
        <v>528</v>
      </c>
      <c r="B530" t="n">
        <v>66</v>
      </c>
      <c r="C530" s="1" t="n">
        <v>299.9</v>
      </c>
      <c r="D530" s="2">
        <f>HYPERLINK("https://torgi.gov.ru/new/public/lots/lot/21000024130000000004_1/(lotInfo:info)", "21000024130000000004_1")</f>
        <v/>
      </c>
      <c r="E530" t="inlineStr">
        <is>
          <t>«Помещение Назначение: Нежилое Площадь: 299.9 Номер, тип этажа, на котором расположено помещение, машино-место: Этаж № 1 Адрес: Свердловская область, г. Екатеринбург, ул. Чернышевского, д. 5» с кадастровым номером 66:41:0401021:440</t>
        </is>
      </c>
      <c r="F530" s="3" t="inlineStr">
        <is>
          <t>21.02.22 08:00</t>
        </is>
      </c>
      <c r="G530" t="inlineStr">
        <is>
          <t>г Екатеринбург, ул Чернышевского, д 5</t>
        </is>
      </c>
      <c r="H530" s="4" t="n">
        <v>9401000</v>
      </c>
      <c r="I530" s="4" t="n">
        <v>31347.11570523508</v>
      </c>
      <c r="J530" t="inlineStr">
        <is>
          <t>Нежилое помещение</t>
        </is>
      </c>
      <c r="K530" s="5" t="n">
        <v>6.3</v>
      </c>
      <c r="L530" s="4" t="n">
        <v>287.59</v>
      </c>
      <c r="M530" t="n">
        <v>4977</v>
      </c>
      <c r="N530" s="6" t="n">
        <v>1579461</v>
      </c>
      <c r="O530" t="n">
        <v>109</v>
      </c>
      <c r="Q530" t="inlineStr">
        <is>
          <t>EA</t>
        </is>
      </c>
      <c r="R530" t="inlineStr">
        <is>
          <t>М</t>
        </is>
      </c>
      <c r="S530" s="2">
        <f>HYPERLINK("https://yandex.ru/maps/?&amp;text=56.83279, 60.60257", "56.83279, 60.60257")</f>
        <v/>
      </c>
      <c r="T530" s="2">
        <f>HYPERLINK("D:\venv_torgi\env\cache\objs_in_district/56.83279_60.60257.json", "56.83279_60.60257.json")</f>
        <v/>
      </c>
      <c r="U530" t="inlineStr">
        <is>
          <t>66:41:0401021:440</t>
        </is>
      </c>
      <c r="V530" t="n">
        <v>1</v>
      </c>
      <c r="Y530" t="n">
        <v>0</v>
      </c>
      <c r="AA530" t="n">
        <v>0</v>
      </c>
      <c r="AB530" t="n">
        <v>0</v>
      </c>
    </row>
    <row r="531">
      <c r="A531" s="7" t="n">
        <v>529</v>
      </c>
      <c r="B531" t="n">
        <v>66</v>
      </c>
      <c r="C531" s="1" t="n">
        <v>201.1</v>
      </c>
      <c r="D531" s="2">
        <f>HYPERLINK("https://torgi.gov.ru/new/public/lots/lot/22000034760000000022_1/(lotInfo:info)", "22000034760000000022_1")</f>
        <v/>
      </c>
      <c r="E531" t="inlineStr">
        <is>
          <t>В соответствии с Извещением</t>
        </is>
      </c>
      <c r="F531" s="3" t="inlineStr">
        <is>
          <t>28.03.22 14:30</t>
        </is>
      </c>
      <c r="G531" t="inlineStr">
        <is>
          <t>г Екатеринбург, пр-кт Ленина, д 69 к 13</t>
        </is>
      </c>
      <c r="H531" s="4" t="n">
        <v>6407000</v>
      </c>
      <c r="I531" s="4" t="n">
        <v>31859.77125808056</v>
      </c>
      <c r="J531" t="inlineStr">
        <is>
          <t>Нежилое помещение</t>
        </is>
      </c>
      <c r="K531" s="5" t="n">
        <v>3.51</v>
      </c>
      <c r="L531" s="4" t="n">
        <v>182.05</v>
      </c>
      <c r="M531" t="n">
        <v>9079</v>
      </c>
      <c r="N531" s="6" t="n">
        <v>1579461</v>
      </c>
      <c r="O531" t="n">
        <v>175</v>
      </c>
      <c r="Q531" t="inlineStr">
        <is>
          <t>EK</t>
        </is>
      </c>
      <c r="R531" t="inlineStr">
        <is>
          <t>М</t>
        </is>
      </c>
      <c r="S531" s="2">
        <f>HYPERLINK("https://yandex.ru/maps/?&amp;text=56.842384, 60.621172", "56.842384, 60.621172")</f>
        <v/>
      </c>
      <c r="T531" s="2">
        <f>HYPERLINK("D:\venv_torgi\env\cache\objs_in_district/56.842384_60.621172.json", "56.842384_60.621172.json")</f>
        <v/>
      </c>
      <c r="U531" t="inlineStr">
        <is>
          <t>66:41:0704007:4132</t>
        </is>
      </c>
      <c r="V531" t="n">
        <v>0</v>
      </c>
      <c r="Y531" t="n">
        <v>0</v>
      </c>
      <c r="Z531" t="n">
        <v>1</v>
      </c>
      <c r="AA531" t="n">
        <v>0</v>
      </c>
      <c r="AB531" t="n">
        <v>0</v>
      </c>
    </row>
    <row r="532">
      <c r="A532" s="7" t="n">
        <v>530</v>
      </c>
      <c r="B532" t="n">
        <v>66</v>
      </c>
      <c r="C532" s="1" t="n">
        <v>138</v>
      </c>
      <c r="D532" s="2">
        <f>HYPERLINK("https://torgi.gov.ru/new/public/lots/lot/21000024130000000022_1/(lotInfo:info)", "21000024130000000022_1")</f>
        <v/>
      </c>
      <c r="E532" t="inlineStr">
        <is>
          <t>«Помещение Назначение: Нежилое помещение Площадь, м2: 138 Номер, тип этажа, на котором расположено помещение, машино-место Этаж №1, Этаж №2 Адрес: Свердловская область, г. Екатеринбург, ул. Вайнера, д. 16» с кадастровым номером 66:41:0401035:1125, являющегося частью объекта культурного наследия областного значения «Доходный дом купцов М.И. и В.И. Дмитриевых»</t>
        </is>
      </c>
      <c r="F532" s="3" t="inlineStr">
        <is>
          <t>04.07.22 10:00</t>
        </is>
      </c>
      <c r="G532" t="inlineStr">
        <is>
          <t>г Екатеринбург, ул Вайнера, д 16</t>
        </is>
      </c>
      <c r="H532" s="4" t="n">
        <v>5700000</v>
      </c>
      <c r="I532" s="4" t="n">
        <v>41304.34782608696</v>
      </c>
      <c r="J532" t="inlineStr">
        <is>
          <t>Нежилое помещение</t>
        </is>
      </c>
      <c r="K532" s="5" t="n">
        <v>4.94</v>
      </c>
      <c r="L532" s="4" t="n">
        <v>189.47</v>
      </c>
      <c r="M532" t="n">
        <v>8359</v>
      </c>
      <c r="N532" s="6" t="n">
        <v>1579461</v>
      </c>
      <c r="O532" t="n">
        <v>218</v>
      </c>
      <c r="Q532" t="inlineStr">
        <is>
          <t>EK</t>
        </is>
      </c>
      <c r="R532" t="inlineStr">
        <is>
          <t>М</t>
        </is>
      </c>
      <c r="S532" s="2">
        <f>HYPERLINK("https://yandex.ru/maps/?&amp;text=56.835018, 60.594977", "56.835018, 60.594977")</f>
        <v/>
      </c>
      <c r="T532" s="2">
        <f>HYPERLINK("D:\venv_torgi\env\cache\objs_in_district/56.835018_60.594977.json", "56.835018_60.594977.json")</f>
        <v/>
      </c>
      <c r="U532" t="inlineStr">
        <is>
          <t xml:space="preserve">66:41:0401035:1125, </t>
        </is>
      </c>
      <c r="V532" t="n">
        <v>1</v>
      </c>
      <c r="Y532" t="n">
        <v>0</v>
      </c>
      <c r="Z532" t="n">
        <v>1</v>
      </c>
      <c r="AA532" t="n">
        <v>0</v>
      </c>
      <c r="AB532" t="n">
        <v>0</v>
      </c>
    </row>
    <row r="533">
      <c r="A533" s="7" t="n">
        <v>531</v>
      </c>
      <c r="B533" t="n">
        <v>66</v>
      </c>
      <c r="C533" s="1" t="n">
        <v>134.7</v>
      </c>
      <c r="D533" s="2">
        <f>HYPERLINK("https://torgi.gov.ru/new/public/lots/lot/22000034760000000031_1/(lotInfo:info)", "22000034760000000031_1")</f>
        <v/>
      </c>
      <c r="E533" t="inlineStr">
        <is>
          <t>В соответствии с Извещением.</t>
        </is>
      </c>
      <c r="F533" s="3" t="inlineStr">
        <is>
          <t>06.06.22 14:30</t>
        </is>
      </c>
      <c r="G533" t="inlineStr">
        <is>
          <t>г Екатеринбург, наб Рабочей молодежи, д 51</t>
        </is>
      </c>
      <c r="H533" s="4" t="n">
        <v>6283200</v>
      </c>
      <c r="I533" s="4" t="n">
        <v>46645.87973273943</v>
      </c>
      <c r="J533" t="inlineStr">
        <is>
          <t>Нежилое помещение</t>
        </is>
      </c>
      <c r="K533" s="5" t="n">
        <v>9.68</v>
      </c>
      <c r="L533" s="4" t="n">
        <v>2455</v>
      </c>
      <c r="M533" t="n">
        <v>4821</v>
      </c>
      <c r="N533" s="6" t="n">
        <v>1579461</v>
      </c>
      <c r="O533" t="n">
        <v>19</v>
      </c>
      <c r="Q533" t="inlineStr">
        <is>
          <t>EA</t>
        </is>
      </c>
      <c r="R533" t="inlineStr">
        <is>
          <t>М</t>
        </is>
      </c>
      <c r="S533" s="2">
        <f>HYPERLINK("https://yandex.ru/maps/?&amp;text=56.846245, 60.582508", "56.846245, 60.582508")</f>
        <v/>
      </c>
      <c r="T533" s="2">
        <f>HYPERLINK("D:\venv_torgi\env\cache\objs_in_district/56.846245_60.582508.json", "56.846245_60.582508.json")</f>
        <v/>
      </c>
      <c r="U533" t="inlineStr">
        <is>
          <t>66:41:0303004:230</t>
        </is>
      </c>
      <c r="V533" t="n">
        <v>0</v>
      </c>
      <c r="Y533" t="n">
        <v>0</v>
      </c>
      <c r="AA533" t="n">
        <v>0</v>
      </c>
      <c r="AB533" t="n">
        <v>0</v>
      </c>
    </row>
    <row r="534">
      <c r="A534" s="7" t="n">
        <v>532</v>
      </c>
      <c r="B534" t="n">
        <v>66</v>
      </c>
      <c r="C534" s="1" t="n">
        <v>48.4</v>
      </c>
      <c r="D534" s="2">
        <f>HYPERLINK("https://torgi.gov.ru/new/public/lots/lot/21000014250000000035_1/(lotInfo:info)", "21000014250000000035_1")</f>
        <v/>
      </c>
      <c r="E534" t="inlineStr">
        <is>
          <t>Нежилое помещение, кадастровый номер 66:56:0203001:6271, площадью 48,4 кв. м. Помещение находится на 1 этаже одноэтажного нежилого здания. Год постройки 1975. Сети инженерно-технического обеспечения здания – централизованные. Помещение свободно. Обременений нет. Ранее в помещении располагалась парикмахерская. Адрес: г. Нижний Тагил, ул. Металлургов (в районе трамвайного кольца, остановка «Тагилстрой»).</t>
        </is>
      </c>
      <c r="F534" s="3" t="inlineStr">
        <is>
          <t>31.08.22 17:00</t>
        </is>
      </c>
      <c r="G534" t="inlineStr">
        <is>
          <t>Свердловская обл, г Нижний Тагил, ул Металлургов</t>
        </is>
      </c>
      <c r="H534" s="4" t="n">
        <v>2515000</v>
      </c>
      <c r="I534" s="4" t="n">
        <v>51962.80991735537</v>
      </c>
      <c r="J534" t="inlineStr">
        <is>
          <t>Нежилое помещение</t>
        </is>
      </c>
      <c r="K534" s="5" t="n">
        <v>21.22</v>
      </c>
      <c r="M534" t="n">
        <v>2449</v>
      </c>
      <c r="N534" s="6" t="n">
        <v>356886</v>
      </c>
      <c r="Q534" t="inlineStr">
        <is>
          <t>EA</t>
        </is>
      </c>
      <c r="R534" t="inlineStr">
        <is>
          <t>М</t>
        </is>
      </c>
      <c r="S534" s="2">
        <f>HYPERLINK("https://yandex.ru/maps/?&amp;text=57.939901, 60.00738", "57.939901, 60.00738")</f>
        <v/>
      </c>
      <c r="U534" t="inlineStr">
        <is>
          <t xml:space="preserve">66:56:0203001:6271, </t>
        </is>
      </c>
      <c r="V534" t="n">
        <v>1</v>
      </c>
      <c r="Y534" t="n">
        <v>0</v>
      </c>
      <c r="AA534" t="n">
        <v>0</v>
      </c>
      <c r="AB534" t="n">
        <v>0</v>
      </c>
    </row>
    <row r="535">
      <c r="A535" s="7" t="n">
        <v>533</v>
      </c>
      <c r="B535" t="n">
        <v>66</v>
      </c>
      <c r="C535" s="1" t="n">
        <v>42.7</v>
      </c>
      <c r="D535" s="2">
        <f>HYPERLINK("https://torgi.gov.ru/new/public/lots/lot/21000024130000000015_1/(lotInfo:info)", "21000024130000000015_1")</f>
        <v/>
      </c>
      <c r="E535" t="inlineStr">
        <is>
          <t>«Помещение Назначение: Нежилое Площадь: 42.7 Номер, тип этажа, на котором расположено помещение, машино-место: Этаж № 2 Местоположение: Свердловская область, г Екатеринбург, ул Попова, д 16 / ул Сакко и Ванцетти, д 52» с кадастровым номером 66:41:0401008:97, являющегося частью объекта культурного наследия областного значения «Дом жилой»</t>
        </is>
      </c>
      <c r="F535" s="3" t="inlineStr">
        <is>
          <t>24.03.22 07:00</t>
        </is>
      </c>
      <c r="G535" t="inlineStr">
        <is>
          <t>Свердловская область, г. Екатеринбург, ул. Попова, д. 16 /  ул. Сакко и Ванцетти, д. 52</t>
        </is>
      </c>
      <c r="H535" s="4" t="n">
        <v>2275000</v>
      </c>
      <c r="I535" s="4" t="n">
        <v>53278.68852459016</v>
      </c>
      <c r="J535" t="inlineStr">
        <is>
          <t>Нежилое помещение</t>
        </is>
      </c>
      <c r="Q535" t="inlineStr">
        <is>
          <t>EK</t>
        </is>
      </c>
      <c r="R535" t="inlineStr">
        <is>
          <t>М</t>
        </is>
      </c>
      <c r="U535" t="inlineStr">
        <is>
          <t xml:space="preserve">66:41:0401008:97, </t>
        </is>
      </c>
      <c r="V535" t="n">
        <v>2</v>
      </c>
      <c r="Y535" t="n">
        <v>0</v>
      </c>
      <c r="Z535" t="n">
        <v>1</v>
      </c>
      <c r="AA535" t="n">
        <v>0</v>
      </c>
      <c r="AB535" t="n">
        <v>0</v>
      </c>
    </row>
    <row r="536">
      <c r="A536" s="7" t="n">
        <v>534</v>
      </c>
      <c r="B536" t="n">
        <v>67</v>
      </c>
      <c r="C536" s="1" t="n">
        <v>51.9</v>
      </c>
      <c r="D536" s="2">
        <f>HYPERLINK("https://torgi.gov.ru/new/public/lots/lot/22000040170000000003_5/(lotInfo:info)", "22000040170000000003_5")</f>
        <v/>
      </c>
      <c r="E536" t="inlineStr">
        <is>
          <t>Нежилое помещение, общей площадью 51,9 кв.м., с кадастровым номером 67:02:0010232:107,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7.</t>
        </is>
      </c>
      <c r="F536" s="3" t="inlineStr">
        <is>
          <t>16.05.22 14:00</t>
        </is>
      </c>
      <c r="G536" t="inlineStr">
        <is>
          <t>Смоленская обл, г Вязьма, Советская пл, д 2, кв 7</t>
        </is>
      </c>
      <c r="H536" s="4" t="n">
        <v>261500</v>
      </c>
      <c r="I536" s="4" t="n">
        <v>5038.535645472062</v>
      </c>
      <c r="J536" t="inlineStr">
        <is>
          <t>Нежилое помещение</t>
        </is>
      </c>
      <c r="K536" s="5" t="n">
        <v>7.12</v>
      </c>
      <c r="M536" t="n">
        <v>708</v>
      </c>
      <c r="N536" s="6" t="n">
        <v>56797</v>
      </c>
      <c r="Q536" t="inlineStr">
        <is>
          <t>EK</t>
        </is>
      </c>
      <c r="R536" t="inlineStr">
        <is>
          <t>М</t>
        </is>
      </c>
      <c r="S536" s="2">
        <f>HYPERLINK("https://yandex.ru/maps/?&amp;text=55.211178, 34.28423", "55.211178, 34.28423")</f>
        <v/>
      </c>
      <c r="U536" t="inlineStr">
        <is>
          <t xml:space="preserve">67:02:0010232:107, </t>
        </is>
      </c>
      <c r="V536" t="n">
        <v>2</v>
      </c>
      <c r="Y536" t="n">
        <v>0</v>
      </c>
      <c r="Z536" t="n">
        <v>1</v>
      </c>
      <c r="AA536" t="n">
        <v>0</v>
      </c>
      <c r="AB536" t="n">
        <v>0</v>
      </c>
    </row>
    <row r="537">
      <c r="A537" s="7" t="n">
        <v>535</v>
      </c>
      <c r="B537" t="n">
        <v>67</v>
      </c>
      <c r="C537" s="1" t="n">
        <v>49.2</v>
      </c>
      <c r="D537" s="2">
        <f>HYPERLINK("https://torgi.gov.ru/new/public/lots/lot/22000040170000000003_3/(lotInfo:info)", "22000040170000000003_3")</f>
        <v/>
      </c>
      <c r="E537" t="inlineStr">
        <is>
          <t>Нежилое помещение, общей площадью 49,2 кв.м., с кадастровым номером 67:02:0010232:77,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5.</t>
        </is>
      </c>
      <c r="F537" s="3" t="inlineStr">
        <is>
          <t>16.05.22 14:00</t>
        </is>
      </c>
      <c r="G537" t="inlineStr">
        <is>
          <t>Смоленская обл, г Вязьма, Советская пл, д 2, кв 5</t>
        </is>
      </c>
      <c r="H537" s="4" t="n">
        <v>248500</v>
      </c>
      <c r="I537" s="4" t="n">
        <v>5050.813008130081</v>
      </c>
      <c r="J537" t="inlineStr">
        <is>
          <t>Нежилое помещение</t>
        </is>
      </c>
      <c r="K537" s="5" t="n">
        <v>7.13</v>
      </c>
      <c r="M537" t="n">
        <v>708</v>
      </c>
      <c r="N537" s="6" t="n">
        <v>56797</v>
      </c>
      <c r="Q537" t="inlineStr">
        <is>
          <t>EK</t>
        </is>
      </c>
      <c r="R537" t="inlineStr">
        <is>
          <t>М</t>
        </is>
      </c>
      <c r="S537" s="2">
        <f>HYPERLINK("https://yandex.ru/maps/?&amp;text=55.211178, 34.28423", "55.211178, 34.28423")</f>
        <v/>
      </c>
      <c r="U537" t="inlineStr">
        <is>
          <t xml:space="preserve">67:02:0010232:77, </t>
        </is>
      </c>
      <c r="V537" t="n">
        <v>2</v>
      </c>
      <c r="Y537" t="n">
        <v>0</v>
      </c>
      <c r="Z537" t="n">
        <v>1</v>
      </c>
      <c r="AA537" t="n">
        <v>0</v>
      </c>
      <c r="AB537" t="n">
        <v>0</v>
      </c>
    </row>
    <row r="538">
      <c r="A538" s="7" t="n">
        <v>536</v>
      </c>
      <c r="B538" t="n">
        <v>67</v>
      </c>
      <c r="C538" s="1" t="n">
        <v>40</v>
      </c>
      <c r="D538" s="2">
        <f>HYPERLINK("https://torgi.gov.ru/new/public/lots/lot/22000040170000000003_4/(lotInfo:info)", "22000040170000000003_4")</f>
        <v/>
      </c>
      <c r="E538" t="inlineStr">
        <is>
          <t>Нежилое помещение, общей площадью 40,0 кв.м., с кадастровым номером 67:02:0010232:72,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6.</t>
        </is>
      </c>
      <c r="F538" s="3" t="inlineStr">
        <is>
          <t>16.05.22 14:00</t>
        </is>
      </c>
      <c r="G538" t="inlineStr">
        <is>
          <t>Смоленская обл, г Вязьма, Советская пл, д 2, кв 6</t>
        </is>
      </c>
      <c r="H538" s="4" t="n">
        <v>202500</v>
      </c>
      <c r="I538" s="4" t="n">
        <v>5062.5</v>
      </c>
      <c r="J538" t="inlineStr">
        <is>
          <t>Нежилое помещение</t>
        </is>
      </c>
      <c r="K538" s="5" t="n">
        <v>7.15</v>
      </c>
      <c r="M538" t="n">
        <v>708</v>
      </c>
      <c r="N538" s="6" t="n">
        <v>56797</v>
      </c>
      <c r="Q538" t="inlineStr">
        <is>
          <t>EK</t>
        </is>
      </c>
      <c r="R538" t="inlineStr">
        <is>
          <t>М</t>
        </is>
      </c>
      <c r="S538" s="2">
        <f>HYPERLINK("https://yandex.ru/maps/?&amp;text=55.211178, 34.28423", "55.211178, 34.28423")</f>
        <v/>
      </c>
      <c r="U538" t="inlineStr">
        <is>
          <t xml:space="preserve">67:02:0010232:72, </t>
        </is>
      </c>
      <c r="V538" t="n">
        <v>2</v>
      </c>
      <c r="Y538" t="n">
        <v>0</v>
      </c>
      <c r="Z538" t="n">
        <v>1</v>
      </c>
      <c r="AA538" t="n">
        <v>0</v>
      </c>
      <c r="AB538" t="n">
        <v>0</v>
      </c>
    </row>
    <row r="539">
      <c r="A539" s="7" t="n">
        <v>537</v>
      </c>
      <c r="B539" t="n">
        <v>67</v>
      </c>
      <c r="C539" s="1" t="n">
        <v>46.1</v>
      </c>
      <c r="D539" s="2">
        <f>HYPERLINK("https://torgi.gov.ru/new/public/lots/lot/22000040170000000003_6/(lotInfo:info)", "22000040170000000003_6")</f>
        <v/>
      </c>
      <c r="E539" t="inlineStr">
        <is>
          <t>Нежилое помещение, общей площадью 46,1 кв.м., с кадастровым номером 67:02:0010232:75,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9.</t>
        </is>
      </c>
      <c r="F539" s="3" t="inlineStr">
        <is>
          <t>16.05.22 14:00</t>
        </is>
      </c>
      <c r="G539" t="inlineStr">
        <is>
          <t>Смоленская обл, г Вязьма, Советская пл, д 2, кв 9</t>
        </is>
      </c>
      <c r="H539" s="4" t="n">
        <v>233500</v>
      </c>
      <c r="I539" s="4" t="n">
        <v>5065.075921908893</v>
      </c>
      <c r="J539" t="inlineStr">
        <is>
          <t>Нежилое помещение</t>
        </is>
      </c>
      <c r="K539" s="5" t="n">
        <v>7.15</v>
      </c>
      <c r="M539" t="n">
        <v>708</v>
      </c>
      <c r="N539" s="6" t="n">
        <v>56797</v>
      </c>
      <c r="Q539" t="inlineStr">
        <is>
          <t>EK</t>
        </is>
      </c>
      <c r="R539" t="inlineStr">
        <is>
          <t>М</t>
        </is>
      </c>
      <c r="S539" s="2">
        <f>HYPERLINK("https://yandex.ru/maps/?&amp;text=55.211178, 34.28423", "55.211178, 34.28423")</f>
        <v/>
      </c>
      <c r="U539" t="inlineStr">
        <is>
          <t xml:space="preserve">67:02:0010232:75, </t>
        </is>
      </c>
      <c r="V539" t="n">
        <v>2</v>
      </c>
      <c r="Y539" t="n">
        <v>0</v>
      </c>
      <c r="Z539" t="n">
        <v>1</v>
      </c>
      <c r="AA539" t="n">
        <v>0</v>
      </c>
      <c r="AB539" t="n">
        <v>0</v>
      </c>
    </row>
    <row r="540">
      <c r="A540" s="7" t="n">
        <v>538</v>
      </c>
      <c r="B540" t="n">
        <v>67</v>
      </c>
      <c r="C540" s="1" t="n">
        <v>40.5</v>
      </c>
      <c r="D540" s="2">
        <f>HYPERLINK("https://torgi.gov.ru/new/public/lots/lot/22000040170000000003_9/(lotInfo:info)", "22000040170000000003_9")</f>
        <v/>
      </c>
      <c r="E540" t="inlineStr">
        <is>
          <t>Нежилое помещение, общей площадью 40,5 кв.м., с кадастровым номером 67:02:0010232:70,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12.</t>
        </is>
      </c>
      <c r="F540" s="3" t="inlineStr">
        <is>
          <t>16.05.22 14:00</t>
        </is>
      </c>
      <c r="G540" t="inlineStr">
        <is>
          <t>Смоленская обл, г Вязьма, Советская пл, д 2, кв 12</t>
        </is>
      </c>
      <c r="H540" s="4" t="n">
        <v>205500</v>
      </c>
      <c r="I540" s="4" t="n">
        <v>5074.074074074074</v>
      </c>
      <c r="J540" t="inlineStr">
        <is>
          <t>Нежилое помещение</t>
        </is>
      </c>
      <c r="K540" s="5" t="n">
        <v>7.17</v>
      </c>
      <c r="M540" t="n">
        <v>708</v>
      </c>
      <c r="N540" s="6" t="n">
        <v>56797</v>
      </c>
      <c r="Q540" t="inlineStr">
        <is>
          <t>EK</t>
        </is>
      </c>
      <c r="R540" t="inlineStr">
        <is>
          <t>М</t>
        </is>
      </c>
      <c r="S540" s="2">
        <f>HYPERLINK("https://yandex.ru/maps/?&amp;text=55.211178, 34.28423", "55.211178, 34.28423")</f>
        <v/>
      </c>
      <c r="U540" t="inlineStr">
        <is>
          <t xml:space="preserve">67:02:0010232:70, </t>
        </is>
      </c>
      <c r="V540" t="n">
        <v>2</v>
      </c>
      <c r="Y540" t="n">
        <v>0</v>
      </c>
      <c r="Z540" t="n">
        <v>1</v>
      </c>
      <c r="AA540" t="n">
        <v>0</v>
      </c>
      <c r="AB540" t="n">
        <v>0</v>
      </c>
    </row>
    <row r="541">
      <c r="A541" s="7" t="n">
        <v>539</v>
      </c>
      <c r="B541" t="n">
        <v>67</v>
      </c>
      <c r="C541" s="1" t="n">
        <v>31.5</v>
      </c>
      <c r="D541" s="2">
        <f>HYPERLINK("https://torgi.gov.ru/new/public/lots/lot/22000040170000000003_2/(lotInfo:info)", "22000040170000000003_2")</f>
        <v/>
      </c>
      <c r="E541" t="inlineStr">
        <is>
          <t>Нежилое помещение, общей площадью 31,5 кв.м., с кадастровым номером 67:02:0010232:76,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4.</t>
        </is>
      </c>
      <c r="F541" s="3" t="inlineStr">
        <is>
          <t>16.05.22 14:00</t>
        </is>
      </c>
      <c r="G541" t="inlineStr">
        <is>
          <t>Смоленская обл, г Вязьма, Советская пл, д 2, кв 4</t>
        </is>
      </c>
      <c r="H541" s="4" t="n">
        <v>160500</v>
      </c>
      <c r="I541" s="4" t="n">
        <v>5095.238095238095</v>
      </c>
      <c r="J541" t="inlineStr">
        <is>
          <t>Нежилое помещение</t>
        </is>
      </c>
      <c r="K541" s="5" t="n">
        <v>7.2</v>
      </c>
      <c r="M541" t="n">
        <v>708</v>
      </c>
      <c r="N541" s="6" t="n">
        <v>56797</v>
      </c>
      <c r="Q541" t="inlineStr">
        <is>
          <t>EK</t>
        </is>
      </c>
      <c r="R541" t="inlineStr">
        <is>
          <t>М</t>
        </is>
      </c>
      <c r="S541" s="2">
        <f>HYPERLINK("https://yandex.ru/maps/?&amp;text=55.211178, 34.28423", "55.211178, 34.28423")</f>
        <v/>
      </c>
      <c r="U541" t="inlineStr">
        <is>
          <t xml:space="preserve">67:02:0010232:76, </t>
        </is>
      </c>
      <c r="V541" t="n">
        <v>2</v>
      </c>
      <c r="Y541" t="n">
        <v>0</v>
      </c>
      <c r="Z541" t="n">
        <v>1</v>
      </c>
      <c r="AA541" t="n">
        <v>0</v>
      </c>
      <c r="AB541" t="n">
        <v>0</v>
      </c>
    </row>
    <row r="542">
      <c r="A542" s="7" t="n">
        <v>540</v>
      </c>
      <c r="B542" t="n">
        <v>67</v>
      </c>
      <c r="C542" s="1" t="n">
        <v>28.2</v>
      </c>
      <c r="D542" s="2">
        <f>HYPERLINK("https://torgi.gov.ru/new/public/lots/lot/22000040170000000003_1/(lotInfo:info)", "22000040170000000003_1")</f>
        <v/>
      </c>
      <c r="E542" t="inlineStr">
        <is>
          <t>Нежилое помещение, общей площадью 28,2 кв.м., с кадастровым номером 67:02:0010232:73,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3.</t>
        </is>
      </c>
      <c r="F542" s="3" t="inlineStr">
        <is>
          <t>16.05.22 14:00</t>
        </is>
      </c>
      <c r="G542" t="inlineStr">
        <is>
          <t>Смоленская обл, г Вязьма, Советская пл, д 2, кв 3</t>
        </is>
      </c>
      <c r="H542" s="4" t="n">
        <v>144500</v>
      </c>
      <c r="I542" s="4" t="n">
        <v>5124.113475177305</v>
      </c>
      <c r="J542" t="inlineStr">
        <is>
          <t>Нежилое помещение</t>
        </is>
      </c>
      <c r="K542" s="5" t="n">
        <v>7.24</v>
      </c>
      <c r="M542" t="n">
        <v>708</v>
      </c>
      <c r="N542" s="6" t="n">
        <v>56797</v>
      </c>
      <c r="Q542" t="inlineStr">
        <is>
          <t>EK</t>
        </is>
      </c>
      <c r="R542" t="inlineStr">
        <is>
          <t>М</t>
        </is>
      </c>
      <c r="S542" s="2">
        <f>HYPERLINK("https://yandex.ru/maps/?&amp;text=55.211178, 34.28423", "55.211178, 34.28423")</f>
        <v/>
      </c>
      <c r="U542" t="inlineStr">
        <is>
          <t xml:space="preserve">67:02:0010232:73, </t>
        </is>
      </c>
      <c r="V542" t="n">
        <v>2</v>
      </c>
      <c r="Y542" t="n">
        <v>0</v>
      </c>
      <c r="Z542" t="n">
        <v>1</v>
      </c>
      <c r="AA542" t="n">
        <v>0</v>
      </c>
      <c r="AB542" t="n">
        <v>0</v>
      </c>
    </row>
    <row r="543">
      <c r="A543" s="7" t="n">
        <v>541</v>
      </c>
      <c r="B543" t="n">
        <v>67</v>
      </c>
      <c r="C543" s="1" t="n">
        <v>28</v>
      </c>
      <c r="D543" s="2">
        <f>HYPERLINK("https://torgi.gov.ru/new/public/lots/lot/22000040170000000003_8/(lotInfo:info)", "22000040170000000003_8")</f>
        <v/>
      </c>
      <c r="E543" t="inlineStr">
        <is>
          <t>Нежилое помещение, общей площадью 28,0 кв.м., с кадастровым номером 67:02:0010232:78,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11.</t>
        </is>
      </c>
      <c r="F543" s="3" t="inlineStr">
        <is>
          <t>16.05.22 14:00</t>
        </is>
      </c>
      <c r="G543" t="inlineStr">
        <is>
          <t>Смоленская обл, г Вязьма, Советская пл, д 2, кв 11</t>
        </is>
      </c>
      <c r="H543" s="4" t="n">
        <v>143500</v>
      </c>
      <c r="I543" s="4" t="n">
        <v>5125</v>
      </c>
      <c r="J543" t="inlineStr">
        <is>
          <t>Нежилое помещение</t>
        </is>
      </c>
      <c r="K543" s="5" t="n">
        <v>7.24</v>
      </c>
      <c r="M543" t="n">
        <v>708</v>
      </c>
      <c r="N543" s="6" t="n">
        <v>56797</v>
      </c>
      <c r="Q543" t="inlineStr">
        <is>
          <t>EK</t>
        </is>
      </c>
      <c r="R543" t="inlineStr">
        <is>
          <t>М</t>
        </is>
      </c>
      <c r="S543" s="2">
        <f>HYPERLINK("https://yandex.ru/maps/?&amp;text=55.211178, 34.28423", "55.211178, 34.28423")</f>
        <v/>
      </c>
      <c r="U543" t="inlineStr">
        <is>
          <t xml:space="preserve">67:02:0010232:78, </t>
        </is>
      </c>
      <c r="V543" t="n">
        <v>2</v>
      </c>
      <c r="Y543" t="n">
        <v>0</v>
      </c>
      <c r="Z543" t="n">
        <v>1</v>
      </c>
      <c r="AA543" t="n">
        <v>0</v>
      </c>
      <c r="AB543" t="n">
        <v>0</v>
      </c>
    </row>
    <row r="544">
      <c r="A544" s="7" t="n">
        <v>542</v>
      </c>
      <c r="B544" t="n">
        <v>67</v>
      </c>
      <c r="C544" s="1" t="n">
        <v>29.3</v>
      </c>
      <c r="D544" s="2">
        <f>HYPERLINK("https://torgi.gov.ru/new/public/lots/lot/22000040170000000003_7/(lotInfo:info)", "22000040170000000003_7")</f>
        <v/>
      </c>
      <c r="E544" t="inlineStr">
        <is>
          <t>Нежилое помещение, общей площадью 29,3 кв.м., с кадастровым номером 67:02:0010232:71, расположенное в здании, являющимся объектом культурного наследия (памятником истории и культуры) народов Российской Федерации регионального значения "Дом жилой (бывш. доходный дом) ("Дом жилой")" кон.XIX в., включенным в единый государственный реестр объектов культурного наследия (памятников истории и культуры) народов Российской Федерации, расположенное по адресу: Смоленская область, г. Вязьма, ул. Кирова-Советская, д. 2/1, кв. 10.</t>
        </is>
      </c>
      <c r="F544" s="3" t="inlineStr">
        <is>
          <t>16.05.22 14:00</t>
        </is>
      </c>
      <c r="G544" t="inlineStr">
        <is>
          <t>Смоленская обл, г Вязьма, Советская пл, д 2, кв 10</t>
        </is>
      </c>
      <c r="H544" s="4" t="n">
        <v>150500</v>
      </c>
      <c r="I544" s="4" t="n">
        <v>5136.518771331058</v>
      </c>
      <c r="J544" t="inlineStr">
        <is>
          <t>Нежилое помещение</t>
        </is>
      </c>
      <c r="K544" s="5" t="n">
        <v>7.25</v>
      </c>
      <c r="M544" t="n">
        <v>708</v>
      </c>
      <c r="N544" s="6" t="n">
        <v>56797</v>
      </c>
      <c r="Q544" t="inlineStr">
        <is>
          <t>EK</t>
        </is>
      </c>
      <c r="R544" t="inlineStr">
        <is>
          <t>М</t>
        </is>
      </c>
      <c r="S544" s="2">
        <f>HYPERLINK("https://yandex.ru/maps/?&amp;text=55.211178, 34.28423", "55.211178, 34.28423")</f>
        <v/>
      </c>
      <c r="U544" t="inlineStr">
        <is>
          <t xml:space="preserve">67:02:0010232:71, </t>
        </is>
      </c>
      <c r="V544" t="n">
        <v>2</v>
      </c>
      <c r="Y544" t="n">
        <v>0</v>
      </c>
      <c r="Z544" t="n">
        <v>1</v>
      </c>
      <c r="AA544" t="n">
        <v>0</v>
      </c>
      <c r="AB544" t="n">
        <v>0</v>
      </c>
    </row>
    <row r="545">
      <c r="A545" s="7" t="n">
        <v>543</v>
      </c>
      <c r="B545" t="n">
        <v>68</v>
      </c>
      <c r="C545" s="1" t="n">
        <v>467.8</v>
      </c>
      <c r="D545" s="2">
        <f>HYPERLINK("https://torgi.gov.ru/new/public/lots/lot/22000009410000000002_1/(lotInfo:info)", "22000009410000000002_1")</f>
        <v/>
      </c>
      <c r="E545" t="inlineStr">
        <is>
          <t>Продажа муниципального имущества на аукционе в электронной форме: столярная мастерская, назначение: нежилое здание, общей площадью 467,8 кв.м, с кадастровым номером 68:25:0000046:474, и земельный участок, площадью 518,0 кв.м, с кадастровым номером 68:25:0000046:467, расположенные по адресу: Тамбовская область, город Котовск, улица Октябрьская, дом 11Г.</t>
        </is>
      </c>
      <c r="F545" s="3" t="inlineStr">
        <is>
          <t>08.04.22 14:00</t>
        </is>
      </c>
      <c r="G545" t="inlineStr">
        <is>
          <t>Тамбовская обл, г Котовск, ул Октябрьская, д 11Г</t>
        </is>
      </c>
      <c r="H545" s="4" t="n">
        <v>1751270</v>
      </c>
      <c r="I545" s="4" t="n">
        <v>3743.629756306113</v>
      </c>
      <c r="J545" t="inlineStr">
        <is>
          <t>столярная мастерская</t>
        </is>
      </c>
      <c r="K545" s="5" t="n">
        <v>0.86</v>
      </c>
      <c r="L545" s="4" t="n">
        <v>24.62</v>
      </c>
      <c r="M545" t="n">
        <v>4353</v>
      </c>
      <c r="N545" s="6" t="n">
        <v>29377</v>
      </c>
      <c r="O545" t="n">
        <v>152</v>
      </c>
      <c r="Q545" t="inlineStr">
        <is>
          <t>EA</t>
        </is>
      </c>
      <c r="R545" t="inlineStr">
        <is>
          <t>М</t>
        </is>
      </c>
      <c r="S545" s="2">
        <f>HYPERLINK("https://yandex.ru/maps/?&amp;text=52.585243, 41.49728", "52.585243, 41.49728")</f>
        <v/>
      </c>
      <c r="T545" s="2">
        <f>HYPERLINK("D:\venv_torgi\env\cache\objs_in_district/52.585243_41.49728.json", "52.585243_41.49728.json")</f>
        <v/>
      </c>
      <c r="U545" t="inlineStr">
        <is>
          <t xml:space="preserve">68:25:0000046:474, </t>
        </is>
      </c>
      <c r="V545" t="n">
        <v>1</v>
      </c>
      <c r="Y545" t="n">
        <v>0</v>
      </c>
      <c r="AA545" t="n">
        <v>0</v>
      </c>
      <c r="AB545" t="n">
        <v>1</v>
      </c>
    </row>
    <row r="546">
      <c r="A546" s="7" t="n">
        <v>544</v>
      </c>
      <c r="B546" t="n">
        <v>68</v>
      </c>
      <c r="C546" s="1" t="n">
        <v>26.7</v>
      </c>
      <c r="D546" s="2">
        <f>HYPERLINK("https://torgi.gov.ru/new/public/lots/lot/21000002450000000003_1/(lotInfo:info)", "21000002450000000003_1")</f>
        <v/>
      </c>
      <c r="E546" t="inlineStr">
        <is>
          <t>В соответствии с информационным сообщением</t>
        </is>
      </c>
      <c r="F546" s="3" t="inlineStr">
        <is>
          <t>23.08.22 14:00</t>
        </is>
      </c>
      <c r="G546" t="inlineStr">
        <is>
          <t>Тамбовская обл, г Рассказово, ул Некрасова, д 1а</t>
        </is>
      </c>
      <c r="H546" s="4" t="n">
        <v>282532.72</v>
      </c>
      <c r="I546" s="4" t="n">
        <v>10581.74981273408</v>
      </c>
      <c r="J546" t="inlineStr">
        <is>
          <t>Нежилое помещение</t>
        </is>
      </c>
      <c r="K546" s="5" t="n">
        <v>7.99</v>
      </c>
      <c r="M546" t="n">
        <v>1325</v>
      </c>
      <c r="N546" s="6" t="n">
        <v>42767</v>
      </c>
      <c r="Q546" t="inlineStr">
        <is>
          <t>EA</t>
        </is>
      </c>
      <c r="R546" t="inlineStr">
        <is>
          <t>М</t>
        </is>
      </c>
      <c r="S546" s="2">
        <f>HYPERLINK("https://yandex.ru/maps/?&amp;text=52.649482, 41.84985", "52.649482, 41.84985")</f>
        <v/>
      </c>
      <c r="U546" t="inlineStr">
        <is>
          <t>68:28:0000068:624</t>
        </is>
      </c>
      <c r="V546" t="n">
        <v>1</v>
      </c>
      <c r="Y546" t="n">
        <v>0</v>
      </c>
      <c r="AA546" t="n">
        <v>0</v>
      </c>
      <c r="AB546" t="n">
        <v>0</v>
      </c>
    </row>
    <row r="547">
      <c r="A547" s="7" t="n">
        <v>545</v>
      </c>
      <c r="B547" t="n">
        <v>68</v>
      </c>
      <c r="C547" s="1" t="n">
        <v>95.59999999999999</v>
      </c>
      <c r="D547" s="2">
        <f>HYPERLINK("https://torgi.gov.ru/new/public/lots/lot/22000109930000000001_1/(lotInfo:info)", "22000109930000000001_1")</f>
        <v/>
      </c>
      <c r="E547" t="inlineStr">
        <is>
          <t>Площадь: общая 95,6 кв.м. Этаж: 1. Адрес (местоположение): Тамбовская область, г. Кирсанов, ул. Коммунистическая, д.29А, помещение № 1.</t>
        </is>
      </c>
      <c r="F547" s="3" t="inlineStr">
        <is>
          <t>08.07.22 14:00</t>
        </is>
      </c>
      <c r="G547" t="inlineStr">
        <is>
          <t>Тамбовская обл, г Кирсанов, ул Коммунистическая, д 29а, помещ 1</t>
        </is>
      </c>
      <c r="H547" s="4" t="n">
        <v>1147080</v>
      </c>
      <c r="I547" s="4" t="n">
        <v>11998.74476987448</v>
      </c>
      <c r="J547" t="inlineStr">
        <is>
          <t>Нежилое помещение</t>
        </is>
      </c>
      <c r="K547" s="5" t="n">
        <v>5.38</v>
      </c>
      <c r="L547" s="4" t="n">
        <v>222.19</v>
      </c>
      <c r="M547" t="n">
        <v>2231</v>
      </c>
      <c r="N547" s="6" t="n">
        <v>16229</v>
      </c>
      <c r="O547" t="n">
        <v>54</v>
      </c>
      <c r="Q547" t="inlineStr">
        <is>
          <t>EA</t>
        </is>
      </c>
      <c r="R547" t="inlineStr">
        <is>
          <t>М</t>
        </is>
      </c>
      <c r="S547" s="2">
        <f>HYPERLINK("https://yandex.ru/maps/?&amp;text=52.649563, 42.726326", "52.649563, 42.726326")</f>
        <v/>
      </c>
      <c r="T547" s="2">
        <f>HYPERLINK("D:\venv_torgi\env\cache\objs_in_district/52.649563_42.726326.json", "52.649563_42.726326.json")</f>
        <v/>
      </c>
      <c r="U547" t="inlineStr">
        <is>
          <t>68:24:0100017:397</t>
        </is>
      </c>
      <c r="V547" t="n">
        <v>1</v>
      </c>
      <c r="Y547" t="n">
        <v>0</v>
      </c>
      <c r="AA547" t="n">
        <v>0</v>
      </c>
      <c r="AB547" t="n">
        <v>0</v>
      </c>
    </row>
    <row r="548">
      <c r="A548" s="7" t="n">
        <v>546</v>
      </c>
      <c r="B548" t="n">
        <v>69</v>
      </c>
      <c r="C548" s="1" t="n">
        <v>107</v>
      </c>
      <c r="D548" s="2">
        <f>HYPERLINK("https://torgi.gov.ru/new/public/lots/lot/22000020460000000002_1/(lotInfo:info)", "22000020460000000002_1")</f>
        <v/>
      </c>
      <c r="E548" t="inlineStr">
        <is>
          <t>общей площадью 107 кв.м.</t>
        </is>
      </c>
      <c r="F548" s="3" t="inlineStr">
        <is>
          <t>13.06.22 11:00</t>
        </is>
      </c>
      <c r="G548" t="inlineStr">
        <is>
          <t>Тверская обл, Конаковский р-н, поселок Озерки, ул Комсомольская, д 8, помещ 5</t>
        </is>
      </c>
      <c r="H548" s="4" t="n">
        <v>275000</v>
      </c>
      <c r="I548" s="4" t="n">
        <v>2570.093457943925</v>
      </c>
      <c r="J548" t="inlineStr">
        <is>
          <t>Нежилое помещение</t>
        </is>
      </c>
      <c r="K548" s="5" t="n">
        <v>9.81</v>
      </c>
      <c r="M548" t="n">
        <v>262</v>
      </c>
      <c r="N548" s="6" t="n">
        <v>2156</v>
      </c>
      <c r="Q548" t="inlineStr">
        <is>
          <t>EA</t>
        </is>
      </c>
      <c r="R548" t="inlineStr">
        <is>
          <t>М</t>
        </is>
      </c>
      <c r="S548" s="2">
        <f>HYPERLINK("https://yandex.ru/maps/?&amp;text=56.642525, 36.20474", "56.642525, 36.20474")</f>
        <v/>
      </c>
      <c r="U548" t="inlineStr">
        <is>
          <t>69:15:0141001:1705</t>
        </is>
      </c>
      <c r="V548" t="n">
        <v>2</v>
      </c>
      <c r="Y548" t="n">
        <v>0</v>
      </c>
      <c r="AA548" t="n">
        <v>0</v>
      </c>
      <c r="AB548" t="n">
        <v>0</v>
      </c>
    </row>
    <row r="549">
      <c r="A549" s="7" t="n">
        <v>547</v>
      </c>
      <c r="B549" t="n">
        <v>69</v>
      </c>
      <c r="C549" s="1" t="n">
        <v>96.3</v>
      </c>
      <c r="D549" s="2">
        <f>HYPERLINK("https://torgi.gov.ru/new/public/lots/lot/22000020460000000001_1/(lotInfo:info)", "22000020460000000001_1")</f>
        <v/>
      </c>
      <c r="E549" t="inlineStr">
        <is>
          <t>площадь помещения 96,3 кв.м. Кадастровый номер 69:15:0141001:1706, помещение расположено на втором этаже двухэтажного кирпичного здания</t>
        </is>
      </c>
      <c r="F549" s="3" t="inlineStr">
        <is>
          <t>13.06.22 09:00</t>
        </is>
      </c>
      <c r="G549" t="inlineStr">
        <is>
          <t>Тверская обл, Конаковский р-н, поселок Озерки, ул Комсомольская, д 8, помещ 4</t>
        </is>
      </c>
      <c r="H549" s="4" t="n">
        <v>255000</v>
      </c>
      <c r="I549" s="4" t="n">
        <v>2647.97507788162</v>
      </c>
      <c r="J549" t="inlineStr">
        <is>
          <t>Нежилое помещение</t>
        </is>
      </c>
      <c r="K549" s="5" t="n">
        <v>10.1</v>
      </c>
      <c r="M549" t="n">
        <v>262</v>
      </c>
      <c r="N549" s="6" t="n">
        <v>2156</v>
      </c>
      <c r="Q549" t="inlineStr">
        <is>
          <t>EA</t>
        </is>
      </c>
      <c r="R549" t="inlineStr">
        <is>
          <t>М</t>
        </is>
      </c>
      <c r="S549" s="2">
        <f>HYPERLINK("https://yandex.ru/maps/?&amp;text=56.642525, 36.20474", "56.642525, 36.20474")</f>
        <v/>
      </c>
      <c r="U549" t="inlineStr">
        <is>
          <t xml:space="preserve">69:15:0141001:1706, </t>
        </is>
      </c>
      <c r="V549" t="n">
        <v>2</v>
      </c>
      <c r="Y549" t="n">
        <v>0</v>
      </c>
      <c r="AA549" t="n">
        <v>0</v>
      </c>
      <c r="AB549" t="n">
        <v>0</v>
      </c>
    </row>
    <row r="550">
      <c r="A550" s="7" t="n">
        <v>548</v>
      </c>
      <c r="B550" t="n">
        <v>69</v>
      </c>
      <c r="C550" s="1" t="n">
        <v>64.7</v>
      </c>
      <c r="D550" s="2">
        <f>HYPERLINK("https://torgi.gov.ru/new/public/lots/lot/21000010890000000001_2/(lotInfo:info)", "21000010890000000001_2")</f>
        <v/>
      </c>
      <c r="E550" t="inlineStr">
        <is>
          <t>нежилое помещение*, назначение: нежилое, общей площадью 64,7 м2, кадастровый номер: 69:41:0010311:216, расположенное по адресу: Тверская область, Кашинский городской округ, город Кашин, площадь Пролетарская, дом 23, помещение 38 (2 этаж);</t>
        </is>
      </c>
      <c r="F550" s="3" t="inlineStr">
        <is>
          <t>22.04.22 14:00</t>
        </is>
      </c>
      <c r="G550" t="inlineStr">
        <is>
          <t>Тверская обл, г Кашин, Пролетарская пл, д 23</t>
        </is>
      </c>
      <c r="H550" s="4" t="n">
        <v>280000</v>
      </c>
      <c r="I550" s="4" t="n">
        <v>4327.666151468316</v>
      </c>
      <c r="J550" t="inlineStr">
        <is>
          <t>Нежилое помещение</t>
        </is>
      </c>
      <c r="K550" s="5" t="n">
        <v>9.99</v>
      </c>
      <c r="M550" t="n">
        <v>433</v>
      </c>
      <c r="N550" s="6" t="n">
        <v>14094</v>
      </c>
      <c r="Q550" t="inlineStr">
        <is>
          <t>PP</t>
        </is>
      </c>
      <c r="R550" t="inlineStr">
        <is>
          <t>М</t>
        </is>
      </c>
      <c r="S550" s="2">
        <f>HYPERLINK("https://yandex.ru/maps/?&amp;text=57.36161, 37.61014", "57.36161, 37.61014")</f>
        <v/>
      </c>
      <c r="U550" t="inlineStr">
        <is>
          <t xml:space="preserve">69:41:0010311:216, </t>
        </is>
      </c>
      <c r="V550" t="n">
        <v>2</v>
      </c>
      <c r="Y550" t="n">
        <v>0</v>
      </c>
      <c r="AA550" t="n">
        <v>0</v>
      </c>
      <c r="AB550" t="n">
        <v>0</v>
      </c>
    </row>
    <row r="551">
      <c r="A551" s="7" t="n">
        <v>549</v>
      </c>
      <c r="B551" t="n">
        <v>69</v>
      </c>
      <c r="C551" s="1" t="n">
        <v>224.8</v>
      </c>
      <c r="D551" s="2">
        <f>HYPERLINK("https://torgi.gov.ru/new/public/lots/lot/22000003200000000011_1/(lotInfo:info)", "22000003200000000011_1")</f>
        <v/>
      </c>
      <c r="E551" t="inlineStr">
        <is>
          <t>Нежилое помещение 1 этаж</t>
        </is>
      </c>
      <c r="F551" s="3" t="inlineStr">
        <is>
          <t>22.08.22 14:00</t>
        </is>
      </c>
      <c r="G551" t="inlineStr">
        <is>
          <t>Тверская обл, Калининский р-н, поселок Дмитрово-Черкассы, ул Садовая, д 34а</t>
        </is>
      </c>
      <c r="H551" s="4" t="n">
        <v>1857000</v>
      </c>
      <c r="I551" s="4" t="n">
        <v>8260.67615658363</v>
      </c>
      <c r="J551" t="inlineStr">
        <is>
          <t>Нежилое помещение</t>
        </is>
      </c>
      <c r="K551" s="5" t="n">
        <v>4.63</v>
      </c>
      <c r="L551" s="4" t="n">
        <v>1032.5</v>
      </c>
      <c r="M551" t="n">
        <v>1784</v>
      </c>
      <c r="N551" s="6" t="n">
        <v>430</v>
      </c>
      <c r="O551" t="n">
        <v>8</v>
      </c>
      <c r="Q551" t="inlineStr">
        <is>
          <t>PP</t>
        </is>
      </c>
      <c r="R551" t="inlineStr">
        <is>
          <t>М</t>
        </is>
      </c>
      <c r="S551" s="2">
        <f>HYPERLINK("https://yandex.ru/maps/?&amp;text=56.858661, 35.749211", "56.858661, 35.749211")</f>
        <v/>
      </c>
      <c r="T551" s="2">
        <f>HYPERLINK("D:\venv_torgi\env\cache\objs_in_district/56.858661_35.749211.json", "56.858661_35.749211.json")</f>
        <v/>
      </c>
      <c r="U551" t="inlineStr">
        <is>
          <t>69:10:0211301:599</t>
        </is>
      </c>
      <c r="V551" t="n">
        <v>1</v>
      </c>
      <c r="Y551" t="n">
        <v>0</v>
      </c>
      <c r="AA551" t="n">
        <v>0</v>
      </c>
      <c r="AB551" t="n">
        <v>0</v>
      </c>
    </row>
    <row r="552">
      <c r="A552" s="7" t="n">
        <v>550</v>
      </c>
      <c r="B552" t="n">
        <v>69</v>
      </c>
      <c r="C552" s="1" t="n">
        <v>11.2</v>
      </c>
      <c r="D552" s="2">
        <f>HYPERLINK("https://torgi.gov.ru/new/public/lots/lot/21000020420000000001_1/(lotInfo:info)", "21000020420000000001_1")</f>
        <v/>
      </c>
      <c r="E552" t="inlineStr">
        <is>
          <t>Нежилое помещение, площадь 11,2 кв.м.</t>
        </is>
      </c>
      <c r="F552" s="3" t="inlineStr">
        <is>
          <t>17.04.22 12:00</t>
        </is>
      </c>
      <c r="G552" t="inlineStr">
        <is>
          <t>Тверская обл, г Торопец, ул Ленинградская, д 73, помещ 3</t>
        </is>
      </c>
      <c r="H552" s="4" t="n">
        <v>129100</v>
      </c>
      <c r="I552" s="4" t="n">
        <v>11526.78571428572</v>
      </c>
      <c r="J552" t="inlineStr">
        <is>
          <t>Нежилое помещение</t>
        </is>
      </c>
      <c r="K552" s="5" t="n">
        <v>11.57</v>
      </c>
      <c r="M552" t="n">
        <v>996</v>
      </c>
      <c r="N552" s="6" t="n">
        <v>12048</v>
      </c>
      <c r="Q552" t="inlineStr">
        <is>
          <t>EK</t>
        </is>
      </c>
      <c r="R552" t="inlineStr">
        <is>
          <t>М</t>
        </is>
      </c>
      <c r="S552" s="2">
        <f>HYPERLINK("https://yandex.ru/maps/?&amp;text=56.502544, 31.649418", "56.502544, 31.649418")</f>
        <v/>
      </c>
      <c r="U552" t="inlineStr">
        <is>
          <t>69:34:0000007:5919</t>
        </is>
      </c>
      <c r="V552" t="n">
        <v>0</v>
      </c>
      <c r="Y552" t="n">
        <v>0</v>
      </c>
      <c r="AA552" t="n">
        <v>0</v>
      </c>
      <c r="AB552" t="n">
        <v>0</v>
      </c>
    </row>
    <row r="553">
      <c r="A553" s="7" t="n">
        <v>551</v>
      </c>
      <c r="B553" t="n">
        <v>69</v>
      </c>
      <c r="C553" s="1" t="n">
        <v>36.8</v>
      </c>
      <c r="D553" s="2">
        <f>HYPERLINK("https://torgi.gov.ru/new/public/lots/lot/22000060400000000002_1/(lotInfo:info)", "22000060400000000002_1")</f>
        <v/>
      </c>
      <c r="E553" t="inlineStr">
        <is>
          <t>Нежилое помещение расположено на I этаже кирпичного пятиэтажного жилого дома, электроснабжение, водоснабжение, канализация и теплоснабжение центральные</t>
        </is>
      </c>
      <c r="F553" s="3" t="inlineStr">
        <is>
          <t>18.07.22 20:59</t>
        </is>
      </c>
      <c r="G553" t="inlineStr">
        <is>
          <t>г. Бежецк, Восточный пр.,д. 9, пом. I</t>
        </is>
      </c>
      <c r="H553" s="4" t="n">
        <v>483000</v>
      </c>
      <c r="I553" s="4" t="n">
        <v>13125</v>
      </c>
      <c r="J553" t="inlineStr">
        <is>
          <t>Нежилое помещение</t>
        </is>
      </c>
      <c r="Q553" t="inlineStr">
        <is>
          <t>EA</t>
        </is>
      </c>
      <c r="R553" t="inlineStr">
        <is>
          <t>М</t>
        </is>
      </c>
      <c r="U553" t="inlineStr">
        <is>
          <t>69:37:0070306:59</t>
        </is>
      </c>
      <c r="V553" t="n">
        <v>1</v>
      </c>
      <c r="Y553" t="n">
        <v>0</v>
      </c>
      <c r="AA553" t="n">
        <v>0</v>
      </c>
      <c r="AB553" t="n">
        <v>0</v>
      </c>
    </row>
    <row r="554">
      <c r="A554" s="7" t="n">
        <v>552</v>
      </c>
      <c r="B554" t="n">
        <v>69</v>
      </c>
      <c r="C554" s="1" t="n">
        <v>11.6</v>
      </c>
      <c r="D554" s="2">
        <f>HYPERLINK("https://torgi.gov.ru/new/public/lots/lot/21000014400000000001_2/(lotInfo:info)", "21000014400000000001_2")</f>
        <v/>
      </c>
      <c r="E554" t="inlineStr">
        <is>
          <t>нежилое помещение на первом этаже пятиэтажного жилого дома</t>
        </is>
      </c>
      <c r="F554" s="3" t="inlineStr">
        <is>
          <t>28.03.22 14:00</t>
        </is>
      </c>
      <c r="G554" t="inlineStr">
        <is>
          <t>г Тверь, ул 1-я Силикатная, д 13а</t>
        </is>
      </c>
      <c r="H554" s="4" t="n">
        <v>157737</v>
      </c>
      <c r="I554" s="4" t="n">
        <v>13598.01724137931</v>
      </c>
      <c r="J554" t="inlineStr">
        <is>
          <t>Нежилое помещение</t>
        </is>
      </c>
      <c r="K554" s="5" t="n">
        <v>5.47</v>
      </c>
      <c r="L554" s="4" t="n">
        <v>1236.18</v>
      </c>
      <c r="M554" t="n">
        <v>2487</v>
      </c>
      <c r="N554" s="6" t="n">
        <v>426217</v>
      </c>
      <c r="O554" t="n">
        <v>11</v>
      </c>
      <c r="Q554" t="inlineStr">
        <is>
          <t>EA</t>
        </is>
      </c>
      <c r="R554" t="inlineStr">
        <is>
          <t>М</t>
        </is>
      </c>
      <c r="S554" s="2">
        <f>HYPERLINK("https://yandex.ru/maps/?&amp;text=56.866952, 35.956444", "56.866952, 35.956444")</f>
        <v/>
      </c>
      <c r="T554" s="2">
        <f>HYPERLINK("D:\venv_torgi\env\cache\objs_in_district/56.866952_35.956444.json", "56.866952_35.956444.json")</f>
        <v/>
      </c>
      <c r="U554" t="inlineStr">
        <is>
          <t>69:40:0100612:268</t>
        </is>
      </c>
      <c r="V554" t="n">
        <v>1</v>
      </c>
      <c r="Y554" t="n">
        <v>0</v>
      </c>
      <c r="AA554" t="n">
        <v>0</v>
      </c>
      <c r="AB554" t="n">
        <v>0</v>
      </c>
    </row>
    <row r="555">
      <c r="A555" s="7" t="n">
        <v>553</v>
      </c>
      <c r="B555" t="n">
        <v>69</v>
      </c>
      <c r="C555" s="1" t="n">
        <v>18.1</v>
      </c>
      <c r="D555" s="2">
        <f>HYPERLINK("https://torgi.gov.ru/new/public/lots/lot/22000038240000000003_1/(lotInfo:info)", "22000038240000000003_1")</f>
        <v/>
      </c>
      <c r="E555" t="inlineStr">
        <is>
          <t>нежилое помещение, общей площадью 18,1 кв.м., кадастровый номер 69:19:0070113:483</t>
        </is>
      </c>
      <c r="F555" s="3" t="inlineStr">
        <is>
          <t>23.05.22 21:00</t>
        </is>
      </c>
      <c r="G555" t="inlineStr">
        <is>
          <t>г. Лихославль, пер. Привокзальный, д. 7, пом. VIII</t>
        </is>
      </c>
      <c r="H555" s="4" t="n">
        <v>300000</v>
      </c>
      <c r="I555" s="4" t="n">
        <v>16574.58563535912</v>
      </c>
      <c r="J555" t="inlineStr">
        <is>
          <t>Нежилое помещение</t>
        </is>
      </c>
      <c r="Q555" t="inlineStr">
        <is>
          <t>EA</t>
        </is>
      </c>
      <c r="R555" t="inlineStr">
        <is>
          <t>М</t>
        </is>
      </c>
      <c r="U555" t="inlineStr">
        <is>
          <t>69:19:0070113:483</t>
        </is>
      </c>
      <c r="V555" t="n">
        <v>1</v>
      </c>
      <c r="Y555" t="n">
        <v>0</v>
      </c>
      <c r="AA555" t="n">
        <v>0</v>
      </c>
      <c r="AB555" t="n">
        <v>0</v>
      </c>
    </row>
    <row r="556">
      <c r="A556" s="7" t="n">
        <v>554</v>
      </c>
      <c r="B556" t="n">
        <v>69</v>
      </c>
      <c r="C556" s="1" t="n">
        <v>36.5</v>
      </c>
      <c r="D556" s="2">
        <f>HYPERLINK("https://torgi.gov.ru/new/public/lots/lot/22000038240000000001_1/(lotInfo:info)", "22000038240000000001_1")</f>
        <v/>
      </c>
      <c r="E556" t="inlineStr">
        <is>
          <t>нежилое помещение, общей площадью 36,5 кв.м., кадастровый номер 69:19:0070113:479, расположенное по адресу: Тверская область, г. Лихославль, пер. Привокзальный, д. 7, пом. IV</t>
        </is>
      </c>
      <c r="F556" s="3" t="inlineStr">
        <is>
          <t>12.04.22 07:00</t>
        </is>
      </c>
      <c r="G556" t="inlineStr">
        <is>
          <t>Тверская обл, г Лихославль, Привокзальный пер, д 7</t>
        </is>
      </c>
      <c r="H556" s="4" t="n">
        <v>630000</v>
      </c>
      <c r="I556" s="4" t="n">
        <v>17260.27397260274</v>
      </c>
      <c r="J556" t="inlineStr">
        <is>
          <t>Нежилое помещение</t>
        </is>
      </c>
      <c r="K556" s="5" t="n">
        <v>6.93</v>
      </c>
      <c r="L556" s="4" t="n">
        <v>595.17</v>
      </c>
      <c r="M556" t="n">
        <v>2490</v>
      </c>
      <c r="N556" s="6" t="n">
        <v>11790</v>
      </c>
      <c r="O556" t="n">
        <v>29</v>
      </c>
      <c r="Q556" t="inlineStr">
        <is>
          <t>EA</t>
        </is>
      </c>
      <c r="R556" t="inlineStr">
        <is>
          <t>М</t>
        </is>
      </c>
      <c r="S556" s="2">
        <f>HYPERLINK("https://yandex.ru/maps/?&amp;text=57.124472, 35.459963", "57.124472, 35.459963")</f>
        <v/>
      </c>
      <c r="T556" s="2">
        <f>HYPERLINK("D:\venv_torgi\env\cache\objs_in_district/57.124472_35.459963.json", "57.124472_35.459963.json")</f>
        <v/>
      </c>
      <c r="U556" t="inlineStr">
        <is>
          <t xml:space="preserve">69:19:0070113:479, </t>
        </is>
      </c>
      <c r="V556" t="n">
        <v>1</v>
      </c>
      <c r="Y556" t="n">
        <v>0</v>
      </c>
      <c r="AA556" t="n">
        <v>0</v>
      </c>
      <c r="AB556" t="n">
        <v>0</v>
      </c>
    </row>
    <row r="557">
      <c r="A557" s="7" t="n">
        <v>555</v>
      </c>
      <c r="B557" t="n">
        <v>69</v>
      </c>
      <c r="C557" s="1" t="n">
        <v>12.5</v>
      </c>
      <c r="D557" s="2">
        <f>HYPERLINK("https://torgi.gov.ru/new/public/lots/lot/21000014400000000003_9/(lotInfo:info)", "21000014400000000003_9")</f>
        <v/>
      </c>
      <c r="E557" t="inlineStr">
        <is>
          <t>Нежилое помещение на первом этаже пятиэтажного жилого дома</t>
        </is>
      </c>
      <c r="F557" s="3" t="inlineStr">
        <is>
          <t>05.04.22 14:00</t>
        </is>
      </c>
      <c r="G557" t="inlineStr">
        <is>
          <t>г Тверь, пр-кт Николая Корыткова, д 14</t>
        </is>
      </c>
      <c r="H557" s="4" t="n">
        <v>216570</v>
      </c>
      <c r="I557" s="4" t="n">
        <v>17325.6</v>
      </c>
      <c r="J557" t="inlineStr">
        <is>
          <t>Нежилое помещение</t>
        </is>
      </c>
      <c r="K557" s="5" t="n">
        <v>9.48</v>
      </c>
      <c r="M557" t="n">
        <v>1828</v>
      </c>
      <c r="N557" s="6" t="n">
        <v>426217</v>
      </c>
      <c r="Q557" t="inlineStr">
        <is>
          <t>EA</t>
        </is>
      </c>
      <c r="R557" t="inlineStr">
        <is>
          <t>М</t>
        </is>
      </c>
      <c r="S557" s="2">
        <f>HYPERLINK("https://yandex.ru/maps/?&amp;text=56.846829, 35.810926", "56.846829, 35.810926")</f>
        <v/>
      </c>
      <c r="U557" t="inlineStr">
        <is>
          <t>69:40:0300008:121</t>
        </is>
      </c>
      <c r="V557" t="n">
        <v>1</v>
      </c>
      <c r="Y557" t="n">
        <v>0</v>
      </c>
      <c r="AA557" t="n">
        <v>0</v>
      </c>
      <c r="AB557" t="n">
        <v>0</v>
      </c>
    </row>
    <row r="558">
      <c r="A558" s="7" t="n">
        <v>556</v>
      </c>
      <c r="B558" t="n">
        <v>69</v>
      </c>
      <c r="C558" s="1" t="n">
        <v>33.7</v>
      </c>
      <c r="D558" s="2">
        <f>HYPERLINK("https://torgi.gov.ru/new/public/lots/lot/21000014400000000005_5/(lotInfo:info)", "21000014400000000005_5")</f>
        <v/>
      </c>
      <c r="E558" t="inlineStr">
        <is>
          <t>Нежилое помещение на втором этаже пятиэтажного жилого дома</t>
        </is>
      </c>
      <c r="F558" s="3" t="inlineStr">
        <is>
          <t>19.05.22 14:00</t>
        </is>
      </c>
      <c r="G558" t="inlineStr">
        <is>
          <t>г Тверь, ул Орджоникидзе, д 25б</t>
        </is>
      </c>
      <c r="H558" s="4" t="n">
        <v>587458</v>
      </c>
      <c r="I558" s="4" t="n">
        <v>17431.9881305638</v>
      </c>
      <c r="J558" t="inlineStr">
        <is>
          <t>Нежилое помещение</t>
        </is>
      </c>
      <c r="K558" s="5" t="n">
        <v>2.43</v>
      </c>
      <c r="L558" s="4" t="n">
        <v>193.68</v>
      </c>
      <c r="M558" t="n">
        <v>7173</v>
      </c>
      <c r="N558" s="6" t="n">
        <v>426217</v>
      </c>
      <c r="O558" t="n">
        <v>90</v>
      </c>
      <c r="Q558" t="inlineStr">
        <is>
          <t>EA</t>
        </is>
      </c>
      <c r="R558" t="inlineStr">
        <is>
          <t>М</t>
        </is>
      </c>
      <c r="S558" s="2">
        <f>HYPERLINK("https://yandex.ru/maps/?&amp;text=56.839527, 35.93424", "56.839527, 35.93424")</f>
        <v/>
      </c>
      <c r="T558" s="2">
        <f>HYPERLINK("D:\venv_torgi\env\cache\objs_in_district/56.839527_35.93424.json", "56.839527_35.93424.json")</f>
        <v/>
      </c>
      <c r="U558" t="inlineStr">
        <is>
          <t>69:40:0200022:217</t>
        </is>
      </c>
      <c r="V558" t="n">
        <v>2</v>
      </c>
      <c r="Y558" t="n">
        <v>0</v>
      </c>
      <c r="AA558" t="n">
        <v>0</v>
      </c>
      <c r="AB558" t="n">
        <v>0</v>
      </c>
    </row>
    <row r="559">
      <c r="A559" s="7" t="n">
        <v>557</v>
      </c>
      <c r="B559" t="n">
        <v>69</v>
      </c>
      <c r="C559" s="1" t="n">
        <v>73.2</v>
      </c>
      <c r="D559" s="2">
        <f>HYPERLINK("https://torgi.gov.ru/new/public/lots/lot/22000007080000000003_1/(lotInfo:info)", "22000007080000000003_1")</f>
        <v/>
      </c>
      <c r="E559" t="inlineStr">
        <is>
          <t>нежилое помещение</t>
        </is>
      </c>
      <c r="F559" s="3" t="inlineStr">
        <is>
          <t>09.03.22 14:00</t>
        </is>
      </c>
      <c r="G559" t="inlineStr">
        <is>
          <t>Тверская обл, г Торжок, ул Красноармейская, д 2</t>
        </is>
      </c>
      <c r="H559" s="4" t="n">
        <v>1575044</v>
      </c>
      <c r="I559" s="4" t="n">
        <v>21516.99453551913</v>
      </c>
      <c r="J559" t="inlineStr">
        <is>
          <t>Нежилое помещение</t>
        </is>
      </c>
      <c r="K559" s="5" t="n">
        <v>8.94</v>
      </c>
      <c r="L559" s="4" t="n">
        <v>768.4299999999999</v>
      </c>
      <c r="M559" t="n">
        <v>2406</v>
      </c>
      <c r="N559" s="6" t="n">
        <v>45371</v>
      </c>
      <c r="O559" t="n">
        <v>28</v>
      </c>
      <c r="Q559" t="inlineStr">
        <is>
          <t>EA</t>
        </is>
      </c>
      <c r="R559" t="inlineStr">
        <is>
          <t>М</t>
        </is>
      </c>
      <c r="S559" s="2">
        <f>HYPERLINK("https://yandex.ru/maps/?&amp;text=57.03673, 34.96913", "57.03673, 34.96913")</f>
        <v/>
      </c>
      <c r="T559" s="2">
        <f>HYPERLINK("D:\venv_torgi\env\cache\objs_in_district/57.03673_34.96913.json", "57.03673_34.96913.json")</f>
        <v/>
      </c>
      <c r="V559" t="n">
        <v>0</v>
      </c>
      <c r="Y559" t="n">
        <v>0</v>
      </c>
      <c r="AA559" t="n">
        <v>0</v>
      </c>
      <c r="AB559" t="n">
        <v>0</v>
      </c>
    </row>
    <row r="560">
      <c r="A560" s="7" t="n">
        <v>558</v>
      </c>
      <c r="B560" t="n">
        <v>69</v>
      </c>
      <c r="C560" s="1" t="n">
        <v>84.8</v>
      </c>
      <c r="D560" s="2">
        <f>HYPERLINK("https://torgi.gov.ru/new/public/lots/lot/21000035450000000001_1/(lotInfo:info)", "21000035450000000001_1")</f>
        <v/>
      </c>
      <c r="E560" t="inlineStr">
        <is>
          <t>этаж 1, общей площадью 84,8 кв.м., кадастровый номер 69:42:0070806:690</t>
        </is>
      </c>
      <c r="F560" s="3" t="inlineStr">
        <is>
          <t>26.02.22 14:00</t>
        </is>
      </c>
      <c r="G560" t="inlineStr">
        <is>
          <t>Тверская обл, г Кимры, ул Орджоникидзе, д 34</t>
        </is>
      </c>
      <c r="H560" s="4" t="n">
        <v>2570000</v>
      </c>
      <c r="I560" s="4" t="n">
        <v>30306.60377358491</v>
      </c>
      <c r="J560" t="inlineStr">
        <is>
          <t>Нежилое помещение</t>
        </is>
      </c>
      <c r="K560" s="5" t="n">
        <v>14.75</v>
      </c>
      <c r="L560" s="4" t="n">
        <v>2164.71</v>
      </c>
      <c r="M560" t="n">
        <v>2055</v>
      </c>
      <c r="N560" s="6" t="n">
        <v>44743</v>
      </c>
      <c r="O560" t="n">
        <v>14</v>
      </c>
      <c r="Q560" t="inlineStr">
        <is>
          <t>EA</t>
        </is>
      </c>
      <c r="R560" t="inlineStr">
        <is>
          <t>М</t>
        </is>
      </c>
      <c r="S560" s="2">
        <f>HYPERLINK("https://yandex.ru/maps/?&amp;text=56.862625, 37.35082", "56.862625, 37.35082")</f>
        <v/>
      </c>
      <c r="T560" s="2">
        <f>HYPERLINK("D:\venv_torgi\env\cache\objs_in_district/56.862625_37.35082.json", "56.862625_37.35082.json")</f>
        <v/>
      </c>
      <c r="U560" t="inlineStr">
        <is>
          <t>69:42:0070806:690</t>
        </is>
      </c>
      <c r="V560" t="n">
        <v>1</v>
      </c>
      <c r="Y560" t="n">
        <v>0</v>
      </c>
      <c r="AA560" t="n">
        <v>0</v>
      </c>
      <c r="AB560" t="n">
        <v>0</v>
      </c>
    </row>
    <row r="561">
      <c r="A561" s="7" t="n">
        <v>559</v>
      </c>
      <c r="B561" t="n">
        <v>69</v>
      </c>
      <c r="C561" s="1" t="n">
        <v>71.5</v>
      </c>
      <c r="D561" s="2">
        <f>HYPERLINK("https://torgi.gov.ru/new/public/lots/lot/21000014400000000005_10/(lotInfo:info)", "21000014400000000005_10")</f>
        <v/>
      </c>
      <c r="E561" t="inlineStr">
        <is>
          <t>Нежилое помещение на первом этаже пятиэтажного жилого дома</t>
        </is>
      </c>
      <c r="F561" s="3" t="inlineStr">
        <is>
          <t>19.05.22 14:00</t>
        </is>
      </c>
      <c r="G561" t="inlineStr">
        <is>
          <t>г Тверь, ул Учительская, д 13/34</t>
        </is>
      </c>
      <c r="H561" s="4" t="n">
        <v>2251349.1</v>
      </c>
      <c r="I561" s="4" t="n">
        <v>31487.4</v>
      </c>
      <c r="J561" t="inlineStr">
        <is>
          <t>Нежилое помещение</t>
        </is>
      </c>
      <c r="K561" s="5" t="n">
        <v>3.51</v>
      </c>
      <c r="L561" s="4" t="n">
        <v>899.63</v>
      </c>
      <c r="M561" t="n">
        <v>8967</v>
      </c>
      <c r="N561" s="6" t="n">
        <v>426217</v>
      </c>
      <c r="O561" t="n">
        <v>35</v>
      </c>
      <c r="Q561" t="inlineStr">
        <is>
          <t>EA</t>
        </is>
      </c>
      <c r="R561" t="inlineStr">
        <is>
          <t>М</t>
        </is>
      </c>
      <c r="S561" s="2">
        <f>HYPERLINK("https://yandex.ru/maps/?&amp;text=56.860029, 35.886142", "56.860029, 35.886142")</f>
        <v/>
      </c>
      <c r="T561" s="2">
        <f>HYPERLINK("D:\venv_torgi\env\cache\objs_in_district/56.860029_35.886142.json", "56.860029_35.886142.json")</f>
        <v/>
      </c>
      <c r="U561" t="inlineStr">
        <is>
          <t>69:40:0400020:61</t>
        </is>
      </c>
      <c r="V561" t="n">
        <v>1</v>
      </c>
      <c r="Y561" t="n">
        <v>0</v>
      </c>
      <c r="AA561" t="n">
        <v>0</v>
      </c>
      <c r="AB561" t="n">
        <v>0</v>
      </c>
    </row>
    <row r="562">
      <c r="A562" s="7" t="n">
        <v>560</v>
      </c>
      <c r="B562" t="n">
        <v>69</v>
      </c>
      <c r="C562" s="1" t="n">
        <v>72.8</v>
      </c>
      <c r="D562" s="2">
        <f>HYPERLINK("https://torgi.gov.ru/new/public/lots/lot/22000009580000000001_1/(lotInfo:info)", "22000009580000000001_1")</f>
        <v/>
      </c>
      <c r="E562" t="inlineStr">
        <is>
          <t>нежилое помещение I, общей площадью 72,8 кв.м. с кадастровым номером 69:46:0070230:304, расположенное по адресу: Тверская область, город Ржев, Ленинградское шоссе, д.52, пом.1.</t>
        </is>
      </c>
      <c r="F562" s="3" t="inlineStr">
        <is>
          <t>10.06.22 14:00</t>
        </is>
      </c>
      <c r="G562" t="inlineStr">
        <is>
          <t>Тверская обл, г Ржев, Ленинградское шоссе, д 52</t>
        </is>
      </c>
      <c r="H562" s="4" t="n">
        <v>2911125</v>
      </c>
      <c r="I562" s="4" t="n">
        <v>39987.98076923077</v>
      </c>
      <c r="J562" t="inlineStr">
        <is>
          <t>Нежилое помещение</t>
        </is>
      </c>
      <c r="K562" s="5" t="n">
        <v>9.539999999999999</v>
      </c>
      <c r="L562" s="4" t="n">
        <v>1378.86</v>
      </c>
      <c r="M562" t="n">
        <v>4191</v>
      </c>
      <c r="N562" s="6" t="n">
        <v>59422</v>
      </c>
      <c r="O562" t="n">
        <v>29</v>
      </c>
      <c r="Q562" t="inlineStr">
        <is>
          <t>EA</t>
        </is>
      </c>
      <c r="R562" t="inlineStr">
        <is>
          <t>М</t>
        </is>
      </c>
      <c r="S562" s="2">
        <f>HYPERLINK("https://yandex.ru/maps/?&amp;text=56.269581, 34.328391", "56.269581, 34.328391")</f>
        <v/>
      </c>
      <c r="T562" s="2">
        <f>HYPERLINK("D:\venv_torgi\env\cache\objs_in_district/56.269581_34.328391.json", "56.269581_34.328391.json")</f>
        <v/>
      </c>
      <c r="U562" t="inlineStr">
        <is>
          <t xml:space="preserve">69:46:0070230:304, </t>
        </is>
      </c>
      <c r="V562" t="n">
        <v>0</v>
      </c>
      <c r="Y562" t="n">
        <v>0</v>
      </c>
      <c r="AA562" t="n">
        <v>0</v>
      </c>
      <c r="AB562" t="n">
        <v>0</v>
      </c>
    </row>
    <row r="563">
      <c r="A563" s="7" t="n">
        <v>561</v>
      </c>
      <c r="B563" t="n">
        <v>69</v>
      </c>
      <c r="C563" s="1" t="n">
        <v>89.8</v>
      </c>
      <c r="D563" s="2">
        <f>HYPERLINK("https://torgi.gov.ru/new/public/lots/lot/21000014400000000011_5/(lotInfo:info)", "21000014400000000011_5")</f>
        <v/>
      </c>
      <c r="E563" t="inlineStr">
        <is>
          <t>нежилое помещение на первом этаже пятиэтажного жилого дома</t>
        </is>
      </c>
      <c r="F563" s="3" t="inlineStr">
        <is>
          <t>19.07.22 14:00</t>
        </is>
      </c>
      <c r="G563" t="inlineStr">
        <is>
          <t>г Тверь, ул Орджоникидзе, д 53 к 3</t>
        </is>
      </c>
      <c r="H563" s="4" t="n">
        <v>3718259</v>
      </c>
      <c r="I563" s="4" t="n">
        <v>41406.00222717149</v>
      </c>
      <c r="J563" t="inlineStr">
        <is>
          <t>Нежилое помещение</t>
        </is>
      </c>
      <c r="K563" s="5" t="n">
        <v>5.35</v>
      </c>
      <c r="L563" s="4" t="n">
        <v>900.13</v>
      </c>
      <c r="M563" t="n">
        <v>7737</v>
      </c>
      <c r="N563" s="6" t="n">
        <v>426217</v>
      </c>
      <c r="O563" t="n">
        <v>46</v>
      </c>
      <c r="Q563" t="inlineStr">
        <is>
          <t>EA</t>
        </is>
      </c>
      <c r="R563" t="inlineStr">
        <is>
          <t>М</t>
        </is>
      </c>
      <c r="S563" s="2">
        <f>HYPERLINK("https://yandex.ru/maps/?&amp;text=56.830615, 35.924491", "56.830615, 35.924491")</f>
        <v/>
      </c>
      <c r="T563" s="2">
        <f>HYPERLINK("D:\venv_torgi\env\cache\objs_in_district/56.830615_35.924491.json", "56.830615_35.924491.json")</f>
        <v/>
      </c>
      <c r="U563" t="inlineStr">
        <is>
          <t>69:40:0200044:270</t>
        </is>
      </c>
      <c r="V563" t="n">
        <v>1</v>
      </c>
      <c r="Y563" t="n">
        <v>0</v>
      </c>
      <c r="AA563" t="n">
        <v>0</v>
      </c>
      <c r="AB563" t="n">
        <v>0</v>
      </c>
    </row>
    <row r="564">
      <c r="A564" s="7" t="n">
        <v>562</v>
      </c>
      <c r="B564" t="n">
        <v>69</v>
      </c>
      <c r="C564" s="1" t="n">
        <v>64.59999999999999</v>
      </c>
      <c r="D564" s="2">
        <f>HYPERLINK("https://torgi.gov.ru/new/public/lots/lot/21000007870000000002_1/(lotInfo:info)", "21000007870000000002_1")</f>
        <v/>
      </c>
      <c r="E564" t="inlineStr">
        <is>
          <t>Административное здание, назначение: нежилое, площадь 64,6 кв.м., кадастровый № 69:15:0242601:255, расположенное по адресу: Тверская область, Конаковский район, Козловское сельское поселение, д.Синцово, д.40 и земельный участок из земель особо охраняемых территорий, категория земель: земли населенных пунктов, вид разрешенного использования: для общественно-деловых целей, площадь 1500 кв.м., кадастровый номер: 69:15:0242601:131, по адресу: Тверская область, Конаковский район, Козловское сельское</t>
        </is>
      </c>
      <c r="F564" s="3" t="inlineStr">
        <is>
          <t>27.06.22 07:00</t>
        </is>
      </c>
      <c r="G564" t="inlineStr">
        <is>
          <t>Тверская обл, Конаковский р-н, деревня Синцово, зд 40</t>
        </is>
      </c>
      <c r="H564" s="4" t="n">
        <v>2920800</v>
      </c>
      <c r="I564" s="4" t="n">
        <v>45213.62229102167</v>
      </c>
      <c r="J564" t="inlineStr">
        <is>
          <t>Административное здание</t>
        </is>
      </c>
      <c r="K564" s="5" t="n">
        <v>779.53</v>
      </c>
      <c r="L564" s="4" t="n">
        <v>45213</v>
      </c>
      <c r="M564" t="n">
        <v>58</v>
      </c>
      <c r="O564" t="n">
        <v>1</v>
      </c>
      <c r="Q564" t="inlineStr">
        <is>
          <t>EA</t>
        </is>
      </c>
      <c r="R564" t="inlineStr">
        <is>
          <t>М</t>
        </is>
      </c>
      <c r="S564" s="2">
        <f>HYPERLINK("https://yandex.ru/maps/?&amp;text=56.428722, 36.065472", "56.428722, 36.065472")</f>
        <v/>
      </c>
      <c r="T564" s="2">
        <f>HYPERLINK("D:\venv_torgi\env\cache\objs_in_district/56.428722_36.065472.json", "56.428722_36.065472.json")</f>
        <v/>
      </c>
      <c r="U564" t="inlineStr">
        <is>
          <t xml:space="preserve">69:15:0242601:255, </t>
        </is>
      </c>
      <c r="V564" t="n">
        <v>1</v>
      </c>
      <c r="Y564" t="n">
        <v>0</v>
      </c>
      <c r="AA564" t="n">
        <v>0</v>
      </c>
      <c r="AB564" t="n">
        <v>1</v>
      </c>
    </row>
    <row r="565">
      <c r="A565" s="7" t="n">
        <v>563</v>
      </c>
      <c r="B565" t="n">
        <v>70</v>
      </c>
      <c r="C565" s="1" t="n">
        <v>62.9</v>
      </c>
      <c r="D565" s="2">
        <f>HYPERLINK("https://torgi.gov.ru/new/public/lots/lot/21000012290000000007_4/(lotInfo:info)", "21000012290000000007_4")</f>
        <v/>
      </c>
      <c r="E565" t="inlineStr">
        <is>
          <t>Общая площадь 62,90 кв.м.Год постройки: 1955; фундамент бетонный; стены деревянные; имеется отопление, водопровод канализация, электроснабжение</t>
        </is>
      </c>
      <c r="F565" s="3" t="inlineStr">
        <is>
          <t>01.07.22 06:00</t>
        </is>
      </c>
      <c r="G565" t="inlineStr">
        <is>
          <t>Томская обл, г Северск, ул Советская, д 9</t>
        </is>
      </c>
      <c r="H565" s="4" t="n">
        <v>776000</v>
      </c>
      <c r="I565" s="4" t="n">
        <v>12337.04292527822</v>
      </c>
      <c r="J565" t="inlineStr">
        <is>
          <t>Нежилое помещение</t>
        </is>
      </c>
      <c r="K565" s="5" t="n">
        <v>3.46</v>
      </c>
      <c r="L565" s="4" t="n">
        <v>1233.7</v>
      </c>
      <c r="M565" t="n">
        <v>3569</v>
      </c>
      <c r="N565" s="6" t="n">
        <v>113301</v>
      </c>
      <c r="O565" t="n">
        <v>10</v>
      </c>
      <c r="Q565" t="inlineStr">
        <is>
          <t>EA</t>
        </is>
      </c>
      <c r="R565" t="inlineStr">
        <is>
          <t>М</t>
        </is>
      </c>
      <c r="S565" s="2">
        <f>HYPERLINK("https://yandex.ru/maps/?&amp;text=56.606663, 84.8876", "56.606663, 84.8876")</f>
        <v/>
      </c>
      <c r="T565" s="2">
        <f>HYPERLINK("D:\venv_torgi\env\cache\objs_in_district/56.606663_84.8876.json", "56.606663_84.8876.json")</f>
        <v/>
      </c>
      <c r="U565" t="inlineStr">
        <is>
          <t>70:22:0010103:4116</t>
        </is>
      </c>
      <c r="V565" t="n">
        <v>1</v>
      </c>
      <c r="Y565" t="n">
        <v>0</v>
      </c>
      <c r="AA565" t="n">
        <v>0</v>
      </c>
      <c r="AB565" t="n">
        <v>0</v>
      </c>
    </row>
    <row r="566">
      <c r="A566" s="7" t="n">
        <v>564</v>
      </c>
      <c r="B566" t="n">
        <v>71</v>
      </c>
      <c r="C566" s="1" t="n">
        <v>59.9</v>
      </c>
      <c r="D566" s="2">
        <f>HYPERLINK("https://torgi.gov.ru/new/public/lots/lot/21000009850000000003_1/(lotInfo:info)", "21000009850000000003_1")</f>
        <v/>
      </c>
      <c r="E566" t="inlineStr">
        <is>
          <t>нежилого помещения с кадастровым номером 71:16:020203:282, площадью 59,9 кв.м., расположенного по адресу: Тульская область, Одоевский район, д. Ченцовы Дворы, ул. Садовая, д. 8, пом. 2.</t>
        </is>
      </c>
      <c r="F566" s="3" t="inlineStr">
        <is>
          <t>27.06.22 06:00</t>
        </is>
      </c>
      <c r="G566" t="inlineStr">
        <is>
          <t>Тульская обл, Одоевский р-н, деревня Ченцовы Дворы, ул Садовая, д 8</t>
        </is>
      </c>
      <c r="H566" s="4" t="n">
        <v>186000</v>
      </c>
      <c r="I566" s="4" t="n">
        <v>3105.175292153589</v>
      </c>
      <c r="J566" t="inlineStr">
        <is>
          <t>Нежилое помещение</t>
        </is>
      </c>
      <c r="K566" s="5" t="n">
        <v>24.07</v>
      </c>
      <c r="M566" t="n">
        <v>129</v>
      </c>
      <c r="N566" s="6" t="n">
        <v>180</v>
      </c>
      <c r="Q566" t="inlineStr">
        <is>
          <t>EA</t>
        </is>
      </c>
      <c r="R566" t="inlineStr">
        <is>
          <t>М</t>
        </is>
      </c>
      <c r="S566" s="2">
        <f>HYPERLINK("https://yandex.ru/maps/?&amp;text=53.921017, 37.002253", "53.921017, 37.002253")</f>
        <v/>
      </c>
      <c r="U566" t="inlineStr">
        <is>
          <t xml:space="preserve">71:16:020203:282, </t>
        </is>
      </c>
      <c r="V566" t="n">
        <v>0</v>
      </c>
      <c r="Y566" t="n">
        <v>0</v>
      </c>
      <c r="AA566" t="n">
        <v>0</v>
      </c>
      <c r="AB566" t="n">
        <v>0</v>
      </c>
    </row>
    <row r="567">
      <c r="A567" s="7" t="n">
        <v>565</v>
      </c>
      <c r="B567" t="n">
        <v>71</v>
      </c>
      <c r="C567" s="1" t="n">
        <v>256.1</v>
      </c>
      <c r="D567" s="2">
        <f>HYPERLINK("https://torgi.gov.ru/new/public/lots/lot/21000018800000000001_2/(lotInfo:info)", "21000018800000000001_2")</f>
        <v/>
      </c>
      <c r="E567" t="inlineStr">
        <is>
          <t>Нежилое помещение, этаж № 3, кадастровый номер: 71:30:070707:1257 площадью 256,1 кв.м</t>
        </is>
      </c>
      <c r="F567" s="3" t="inlineStr">
        <is>
          <t>21.03.22 14:00</t>
        </is>
      </c>
      <c r="G567" t="inlineStr">
        <is>
          <t>г Тула, поселок Косая Гора, ул М.Горького, д 15а</t>
        </is>
      </c>
      <c r="H567" s="4" t="n">
        <v>1100000</v>
      </c>
      <c r="I567" s="4" t="n">
        <v>4295.197188598204</v>
      </c>
      <c r="J567" t="inlineStr">
        <is>
          <t>Нежилое помещение</t>
        </is>
      </c>
      <c r="K567" s="5" t="n">
        <v>1.41</v>
      </c>
      <c r="L567" s="4" t="n">
        <v>134.22</v>
      </c>
      <c r="M567" t="n">
        <v>3048</v>
      </c>
      <c r="N567" s="6" t="n">
        <v>605045</v>
      </c>
      <c r="O567" t="n">
        <v>32</v>
      </c>
      <c r="Q567" t="inlineStr">
        <is>
          <t>PP</t>
        </is>
      </c>
      <c r="R567" t="inlineStr">
        <is>
          <t>М</t>
        </is>
      </c>
      <c r="S567" s="2">
        <f>HYPERLINK("https://yandex.ru/maps/?&amp;text=54.116062, 37.538386", "54.116062, 37.538386")</f>
        <v/>
      </c>
      <c r="T567" s="2">
        <f>HYPERLINK("D:\venv_torgi\env\cache\objs_in_district/54.116062_37.538386.json", "54.116062_37.538386.json")</f>
        <v/>
      </c>
      <c r="U567" t="inlineStr">
        <is>
          <t xml:space="preserve">71:30:070707:1257 </t>
        </is>
      </c>
      <c r="V567" t="n">
        <v>3</v>
      </c>
      <c r="Y567" t="n">
        <v>0</v>
      </c>
      <c r="AA567" t="n">
        <v>0</v>
      </c>
      <c r="AB567" t="n">
        <v>0</v>
      </c>
    </row>
    <row r="568">
      <c r="A568" s="7" t="n">
        <v>566</v>
      </c>
      <c r="B568" t="n">
        <v>71</v>
      </c>
      <c r="C568" s="1" t="n">
        <v>29.8</v>
      </c>
      <c r="D568" s="2">
        <f>HYPERLINK("https://torgi.gov.ru/new/public/lots/lot/22000005610000000001_2/(lotInfo:info)", "22000005610000000001_2")</f>
        <v/>
      </c>
      <c r="E568" t="inlineStr">
        <is>
          <t>Нежилое помещение площадью 29,8 кв.м с кадастровым номером 71:05:050203:214, расположенное по адресу: Тульская область, Веневский район, п. Рассвет, ул. Центральная, д. 4, кв. 5.</t>
        </is>
      </c>
      <c r="F568" s="3" t="inlineStr">
        <is>
          <t>19.08.22 14:00</t>
        </is>
      </c>
      <c r="G568" t="inlineStr">
        <is>
          <t>Тульская обл, Веневский р-н, поселок Рассвет, ул Центральная, д 4</t>
        </is>
      </c>
      <c r="H568" s="4" t="n">
        <v>146000</v>
      </c>
      <c r="I568" s="4" t="n">
        <v>4899.328859060402</v>
      </c>
      <c r="J568" t="inlineStr">
        <is>
          <t>Нежилое помещение</t>
        </is>
      </c>
      <c r="K568" s="5" t="n">
        <v>85.95</v>
      </c>
      <c r="L568" s="4" t="inlineStr"/>
      <c r="M568" t="n">
        <v>57</v>
      </c>
      <c r="O568" t="inlineStr"/>
      <c r="Q568" t="inlineStr">
        <is>
          <t>EA</t>
        </is>
      </c>
      <c r="R568" t="inlineStr">
        <is>
          <t>М</t>
        </is>
      </c>
      <c r="S568" s="2">
        <f>HYPERLINK("https://yandex.ru/maps/?&amp;text=54.304973, 38.14677", "54.304973, 38.14677")</f>
        <v/>
      </c>
      <c r="T568" s="8">
        <f>HYPERLINK("D:\venv_torgi\env\cache\objs_in_district/54.304973_38.14677.json", "54.304973_38.14677.json")</f>
        <v/>
      </c>
      <c r="U568" t="inlineStr">
        <is>
          <t xml:space="preserve">71:05:050203:214, </t>
        </is>
      </c>
      <c r="V568" t="n">
        <v>2</v>
      </c>
      <c r="Y568" t="n">
        <v>0</v>
      </c>
      <c r="AA568" t="n">
        <v>0</v>
      </c>
      <c r="AB568" t="n">
        <v>0</v>
      </c>
    </row>
    <row r="569">
      <c r="A569" s="7" t="n">
        <v>567</v>
      </c>
      <c r="B569" t="n">
        <v>71</v>
      </c>
      <c r="C569" s="1" t="n">
        <v>30.1</v>
      </c>
      <c r="D569" s="2">
        <f>HYPERLINK("https://torgi.gov.ru/new/public/lots/lot/22000005610000000001_3/(lotInfo:info)", "22000005610000000001_3")</f>
        <v/>
      </c>
      <c r="E569" t="inlineStr">
        <is>
          <t>Нежилое помещение площадью 30,1 кв.м с кадастровым номером 71:05:050203:216, расположенное по адресу: Тульская область, Веневский район, п. Рассвет, ул. Центральная, д. 4, кв. 7</t>
        </is>
      </c>
      <c r="F569" s="3" t="inlineStr">
        <is>
          <t>19.08.22 14:00</t>
        </is>
      </c>
      <c r="G569" t="inlineStr">
        <is>
          <t>Тульская обл, Веневский р-н, поселок Рассвет, ул Центральная, д 4</t>
        </is>
      </c>
      <c r="H569" s="4" t="n">
        <v>148000</v>
      </c>
      <c r="I569" s="4" t="n">
        <v>4916.943521594684</v>
      </c>
      <c r="J569" t="inlineStr">
        <is>
          <t>Нежилое помещение</t>
        </is>
      </c>
      <c r="K569" s="5" t="n">
        <v>86.25</v>
      </c>
      <c r="L569" s="4" t="inlineStr"/>
      <c r="M569" t="n">
        <v>57</v>
      </c>
      <c r="O569" t="inlineStr"/>
      <c r="Q569" t="inlineStr">
        <is>
          <t>EA</t>
        </is>
      </c>
      <c r="R569" t="inlineStr">
        <is>
          <t>М</t>
        </is>
      </c>
      <c r="S569" s="2">
        <f>HYPERLINK("https://yandex.ru/maps/?&amp;text=54.304973, 38.14677", "54.304973, 38.14677")</f>
        <v/>
      </c>
      <c r="T569" s="8">
        <f>HYPERLINK("D:\venv_torgi\env\cache\objs_in_district/54.304973_38.14677.json", "54.304973_38.14677.json")</f>
        <v/>
      </c>
      <c r="U569" t="inlineStr">
        <is>
          <t xml:space="preserve">71:05:050203:216, </t>
        </is>
      </c>
      <c r="V569" t="n">
        <v>2</v>
      </c>
      <c r="Y569" t="n">
        <v>0</v>
      </c>
      <c r="AA569" t="n">
        <v>0</v>
      </c>
      <c r="AB569" t="n">
        <v>0</v>
      </c>
    </row>
    <row r="570">
      <c r="A570" s="7" t="n">
        <v>568</v>
      </c>
      <c r="B570" t="n">
        <v>71</v>
      </c>
      <c r="C570" s="1" t="n">
        <v>29.8</v>
      </c>
      <c r="D570" s="2">
        <f>HYPERLINK("https://torgi.gov.ru/new/public/lots/lot/22000005610000000001_1/(lotInfo:info)", "22000005610000000001_1")</f>
        <v/>
      </c>
      <c r="E570" t="inlineStr">
        <is>
          <t>Нежилое помещение площадью 29,8 кв.м с кадастровым номером 71:05:050203:210, расположенное по адресу: Тульская область, Веневский район, п.Рассвет, ул.Центральная, д.4, кв.1.</t>
        </is>
      </c>
      <c r="F570" s="3" t="inlineStr">
        <is>
          <t>19.08.22 14:00</t>
        </is>
      </c>
      <c r="G570" t="inlineStr">
        <is>
          <t>Тульская обл, Веневский р-н, поселок Рассвет, ул Центральная, д 4</t>
        </is>
      </c>
      <c r="H570" s="4" t="n">
        <v>161000</v>
      </c>
      <c r="I570" s="4" t="n">
        <v>5402.684563758389</v>
      </c>
      <c r="J570" t="inlineStr">
        <is>
          <t>Нежилое помещение</t>
        </is>
      </c>
      <c r="K570" s="5" t="n">
        <v>94.77</v>
      </c>
      <c r="L570" s="4" t="inlineStr"/>
      <c r="M570" t="n">
        <v>57</v>
      </c>
      <c r="O570" t="inlineStr"/>
      <c r="Q570" t="inlineStr">
        <is>
          <t>EA</t>
        </is>
      </c>
      <c r="R570" t="inlineStr">
        <is>
          <t>М</t>
        </is>
      </c>
      <c r="S570" s="2">
        <f>HYPERLINK("https://yandex.ru/maps/?&amp;text=54.304973, 38.14677", "54.304973, 38.14677")</f>
        <v/>
      </c>
      <c r="T570" s="8">
        <f>HYPERLINK("D:\venv_torgi\env\cache\objs_in_district/54.304973_38.14677.json", "54.304973_38.14677.json")</f>
        <v/>
      </c>
      <c r="U570" t="inlineStr">
        <is>
          <t xml:space="preserve">71:05:050203:210, </t>
        </is>
      </c>
      <c r="V570" t="n">
        <v>1</v>
      </c>
      <c r="Y570" t="n">
        <v>0</v>
      </c>
      <c r="AA570" t="n">
        <v>0</v>
      </c>
      <c r="AB570" t="n">
        <v>0</v>
      </c>
    </row>
    <row r="571">
      <c r="A571" s="7" t="n">
        <v>569</v>
      </c>
      <c r="B571" t="n">
        <v>71</v>
      </c>
      <c r="C571" s="1" t="n">
        <v>164.6</v>
      </c>
      <c r="D571" s="2">
        <f>HYPERLINK("https://torgi.gov.ru/new/public/lots/lot/21000018800000000009_1/(lotInfo:info)", "21000018800000000009_1")</f>
        <v/>
      </c>
      <c r="E571" t="inlineStr">
        <is>
          <t>Нежилое помещение, этаж 1, кадастровый номер 71:14:010901:1099 площадью 164.6 кв.м,</t>
        </is>
      </c>
      <c r="F571" s="3" t="inlineStr">
        <is>
          <t>29.06.22 21:00</t>
        </is>
      </c>
      <c r="G571" t="inlineStr">
        <is>
          <t>Тульская обл, Ленинский р-н, поселок Барсуки, ул Клубная, д 5</t>
        </is>
      </c>
      <c r="H571" s="4" t="n">
        <v>1262765</v>
      </c>
      <c r="I571" s="4" t="n">
        <v>7671.719319562576</v>
      </c>
      <c r="J571" t="inlineStr">
        <is>
          <t>Нежилое помещение</t>
        </is>
      </c>
      <c r="K571" s="5" t="n">
        <v>16.71</v>
      </c>
      <c r="L571" s="4" t="n">
        <v>1534.2</v>
      </c>
      <c r="M571" t="n">
        <v>459</v>
      </c>
      <c r="O571" t="n">
        <v>5</v>
      </c>
      <c r="Q571" t="inlineStr">
        <is>
          <t>PP</t>
        </is>
      </c>
      <c r="R571" t="inlineStr">
        <is>
          <t>М</t>
        </is>
      </c>
      <c r="S571" s="2">
        <f>HYPERLINK("https://yandex.ru/maps/?&amp;text=54.265112, 37.486293", "54.265112, 37.486293")</f>
        <v/>
      </c>
      <c r="T571" s="2">
        <f>HYPERLINK("D:\venv_torgi\env\cache\objs_in_district/54.265112_37.486293.json", "54.265112_37.486293.json")</f>
        <v/>
      </c>
      <c r="U571" t="inlineStr">
        <is>
          <t xml:space="preserve">71:14:010901:1099 </t>
        </is>
      </c>
      <c r="V571" t="n">
        <v>1</v>
      </c>
      <c r="Y571" t="n">
        <v>0</v>
      </c>
      <c r="AA571" t="n">
        <v>0</v>
      </c>
      <c r="AB571" t="n">
        <v>0</v>
      </c>
    </row>
    <row r="572">
      <c r="A572" s="7" t="n">
        <v>570</v>
      </c>
      <c r="B572" t="n">
        <v>71</v>
      </c>
      <c r="C572" s="1" t="n">
        <v>84.5</v>
      </c>
      <c r="D572" s="2">
        <f>HYPERLINK("https://torgi.gov.ru/new/public/lots/lot/21000018800000000002_1/(lotInfo:info)", "21000018800000000002_1")</f>
        <v/>
      </c>
      <c r="E572" t="inlineStr">
        <is>
          <t>Нежилое помещение, этаж № 2, кадастровый номер: 71:30:010223:6342, площадью 16,4 кв.мНежилое помещение, этаж № 2, кадастровый номер: 71:30:010229:2730, площадью 21,1 кв.мНежилое помещение, этаж № 2, кадастровый номер: 71:30:010223:4736, площадью 47 кв.м</t>
        </is>
      </c>
      <c r="F572" s="3" t="inlineStr">
        <is>
          <t>24.03.22 14:00</t>
        </is>
      </c>
      <c r="G572" t="inlineStr">
        <is>
          <t>Тульская область, г.Тула,  ул. Октябрьская, д. 5</t>
        </is>
      </c>
      <c r="H572" s="4" t="n">
        <v>868000</v>
      </c>
      <c r="I572" s="4" t="n">
        <v>10272.18934911243</v>
      </c>
      <c r="J572" t="inlineStr">
        <is>
          <t>Нежилое помещение</t>
        </is>
      </c>
      <c r="K572" s="5" t="n">
        <v>2.8</v>
      </c>
      <c r="L572" s="4" t="n">
        <v>103.76</v>
      </c>
      <c r="M572" t="n">
        <v>3666</v>
      </c>
      <c r="O572" t="n">
        <v>99</v>
      </c>
      <c r="Q572" t="inlineStr">
        <is>
          <t>EK</t>
        </is>
      </c>
      <c r="R572" t="inlineStr">
        <is>
          <t>М</t>
        </is>
      </c>
      <c r="S572" s="2">
        <f>HYPERLINK("https://yandex.ru/maps/?&amp;text=54.205136, 37.619135", "54.205136, 37.619135")</f>
        <v/>
      </c>
      <c r="T572" s="2">
        <f>HYPERLINK("D:\venv_torgi\env\cache\objs_in_district/54.205136_37.619135.json", "54.205136_37.619135.json")</f>
        <v/>
      </c>
      <c r="U572" t="inlineStr">
        <is>
          <t xml:space="preserve">71:30:010223:6342, </t>
        </is>
      </c>
      <c r="V572" t="n">
        <v>2</v>
      </c>
      <c r="Y572" t="n">
        <v>0</v>
      </c>
      <c r="AA572" t="n">
        <v>0</v>
      </c>
      <c r="AB572" t="n">
        <v>0</v>
      </c>
    </row>
    <row r="573">
      <c r="A573" s="7" t="n">
        <v>571</v>
      </c>
      <c r="B573" t="n">
        <v>71</v>
      </c>
      <c r="C573" s="1" t="n">
        <v>37.7</v>
      </c>
      <c r="D573" s="2">
        <f>HYPERLINK("https://torgi.gov.ru/new/public/lots/lot/21000018800000000012_1/(lotInfo:info)", "21000018800000000012_1")</f>
        <v/>
      </c>
      <c r="E573" t="inlineStr">
        <is>
          <t>Нежилое помещение, этаж 1, кадастровый номер: 71:14:030614:598 площадью 37,7 кв.м по адресу: Тульская область, Ленинский район, сельское поселение Ильинское, дер. Крутое, д. 33</t>
        </is>
      </c>
      <c r="F573" s="3" t="inlineStr">
        <is>
          <t>02.08.22 14:00</t>
        </is>
      </c>
      <c r="G573" t="inlineStr">
        <is>
          <t>Тульская область, Ленинский район, сельское Ильинское, дер. Крутое, д. 33</t>
        </is>
      </c>
      <c r="H573" s="4" t="n">
        <v>415380</v>
      </c>
      <c r="I573" s="4" t="n">
        <v>11018.03713527851</v>
      </c>
      <c r="J573" t="inlineStr">
        <is>
          <t>Нежилое помещение</t>
        </is>
      </c>
      <c r="Q573" t="inlineStr">
        <is>
          <t>EA</t>
        </is>
      </c>
      <c r="R573" t="inlineStr">
        <is>
          <t>М</t>
        </is>
      </c>
      <c r="U573" t="inlineStr">
        <is>
          <t xml:space="preserve">71:14:030614:598 </t>
        </is>
      </c>
      <c r="V573" t="n">
        <v>1</v>
      </c>
      <c r="Y573" t="n">
        <v>0</v>
      </c>
      <c r="AA573" t="n">
        <v>0</v>
      </c>
      <c r="AB573" t="n">
        <v>0</v>
      </c>
    </row>
    <row r="574">
      <c r="A574" s="7" t="n">
        <v>572</v>
      </c>
      <c r="B574" t="n">
        <v>71</v>
      </c>
      <c r="C574" s="1" t="n">
        <v>246.6</v>
      </c>
      <c r="D574" s="2">
        <f>HYPERLINK("https://torgi.gov.ru/new/public/lots/lot/21000029690000000003_1/(lotInfo:info)", "21000029690000000003_1")</f>
        <v/>
      </c>
      <c r="E574" t="inlineStr">
        <is>
          <t>нежилое помещение, назначение: нежилое помещение, площадь: 246.6, номер, тип этажа, на котором расположено помещение, машино-место: этаж № 1, кадастровый номер: 71:05:050702:3401, местоположение: Тульская область, Веневский район, поселок Грицовский, улица Первомайская, д. 1</t>
        </is>
      </c>
      <c r="F574" s="3" t="inlineStr">
        <is>
          <t>12.05.22 14:00</t>
        </is>
      </c>
      <c r="G574" t="inlineStr">
        <is>
          <t>Тульская обл, Веневский р-н, поселок Грицовский, ул Первомайская, д 1</t>
        </is>
      </c>
      <c r="H574" s="4" t="n">
        <v>3393994.5</v>
      </c>
      <c r="I574" s="4" t="n">
        <v>13763.15693430657</v>
      </c>
      <c r="J574" t="inlineStr">
        <is>
          <t>Нежилое помещение</t>
        </is>
      </c>
      <c r="K574" s="5" t="n">
        <v>4.79</v>
      </c>
      <c r="L574" s="4" t="n">
        <v>764.61</v>
      </c>
      <c r="M574" t="n">
        <v>2871</v>
      </c>
      <c r="O574" t="n">
        <v>18</v>
      </c>
      <c r="Q574" t="inlineStr">
        <is>
          <t>EA</t>
        </is>
      </c>
      <c r="R574" t="inlineStr">
        <is>
          <t>М</t>
        </is>
      </c>
      <c r="S574" s="2">
        <f>HYPERLINK("https://yandex.ru/maps/?&amp;text=54.136116, 38.161343", "54.136116, 38.161343")</f>
        <v/>
      </c>
      <c r="T574" s="2">
        <f>HYPERLINK("D:\venv_torgi\env\cache\objs_in_district/54.136116_38.161343.json", "54.136116_38.161343.json")</f>
        <v/>
      </c>
      <c r="U574" t="inlineStr">
        <is>
          <t xml:space="preserve">71:05:050702:3401, </t>
        </is>
      </c>
      <c r="V574" t="n">
        <v>1</v>
      </c>
      <c r="Y574" t="n">
        <v>0</v>
      </c>
      <c r="AA574" t="n">
        <v>0</v>
      </c>
      <c r="AB574" t="n">
        <v>0</v>
      </c>
    </row>
    <row r="575">
      <c r="A575" s="7" t="n">
        <v>573</v>
      </c>
      <c r="B575" t="n">
        <v>71</v>
      </c>
      <c r="C575" s="1" t="n">
        <v>19.8</v>
      </c>
      <c r="D575" s="2">
        <f>HYPERLINK("https://torgi.gov.ru/new/public/lots/lot/21000018800000000011_2/(lotInfo:info)", "21000018800000000011_2")</f>
        <v/>
      </c>
      <c r="E575" t="inlineStr">
        <is>
          <t>Нежилое помещение, этаж 1, кадастровый номер 71:30:070804:4502, площадью 19,8 кв.м по адресу: Тульская область, город Тула, поселок Косая Гора,   ул. М.Горького, дом № 24, помещение 5</t>
        </is>
      </c>
      <c r="F575" s="3" t="inlineStr">
        <is>
          <t>14.07.22 14:00</t>
        </is>
      </c>
      <c r="G575" t="inlineStr">
        <is>
          <t>г Тула, поселок Косая Гора, ул М.Горького, д 24</t>
        </is>
      </c>
      <c r="H575" s="4" t="n">
        <v>321461</v>
      </c>
      <c r="I575" s="4" t="n">
        <v>16235.40404040404</v>
      </c>
      <c r="J575" t="inlineStr">
        <is>
          <t>Нежилое помещение</t>
        </is>
      </c>
      <c r="K575" s="5" t="n">
        <v>5.59</v>
      </c>
      <c r="M575" t="n">
        <v>2902</v>
      </c>
      <c r="N575" s="6" t="n">
        <v>605045</v>
      </c>
      <c r="Q575" t="inlineStr">
        <is>
          <t>EA</t>
        </is>
      </c>
      <c r="R575" t="inlineStr">
        <is>
          <t>М</t>
        </is>
      </c>
      <c r="S575" s="2">
        <f>HYPERLINK("https://yandex.ru/maps/?&amp;text=54.118996, 37.544611", "54.118996, 37.544611")</f>
        <v/>
      </c>
      <c r="U575" t="inlineStr">
        <is>
          <t xml:space="preserve">71:30:070804:4502, </t>
        </is>
      </c>
      <c r="V575" t="n">
        <v>1</v>
      </c>
      <c r="Y575" t="n">
        <v>0</v>
      </c>
      <c r="AA575" t="n">
        <v>0</v>
      </c>
      <c r="AB575" t="n">
        <v>0</v>
      </c>
    </row>
    <row r="576">
      <c r="A576" s="7" t="n">
        <v>574</v>
      </c>
      <c r="B576" t="n">
        <v>72</v>
      </c>
      <c r="C576" s="1" t="n">
        <v>397.7</v>
      </c>
      <c r="D576" s="2">
        <f>HYPERLINK("https://torgi.gov.ru/new/public/lots/lot/21000034510000000103_1/(lotInfo:info)", "21000034510000000103_1")</f>
        <v/>
      </c>
      <c r="E576" t="inlineStr">
        <is>
          <t>нежилое помещение, наименование: часть здания Бизнес-клуб «Лидер», общей площадью 397,7 кв.м., кадастровый номер 89:10:010107:1980, расположенного по адресу: Ямало-Ненецкий автономный округ, г. Надым, ул. Полярная, д 17/1</t>
        </is>
      </c>
      <c r="F576" s="3" t="inlineStr">
        <is>
          <t>29.08.22 09:00</t>
        </is>
      </c>
      <c r="G576" t="inlineStr">
        <is>
          <t>Ямало-Ненецкий автономный округ, г. Надым, ул. Полярная, д 17/1</t>
        </is>
      </c>
      <c r="H576" s="4" t="n">
        <v>2500000</v>
      </c>
      <c r="I576" s="4" t="n">
        <v>6286.145335680161</v>
      </c>
      <c r="J576" t="inlineStr">
        <is>
          <t>Нежилое помещение</t>
        </is>
      </c>
      <c r="Q576" t="inlineStr">
        <is>
          <t>BOC</t>
        </is>
      </c>
      <c r="R576" t="inlineStr">
        <is>
          <t>М</t>
        </is>
      </c>
      <c r="U576" t="inlineStr">
        <is>
          <t xml:space="preserve">89:10:010107:1980, </t>
        </is>
      </c>
      <c r="V576" t="n">
        <v>1</v>
      </c>
      <c r="Y576" t="n">
        <v>0</v>
      </c>
      <c r="AA576" t="n">
        <v>0</v>
      </c>
      <c r="AB576" t="n">
        <v>0</v>
      </c>
    </row>
    <row r="577">
      <c r="A577" s="7" t="n">
        <v>575</v>
      </c>
      <c r="B577" t="n">
        <v>72</v>
      </c>
      <c r="C577" s="1" t="n">
        <v>15.7</v>
      </c>
      <c r="D577" s="2">
        <f>HYPERLINK("https://torgi.gov.ru/new/public/lots/lot/21000034510000000096_1/(lotInfo:info)", "21000034510000000096_1")</f>
        <v/>
      </c>
      <c r="E577" t="inlineStr">
        <is>
          <t>Недвижимое имущество – нежилое помещение, расположенного на первом этаже, общей площадью 15,70 кв.м., кадастровый номер 72:22:1401098:142, расположенного по адресу: Тюменская область, Ярковский район, с. Ярково, ул. Новая, д.2</t>
        </is>
      </c>
      <c r="F577" s="3" t="inlineStr">
        <is>
          <t>28.08.22 09:00</t>
        </is>
      </c>
      <c r="G577" t="inlineStr">
        <is>
          <t>Тюменская обл, село Ярково, ул Новая, д 2</t>
        </is>
      </c>
      <c r="H577" s="4" t="n">
        <v>160000</v>
      </c>
      <c r="I577" s="4" t="n">
        <v>10191.08280254777</v>
      </c>
      <c r="J577" t="inlineStr">
        <is>
          <t>Нежилое помещение</t>
        </is>
      </c>
      <c r="K577" s="5" t="n">
        <v>8.130000000000001</v>
      </c>
      <c r="M577" t="n">
        <v>1254</v>
      </c>
      <c r="N577" s="6" t="n">
        <v>7541</v>
      </c>
      <c r="Q577" t="inlineStr">
        <is>
          <t>BOC</t>
        </is>
      </c>
      <c r="R577" t="inlineStr">
        <is>
          <t>М</t>
        </is>
      </c>
      <c r="S577" s="2">
        <f>HYPERLINK("https://yandex.ru/maps/?&amp;text=57.401689, 67.073268", "57.401689, 67.073268")</f>
        <v/>
      </c>
      <c r="U577" t="inlineStr">
        <is>
          <t xml:space="preserve">72:22:1401098:142, </t>
        </is>
      </c>
      <c r="V577" t="n">
        <v>1</v>
      </c>
      <c r="Y577" t="n">
        <v>0</v>
      </c>
      <c r="AA577" t="n">
        <v>0</v>
      </c>
      <c r="AB577" t="n">
        <v>0</v>
      </c>
    </row>
    <row r="578">
      <c r="A578" s="7" t="n">
        <v>576</v>
      </c>
      <c r="B578" t="n">
        <v>72</v>
      </c>
      <c r="C578" s="1" t="n">
        <v>29.2</v>
      </c>
      <c r="D578" s="2">
        <f>HYPERLINK("https://torgi.gov.ru/new/public/lots/lot/21000034510000000097_1/(lotInfo:info)", "21000034510000000097_1")</f>
        <v/>
      </c>
      <c r="E578" t="inlineStr">
        <is>
          <t>Недвижимое имущество – нежилое помещение на 1 этаже, наименование: общественное питание, общая площадь 29,2 кв.м., кадастровый номер 72:23:0215002:2690, расположенного по адресу: Тюменская область, г. Тюмень, ул. Аккумуляторная, д. 1</t>
        </is>
      </c>
      <c r="F578" s="3" t="inlineStr">
        <is>
          <t>28.08.22 09:00</t>
        </is>
      </c>
      <c r="G578" t="inlineStr">
        <is>
          <t>г Тюмень, ул Аккумуляторная, д 1</t>
        </is>
      </c>
      <c r="H578" s="4" t="n">
        <v>460000</v>
      </c>
      <c r="I578" s="4" t="n">
        <v>15753.42465753425</v>
      </c>
      <c r="J578" t="inlineStr">
        <is>
          <t>Нежилое помещение</t>
        </is>
      </c>
      <c r="K578" s="5" t="n">
        <v>4.37</v>
      </c>
      <c r="M578" t="n">
        <v>3605</v>
      </c>
      <c r="N578" s="6" t="n">
        <v>744554</v>
      </c>
      <c r="Q578" t="inlineStr">
        <is>
          <t>BOC</t>
        </is>
      </c>
      <c r="R578" t="inlineStr">
        <is>
          <t>М</t>
        </is>
      </c>
      <c r="S578" s="2">
        <f>HYPERLINK("https://yandex.ru/maps/?&amp;text=57.153859, 65.472892", "57.153859, 65.472892")</f>
        <v/>
      </c>
      <c r="U578" t="inlineStr">
        <is>
          <t xml:space="preserve">72:23:0215002:2690, </t>
        </is>
      </c>
      <c r="V578" t="n">
        <v>1</v>
      </c>
      <c r="Y578" t="n">
        <v>0</v>
      </c>
      <c r="AA578" t="n">
        <v>0</v>
      </c>
      <c r="AB578" t="n">
        <v>0</v>
      </c>
    </row>
    <row r="579">
      <c r="A579" s="7" t="n">
        <v>577</v>
      </c>
      <c r="B579" t="n">
        <v>72</v>
      </c>
      <c r="C579" s="1" t="n">
        <v>58.8</v>
      </c>
      <c r="D579" s="2">
        <f>HYPERLINK("https://torgi.gov.ru/new/public/lots/lot/21000034510000000102_1/(lotInfo:info)", "21000034510000000102_1")</f>
        <v/>
      </c>
      <c r="E579" t="inlineStr">
        <is>
          <t>нежилое помещение, на 1 этаже, общей площадью 58,8 кв.м., кадастровый номер 72:25:0104004:1439, расположенного по адресу: Тюменская область, г. Ишим, ул. 8-е Марта, д. 25.</t>
        </is>
      </c>
      <c r="F579" s="3" t="inlineStr">
        <is>
          <t>29.08.22 09:00</t>
        </is>
      </c>
      <c r="G579" t="inlineStr">
        <is>
          <t>Тюменская обл, г Ишим, ул 8-е Марта, д 25</t>
        </is>
      </c>
      <c r="H579" s="4" t="n">
        <v>1310000</v>
      </c>
      <c r="I579" s="4" t="n">
        <v>22278.91156462585</v>
      </c>
      <c r="J579" t="inlineStr">
        <is>
          <t>Нежилое помещение</t>
        </is>
      </c>
      <c r="K579" s="5" t="n">
        <v>6.61</v>
      </c>
      <c r="M579" t="n">
        <v>3371</v>
      </c>
      <c r="N579" s="6" t="n">
        <v>69003</v>
      </c>
      <c r="Q579" t="inlineStr">
        <is>
          <t>BOC</t>
        </is>
      </c>
      <c r="R579" t="inlineStr">
        <is>
          <t>М</t>
        </is>
      </c>
      <c r="S579" s="2">
        <f>HYPERLINK("https://yandex.ru/maps/?&amp;text=56.109436, 69.479468", "56.109436, 69.479468")</f>
        <v/>
      </c>
      <c r="U579" t="inlineStr">
        <is>
          <t xml:space="preserve">72:25:0104004:1439, </t>
        </is>
      </c>
      <c r="V579" t="n">
        <v>1</v>
      </c>
      <c r="Y579" t="n">
        <v>0</v>
      </c>
      <c r="AA579" t="n">
        <v>0</v>
      </c>
      <c r="AB579" t="n">
        <v>0</v>
      </c>
    </row>
    <row r="580">
      <c r="A580" s="7" t="n">
        <v>578</v>
      </c>
      <c r="B580" t="n">
        <v>72</v>
      </c>
      <c r="C580" s="1" t="n">
        <v>38.7</v>
      </c>
      <c r="D580" s="2">
        <f>HYPERLINK("https://torgi.gov.ru/new/public/lots/lot/21000034510000000011_1/(lotInfo:info)", "21000034510000000011_1")</f>
        <v/>
      </c>
      <c r="E580" t="inlineStr">
        <is>
          <t>Нежилое помещение, этаж №1, общей площадью 38,7 кв.м., РНФИ П13720002560, кадастровый номер 72:12:0000000:3511, расположенное по адресу: Тюменская область, Нижнетавдинский район, село Нижняя Тавда, улица Октябрьская, дом 4.</t>
        </is>
      </c>
      <c r="F580" s="3" t="inlineStr">
        <is>
          <t>19.02.22 19:00</t>
        </is>
      </c>
      <c r="G580" t="inlineStr">
        <is>
          <t>Тюменская обл, село Нижняя Тавда, ул Октябрьская, д 4</t>
        </is>
      </c>
      <c r="H580" s="4" t="n">
        <v>940141</v>
      </c>
      <c r="I580" s="4" t="n">
        <v>24293.04909560723</v>
      </c>
      <c r="J580" t="inlineStr">
        <is>
          <t>Нежилое помещение</t>
        </is>
      </c>
      <c r="K580" s="5" t="n">
        <v>16.16</v>
      </c>
      <c r="L580" s="4" t="n">
        <v>391.82</v>
      </c>
      <c r="M580" t="n">
        <v>1503</v>
      </c>
      <c r="N580" s="6" t="n">
        <v>8958</v>
      </c>
      <c r="O580" t="n">
        <v>62</v>
      </c>
      <c r="Q580" t="inlineStr">
        <is>
          <t>EA</t>
        </is>
      </c>
      <c r="R580" t="inlineStr">
        <is>
          <t>М</t>
        </is>
      </c>
      <c r="S580" s="2">
        <f>HYPERLINK("https://yandex.ru/maps/?&amp;text=57.674473, 66.17964", "57.674473, 66.17964")</f>
        <v/>
      </c>
      <c r="T580" s="2">
        <f>HYPERLINK("D:\venv_torgi\env\cache\objs_in_district/57.674473_66.17964.json", "57.674473_66.17964.json")</f>
        <v/>
      </c>
      <c r="U580" t="inlineStr">
        <is>
          <t xml:space="preserve">72:12:0000000:3511, </t>
        </is>
      </c>
      <c r="V580" t="n">
        <v>1</v>
      </c>
      <c r="Y580" t="n">
        <v>0</v>
      </c>
      <c r="AA580" t="n">
        <v>0</v>
      </c>
      <c r="AB580" t="n">
        <v>0</v>
      </c>
    </row>
    <row r="581">
      <c r="A581" s="7" t="n">
        <v>579</v>
      </c>
      <c r="B581" t="n">
        <v>73</v>
      </c>
      <c r="C581" s="1" t="n">
        <v>327.6</v>
      </c>
      <c r="D581" s="2">
        <f>HYPERLINK("https://torgi.gov.ru/new/public/lots/lot/21000013570000000004_3/(lotInfo:info)", "21000013570000000004_3")</f>
        <v/>
      </c>
      <c r="E581" t="inlineStr">
        <is>
          <t>Нежилые помещения площадью 327,6 кв. м по адресу: г. Ульяновск, ул. Автозаводская, д. 56</t>
        </is>
      </c>
      <c r="F581" s="3" t="inlineStr">
        <is>
          <t>25.03.22 12:00</t>
        </is>
      </c>
      <c r="G581" t="inlineStr">
        <is>
          <t>г Ульяновск, ул Автозаводская, д 56</t>
        </is>
      </c>
      <c r="H581" s="4" t="n">
        <v>812010.9</v>
      </c>
      <c r="I581" s="4" t="n">
        <v>2478.665750915751</v>
      </c>
      <c r="J581" t="inlineStr">
        <is>
          <t>Нежилое помещение</t>
        </is>
      </c>
      <c r="K581" s="5" t="n">
        <v>0.55</v>
      </c>
      <c r="L581" s="4" t="n">
        <v>70.8</v>
      </c>
      <c r="M581" t="n">
        <v>4525</v>
      </c>
      <c r="N581" s="6" t="n">
        <v>650414</v>
      </c>
      <c r="O581" t="n">
        <v>35</v>
      </c>
      <c r="Q581" t="inlineStr">
        <is>
          <t>EA</t>
        </is>
      </c>
      <c r="R581" t="inlineStr">
        <is>
          <t>М</t>
        </is>
      </c>
      <c r="S581" s="2">
        <f>HYPERLINK("https://yandex.ru/maps/?&amp;text=54.29175, 48.3157", "54.29175, 48.3157")</f>
        <v/>
      </c>
      <c r="T581" s="2">
        <f>HYPERLINK("D:\venv_torgi\env\cache\objs_in_district/54.29175_48.3157.json", "54.29175_48.3157.json")</f>
        <v/>
      </c>
      <c r="V581" t="n">
        <v>0</v>
      </c>
      <c r="Y581" t="n">
        <v>0</v>
      </c>
      <c r="AA581" t="n">
        <v>0</v>
      </c>
      <c r="AB581" t="n">
        <v>0</v>
      </c>
    </row>
    <row r="582">
      <c r="A582" s="7" t="n">
        <v>580</v>
      </c>
      <c r="B582" t="n">
        <v>73</v>
      </c>
      <c r="C582" s="1" t="n">
        <v>166.1</v>
      </c>
      <c r="D582" s="2">
        <f>HYPERLINK("https://torgi.gov.ru/new/public/lots/lot/21000013570000000006_1/(lotInfo:info)", "21000013570000000006_1")</f>
        <v/>
      </c>
      <c r="E582" t="inlineStr">
        <is>
          <t>нежилые помещения площадью 166,1 кв. м с кадастровым номером 73:24:030904:1184, расположенные по адресу Ульяновская область, г. Ульяновск, Засвияжский район, ул. Станкостроителей, д. 18, помещения №№ 1-7, 9, 11, 12, 15, 16, 43-46</t>
        </is>
      </c>
      <c r="F582" s="3" t="inlineStr">
        <is>
          <t>26.04.22 13:00</t>
        </is>
      </c>
      <c r="G582" t="inlineStr">
        <is>
          <t>г Ульяновск, ул Станкостроителей, д 18</t>
        </is>
      </c>
      <c r="H582" s="4" t="n">
        <v>1633365.38</v>
      </c>
      <c r="I582" s="4" t="n">
        <v>9833.626610475616</v>
      </c>
      <c r="J582" t="inlineStr">
        <is>
          <t>Нежилое помещение</t>
        </is>
      </c>
      <c r="K582" s="5" t="n">
        <v>1.36</v>
      </c>
      <c r="L582" s="4" t="n">
        <v>108.05</v>
      </c>
      <c r="M582" t="n">
        <v>7225</v>
      </c>
      <c r="N582" s="6" t="n">
        <v>650414</v>
      </c>
      <c r="O582" t="n">
        <v>91</v>
      </c>
      <c r="Q582" t="inlineStr">
        <is>
          <t>PP</t>
        </is>
      </c>
      <c r="R582" t="inlineStr">
        <is>
          <t>М</t>
        </is>
      </c>
      <c r="S582" s="2">
        <f>HYPERLINK("https://yandex.ru/maps/?&amp;text=54.287344, 48.299269", "54.287344, 48.299269")</f>
        <v/>
      </c>
      <c r="T582" s="2">
        <f>HYPERLINK("D:\venv_torgi\env\cache\objs_in_district/54.287344_48.299269.json", "54.287344_48.299269.json")</f>
        <v/>
      </c>
      <c r="U582" t="inlineStr">
        <is>
          <t xml:space="preserve">73:24:030904:1184, </t>
        </is>
      </c>
      <c r="V582" t="n">
        <v>0</v>
      </c>
      <c r="Y582" t="n">
        <v>0</v>
      </c>
      <c r="AA582" t="n">
        <v>0</v>
      </c>
      <c r="AB582" t="n">
        <v>0</v>
      </c>
    </row>
    <row r="583">
      <c r="A583" s="7" t="n">
        <v>581</v>
      </c>
      <c r="B583" t="n">
        <v>73</v>
      </c>
      <c r="C583" s="1" t="n">
        <v>40.5</v>
      </c>
      <c r="D583" s="2">
        <f>HYPERLINK("https://torgi.gov.ru/new/public/lots/lot/21000013570000000008_7/(lotInfo:info)", "21000013570000000008_7")</f>
        <v/>
      </c>
      <c r="E583" t="inlineStr">
        <is>
          <t>нежилые помещения площадью 40,5 кв. м с кадастровым номером 73:24:030301:2565, расположенные по адресу Ульяновская область, г. Ульяновск, Засвияжский район, ш. Московское, д. 21, помещения №№ 1-6</t>
        </is>
      </c>
      <c r="F583" s="3" t="inlineStr">
        <is>
          <t>27.06.22 13:00</t>
        </is>
      </c>
      <c r="G583" t="inlineStr">
        <is>
          <t>г Ульяновск, Московское шоссе, д 21</t>
        </is>
      </c>
      <c r="H583" s="4" t="n">
        <v>434228.33</v>
      </c>
      <c r="I583" s="4" t="n">
        <v>10721.68716049383</v>
      </c>
      <c r="J583" t="inlineStr">
        <is>
          <t>Нежилое помещение</t>
        </is>
      </c>
      <c r="K583" s="5" t="n">
        <v>3.57</v>
      </c>
      <c r="M583" t="n">
        <v>3002</v>
      </c>
      <c r="N583" s="6" t="n">
        <v>650414</v>
      </c>
      <c r="Q583" t="inlineStr">
        <is>
          <t>EA</t>
        </is>
      </c>
      <c r="R583" t="inlineStr">
        <is>
          <t>М</t>
        </is>
      </c>
      <c r="S583" s="2">
        <f>HYPERLINK("https://yandex.ru/maps/?&amp;text=54.305813, 48.316895", "54.305813, 48.316895")</f>
        <v/>
      </c>
      <c r="U583" t="inlineStr">
        <is>
          <t xml:space="preserve">73:24:030301:2565, </t>
        </is>
      </c>
      <c r="V583" t="n">
        <v>0</v>
      </c>
      <c r="Y583" t="n">
        <v>0</v>
      </c>
      <c r="AA583" t="n">
        <v>0</v>
      </c>
      <c r="AB583" t="n">
        <v>0</v>
      </c>
    </row>
    <row r="584">
      <c r="A584" s="7" t="n">
        <v>582</v>
      </c>
      <c r="B584" t="n">
        <v>73</v>
      </c>
      <c r="C584" s="1" t="n">
        <v>28.4</v>
      </c>
      <c r="D584" s="2">
        <f>HYPERLINK("https://torgi.gov.ru/new/public/lots/lot/22000041520000000002_1/(lotInfo:info)", "22000041520000000002_1")</f>
        <v/>
      </c>
      <c r="E584" t="inlineStr">
        <is>
          <t>Помещение нежилое, площадь 28,4 кв.м., этаж:1, номер на поэтажном плане: 1, Кадастровый номер 73:24:010205:4814., Характеристика здания согласно технического паспорта от 07.04.2011 г.Стены - кирпичные Перекрытие --- Ж/Б монолитноеКрыша ----- мягкая кровляОкна ----- отсутствуютФундамент-ж/бетонныйОтопление -электрическоеРасположенное по адресу - Ульяновская область, г. Ульяновск, в 17 м. севернее дома № 4 по ул. 3 Интернационала</t>
        </is>
      </c>
      <c r="F584" s="3" t="inlineStr">
        <is>
          <t>28.04.22 13:00</t>
        </is>
      </c>
      <c r="G584" t="inlineStr">
        <is>
          <t>г.Ульяновск,  ул. 3 Интернационала 4</t>
        </is>
      </c>
      <c r="H584" s="4" t="n">
        <v>813000</v>
      </c>
      <c r="I584" s="4" t="n">
        <v>28626.76056338028</v>
      </c>
      <c r="J584" t="inlineStr">
        <is>
          <t>Нежилое помещение</t>
        </is>
      </c>
      <c r="K584" s="5" t="n">
        <v>4.08</v>
      </c>
      <c r="L584" s="4" t="n">
        <v>193.42</v>
      </c>
      <c r="M584" t="n">
        <v>7023</v>
      </c>
      <c r="N584" s="6" t="n">
        <v>650414</v>
      </c>
      <c r="O584" t="n">
        <v>148</v>
      </c>
      <c r="Q584" t="inlineStr">
        <is>
          <t>EA</t>
        </is>
      </c>
      <c r="R584" t="inlineStr">
        <is>
          <t>М</t>
        </is>
      </c>
      <c r="S584" s="2">
        <f>HYPERLINK("https://yandex.ru/maps/?&amp;text=54.306201, 48.387256", "54.306201, 48.387256")</f>
        <v/>
      </c>
      <c r="T584" s="2">
        <f>HYPERLINK("D:\venv_torgi\env\cache\objs_in_district/54.306201_48.387256.json", "54.306201_48.387256.json")</f>
        <v/>
      </c>
      <c r="U584" t="inlineStr">
        <is>
          <t>73:24:010205:4814</t>
        </is>
      </c>
      <c r="V584" t="n">
        <v>1</v>
      </c>
      <c r="Y584" t="n">
        <v>0</v>
      </c>
      <c r="AA584" t="n">
        <v>0</v>
      </c>
      <c r="AB584" t="n">
        <v>0</v>
      </c>
    </row>
    <row r="585">
      <c r="A585" s="7" t="n">
        <v>583</v>
      </c>
      <c r="B585" t="n">
        <v>74</v>
      </c>
      <c r="C585" s="1" t="n">
        <v>108.6</v>
      </c>
      <c r="D585" s="2">
        <f>HYPERLINK("https://torgi.gov.ru/new/public/lots/lot/21000034280000000009_1/(lotInfo:info)", "21000034280000000009_1")</f>
        <v/>
      </c>
      <c r="E585" t="inlineStr">
        <is>
          <t>Нежилое здание,общей площадью 108,6кв.м., с земельным участком, общей площадью 401,0кв.м., расположенного по адресу: Челябинская область, Каслинский район, д. Знаменка, ул.Советская, д.66а.</t>
        </is>
      </c>
      <c r="F585" s="3" t="inlineStr">
        <is>
          <t>08.03.22 19:00</t>
        </is>
      </c>
      <c r="G585" t="inlineStr">
        <is>
          <t>Челябинская обл, Каслинский р-н, деревня Знаменка, ул Советская, д 66а</t>
        </is>
      </c>
      <c r="H585" s="4" t="n">
        <v>141000</v>
      </c>
      <c r="I585" s="4" t="n">
        <v>1298.342541436464</v>
      </c>
      <c r="J585" t="inlineStr">
        <is>
          <t>жилое здание</t>
        </is>
      </c>
      <c r="K585" s="5" t="n">
        <v>8.32</v>
      </c>
      <c r="L585" s="4" t="inlineStr"/>
      <c r="M585" t="n">
        <v>156</v>
      </c>
      <c r="O585" t="inlineStr"/>
      <c r="Q585" t="inlineStr">
        <is>
          <t>EA</t>
        </is>
      </c>
      <c r="R585" t="inlineStr">
        <is>
          <t>М</t>
        </is>
      </c>
      <c r="S585" s="2">
        <f>HYPERLINK("https://yandex.ru/maps/?&amp;text=56.113948, 60.881944", "56.113948, 60.881944")</f>
        <v/>
      </c>
      <c r="T585" s="8">
        <f>HYPERLINK("D:\venv_torgi\env\cache\objs_in_district/56.113948_60.881944.json", "56.113948_60.881944.json")</f>
        <v/>
      </c>
      <c r="V585" t="n">
        <v>1</v>
      </c>
      <c r="Y585" t="n">
        <v>0</v>
      </c>
      <c r="AA585" t="n">
        <v>0</v>
      </c>
      <c r="AB585" t="n">
        <v>1</v>
      </c>
    </row>
    <row r="586">
      <c r="A586" s="7" t="n">
        <v>584</v>
      </c>
      <c r="B586" t="n">
        <v>74</v>
      </c>
      <c r="C586" s="1" t="n">
        <v>237.7</v>
      </c>
      <c r="D586" s="2">
        <f>HYPERLINK("https://torgi.gov.ru/new/public/lots/lot/21000017550000000035_1/(lotInfo:info)", "21000017550000000035_1")</f>
        <v/>
      </c>
      <c r="E586" t="inlineStr">
        <is>
          <t>Наименование:Нежилое помещение № 2 – пожарное депо, расположенное по адресу: Челябинская область,                      г. Усть-Катав, ул. Заводская, д. 1, пом. 2Номер РФИ:П13740000355Кадастровый номер:74:39:0306001:256Площадь объекта (кв. м.):237,7Назначение:Нежилое помещение Количество этажей, в том числе подземных этажей:2 этажПраво:Собственность РФ. Запись регистрации в ЕГРН от 24.04.2008 № 74-74-39/001/2008-136Обременения:ОтсутствуютОКН:Как ОКН не зарегистрированМЧС:Как объект ГО не числится</t>
        </is>
      </c>
      <c r="F586" s="3" t="inlineStr">
        <is>
          <t>18.07.22 13:00</t>
        </is>
      </c>
      <c r="G586" t="inlineStr">
        <is>
          <t>Челябинская обл, г Усть-Катав, ул Заводская, д 1</t>
        </is>
      </c>
      <c r="H586" s="4" t="n">
        <v>317909</v>
      </c>
      <c r="I586" s="4" t="n">
        <v>1337.437946992007</v>
      </c>
      <c r="J586" t="inlineStr">
        <is>
          <t>Нежилое помещение</t>
        </is>
      </c>
      <c r="K586" s="5" t="n">
        <v>0.85</v>
      </c>
      <c r="L586" s="4" t="inlineStr"/>
      <c r="M586" t="n">
        <v>1572</v>
      </c>
      <c r="N586" s="6" t="n">
        <v>22536</v>
      </c>
      <c r="O586" t="inlineStr"/>
      <c r="Q586" t="inlineStr">
        <is>
          <t>BOC</t>
        </is>
      </c>
      <c r="R586" t="inlineStr">
        <is>
          <t>М</t>
        </is>
      </c>
      <c r="S586" s="2">
        <f>HYPERLINK("https://yandex.ru/maps/?&amp;text=54.935209, 58.161585", "54.935209, 58.161585")</f>
        <v/>
      </c>
      <c r="T586" s="8">
        <f>HYPERLINK("D:\venv_torgi\env\cache\objs_in_district/54.935209_58.161585.json", "54.935209_58.161585.json")</f>
        <v/>
      </c>
      <c r="U586" t="inlineStr">
        <is>
          <t>74:39:0306001:256</t>
        </is>
      </c>
      <c r="V586" t="n">
        <v>2</v>
      </c>
      <c r="Y586" t="n">
        <v>0</v>
      </c>
      <c r="AA586" t="n">
        <v>0</v>
      </c>
      <c r="AB586" t="n">
        <v>0</v>
      </c>
    </row>
    <row r="587">
      <c r="A587" s="7" t="n">
        <v>585</v>
      </c>
      <c r="B587" t="n">
        <v>74</v>
      </c>
      <c r="C587" s="1" t="n">
        <v>165.8</v>
      </c>
      <c r="D587" s="2">
        <f>HYPERLINK("https://torgi.gov.ru/new/public/lots/lot/21000007680000000009_1/(lotInfo:info)", "21000007680000000009_1")</f>
        <v/>
      </c>
      <c r="E587" t="inlineStr">
        <is>
          <t>В соответствии с приложением № 1 к информационному сообщению</t>
        </is>
      </c>
      <c r="F587" s="3" t="inlineStr">
        <is>
          <t>15.04.22 11:15</t>
        </is>
      </c>
      <c r="G587" t="inlineStr">
        <is>
          <t>Челябинская обл, г Троицк, ул им. Л.Н. Толстого, д 2</t>
        </is>
      </c>
      <c r="H587" s="4" t="n">
        <v>327375</v>
      </c>
      <c r="I587" s="4" t="n">
        <v>1974.517490952955</v>
      </c>
      <c r="J587" t="inlineStr">
        <is>
          <t>Нежилое помещение</t>
        </is>
      </c>
      <c r="K587" s="5" t="n">
        <v>7.15</v>
      </c>
      <c r="M587" t="n">
        <v>276</v>
      </c>
      <c r="N587" s="6" t="n">
        <v>75231</v>
      </c>
      <c r="Q587" t="inlineStr">
        <is>
          <t>EA</t>
        </is>
      </c>
      <c r="R587" t="inlineStr">
        <is>
          <t>М</t>
        </is>
      </c>
      <c r="S587" s="2">
        <f>HYPERLINK("https://yandex.ru/maps/?&amp;text=54.0779824, 61.5837018", "54.0779824, 61.5837018")</f>
        <v/>
      </c>
      <c r="U587" t="inlineStr">
        <is>
          <t>74:35:3100007:253</t>
        </is>
      </c>
      <c r="V587" t="n">
        <v>1</v>
      </c>
      <c r="Y587" t="n">
        <v>0</v>
      </c>
      <c r="AA587" t="n">
        <v>0</v>
      </c>
      <c r="AB587" t="n">
        <v>0</v>
      </c>
    </row>
    <row r="588">
      <c r="A588" s="7" t="n">
        <v>586</v>
      </c>
      <c r="B588" t="n">
        <v>74</v>
      </c>
      <c r="C588" s="1" t="n">
        <v>59.8</v>
      </c>
      <c r="D588" s="2">
        <f>HYPERLINK("https://torgi.gov.ru/new/public/lots/lot/21000005950000000004_1/(lotInfo:info)", "21000005950000000004_1")</f>
        <v/>
      </c>
      <c r="E588" t="inlineStr">
        <is>
          <t>Нежилое помещение, расположенное по адресу: Челябинская область, Еткульский район, д. Сарыкуль, ул. Школьная, д. 17, пом. 3, общей площадью 59,8 (пятьдесят девять целых восемь десятых) кв.м., кадастровый номер: 74:07:2600002:428, этажность 1</t>
        </is>
      </c>
      <c r="F588" s="3" t="inlineStr">
        <is>
          <t>16.08.22 11:00</t>
        </is>
      </c>
      <c r="G588" t="inlineStr">
        <is>
          <t>Челябинская обл, Еткульский р-н, деревня Сарыкуль, ул Школьная, д 17</t>
        </is>
      </c>
      <c r="H588" s="4" t="n">
        <v>125000</v>
      </c>
      <c r="I588" s="4" t="n">
        <v>2090.301003344482</v>
      </c>
      <c r="J588" t="inlineStr">
        <is>
          <t>Школьная</t>
        </is>
      </c>
      <c r="K588" s="5" t="n">
        <v>43.54</v>
      </c>
      <c r="M588" t="n">
        <v>48</v>
      </c>
      <c r="N588" s="6" t="n">
        <v>205</v>
      </c>
      <c r="Q588" t="inlineStr">
        <is>
          <t>EA</t>
        </is>
      </c>
      <c r="R588" t="inlineStr">
        <is>
          <t>М</t>
        </is>
      </c>
      <c r="S588" s="2">
        <f>HYPERLINK("https://yandex.ru/maps/?&amp;text=54.714562, 61.599051", "54.714562, 61.599051")</f>
        <v/>
      </c>
      <c r="U588" t="inlineStr">
        <is>
          <t xml:space="preserve">74:07:2600002:428, </t>
        </is>
      </c>
      <c r="V588" t="n">
        <v>1</v>
      </c>
      <c r="Y588" t="n">
        <v>0</v>
      </c>
      <c r="AA588" t="n">
        <v>0</v>
      </c>
      <c r="AB588" t="n">
        <v>0</v>
      </c>
    </row>
    <row r="589">
      <c r="A589" s="7" t="n">
        <v>587</v>
      </c>
      <c r="B589" t="n">
        <v>74</v>
      </c>
      <c r="C589" s="1" t="n">
        <v>245.1</v>
      </c>
      <c r="D589" s="2">
        <f>HYPERLINK("https://torgi.gov.ru/new/public/lots/lot/21000017550000000038_1/(lotInfo:info)", "21000017550000000038_1")</f>
        <v/>
      </c>
      <c r="E589" t="inlineStr">
        <is>
          <t>Наименование:Нежилое помещение № 1, расположенное по адресу: Челябинская область, г. Магнитогорск, пр-кт Ленина, д. 17, корп. 3, пом. 1Номер РФИ:П13770014289Кадастровый номер:74:33:0123009:205Площадь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      </is>
      </c>
      <c r="F589" s="3" t="inlineStr">
        <is>
          <t>18.07.22 13:00</t>
        </is>
      </c>
      <c r="G589" t="inlineStr">
        <is>
          <t>Челябинская обл, г Магнитогорск, пр-кт Ленина, д 17 к 3</t>
        </is>
      </c>
      <c r="H589" s="4" t="n">
        <v>610000</v>
      </c>
      <c r="I589" s="4" t="n">
        <v>2488.780089759282</v>
      </c>
      <c r="J589" t="inlineStr">
        <is>
          <t>Нежилое помещение</t>
        </is>
      </c>
      <c r="K589" s="5" t="n">
        <v>0.32</v>
      </c>
      <c r="L589" s="4" t="n">
        <v>44.43</v>
      </c>
      <c r="M589" t="n">
        <v>7764</v>
      </c>
      <c r="N589" s="6" t="n">
        <v>418241</v>
      </c>
      <c r="O589" t="n">
        <v>56</v>
      </c>
      <c r="Q589" t="inlineStr">
        <is>
          <t>BOC</t>
        </is>
      </c>
      <c r="R589" t="inlineStr">
        <is>
          <t>М</t>
        </is>
      </c>
      <c r="S589" s="2">
        <f>HYPERLINK("https://yandex.ru/maps/?&amp;text=53.431113, 58.984118", "53.431113, 58.984118")</f>
        <v/>
      </c>
      <c r="T589" s="2">
        <f>HYPERLINK("D:\venv_torgi\env\cache\objs_in_district/53.431113_58.984118.json", "53.431113_58.984118.json")</f>
        <v/>
      </c>
      <c r="U589" t="inlineStr">
        <is>
          <t>74:33:0123009:205</t>
        </is>
      </c>
      <c r="V589" t="n">
        <v>0</v>
      </c>
      <c r="Y589" t="n">
        <v>0</v>
      </c>
      <c r="AA589" t="n">
        <v>0</v>
      </c>
      <c r="AB589" t="n">
        <v>0</v>
      </c>
    </row>
    <row r="590">
      <c r="A590" s="7" t="n">
        <v>588</v>
      </c>
      <c r="B590" t="n">
        <v>74</v>
      </c>
      <c r="C590" s="1" t="n">
        <v>162.4</v>
      </c>
      <c r="D590" s="2">
        <f>HYPERLINK("https://torgi.gov.ru/new/public/lots/lot/21000034280000000005_1/(lotInfo:info)", "21000034280000000005_1")</f>
        <v/>
      </c>
      <c r="E590" t="inlineStr">
        <is>
          <t>Нежилое помещение, общая площадь 162,4 кв.м расположенного по адресу: Челябинская обл., Каслинский район, п.Вишневогорск, Ленина 44 пом.5</t>
        </is>
      </c>
      <c r="F590" s="3" t="inlineStr">
        <is>
          <t>08.03.22 19:00</t>
        </is>
      </c>
      <c r="G590" t="inlineStr">
        <is>
          <t>Челябинская обл, Каслинский р-н, рп Вишневогорск, ул Ленина, д 44, помещ 5</t>
        </is>
      </c>
      <c r="H590" s="4" t="n">
        <v>413000</v>
      </c>
      <c r="I590" s="4" t="n">
        <v>2543.103448275862</v>
      </c>
      <c r="J590" t="inlineStr">
        <is>
          <t>Нежилое помещение</t>
        </is>
      </c>
      <c r="K590" s="5" t="n">
        <v>6.34</v>
      </c>
      <c r="M590" t="n">
        <v>401</v>
      </c>
      <c r="N590" s="6" t="n">
        <v>4219</v>
      </c>
      <c r="Q590" t="inlineStr">
        <is>
          <t>PP</t>
        </is>
      </c>
      <c r="R590" t="inlineStr">
        <is>
          <t>М</t>
        </is>
      </c>
      <c r="S590" s="2">
        <f>HYPERLINK("https://yandex.ru/maps/?&amp;text=56.00056, 60.662365", "56.00056, 60.662365")</f>
        <v/>
      </c>
      <c r="V590" t="n">
        <v>0</v>
      </c>
      <c r="Y590" t="n">
        <v>0</v>
      </c>
      <c r="AA590" t="n">
        <v>0</v>
      </c>
      <c r="AB590" t="n">
        <v>0</v>
      </c>
    </row>
    <row r="591">
      <c r="A591" s="7" t="n">
        <v>589</v>
      </c>
      <c r="B591" t="n">
        <v>74</v>
      </c>
      <c r="C591" s="1" t="n">
        <v>845.2</v>
      </c>
      <c r="D591" s="2">
        <f>HYPERLINK("https://torgi.gov.ru/new/public/lots/lot/21000017550000000021_1/(lotInfo:info)", "21000017550000000021_1")</f>
        <v/>
      </c>
      <c r="E591" t="inlineStr">
        <is>
          <t>Наименование:Нежилое помещение по адресу: Челябинская область, г. Челябинск, ул. Сормовская, д. 15, пом. 7Номер РФИ:П13770007468Кадастровый номер:74:36:0609012:456Площадь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      </is>
      </c>
      <c r="F591" s="3" t="inlineStr">
        <is>
          <t>19.04.22 13:00</t>
        </is>
      </c>
      <c r="G591" t="inlineStr">
        <is>
          <t>г Челябинск, ул Сормовская, д 15</t>
        </is>
      </c>
      <c r="H591" s="4" t="n">
        <v>2230000</v>
      </c>
      <c r="I591" s="4" t="n">
        <v>2638.428774254614</v>
      </c>
      <c r="J591" t="inlineStr">
        <is>
          <t>Нежилое помещение</t>
        </is>
      </c>
      <c r="K591" s="5" t="n">
        <v>0.64</v>
      </c>
      <c r="L591" s="4" t="n">
        <v>439.67</v>
      </c>
      <c r="M591" t="n">
        <v>4097</v>
      </c>
      <c r="N591" s="6" t="n">
        <v>1134643</v>
      </c>
      <c r="O591" t="n">
        <v>6</v>
      </c>
      <c r="Q591" t="inlineStr">
        <is>
          <t>BOC</t>
        </is>
      </c>
      <c r="R591" t="inlineStr">
        <is>
          <t>М</t>
        </is>
      </c>
      <c r="S591" s="2">
        <f>HYPERLINK("https://yandex.ru/maps/?&amp;text=55.19282, 61.443607", "55.19282, 61.443607")</f>
        <v/>
      </c>
      <c r="T591" s="2">
        <f>HYPERLINK("D:\venv_torgi\env\cache\objs_in_district/55.19282_61.443607.json", "55.19282_61.443607.json")</f>
        <v/>
      </c>
      <c r="U591" t="inlineStr">
        <is>
          <t>74:36:0609012:456</t>
        </is>
      </c>
      <c r="V591" t="n">
        <v>3</v>
      </c>
      <c r="Y591" t="n">
        <v>0</v>
      </c>
      <c r="AA591" t="n">
        <v>0</v>
      </c>
      <c r="AB591" t="n">
        <v>0</v>
      </c>
    </row>
    <row r="592">
      <c r="A592" s="7" t="n">
        <v>590</v>
      </c>
      <c r="B592" t="n">
        <v>74</v>
      </c>
      <c r="C592" s="1" t="n">
        <v>216.4</v>
      </c>
      <c r="D592" s="2">
        <f>HYPERLINK("https://torgi.gov.ru/new/public/lots/lot/21000007680000000007_1/(lotInfo:info)", "21000007680000000007_1")</f>
        <v/>
      </c>
      <c r="E592" t="inlineStr">
        <is>
          <t>В соответствии с приложением № 1 к информационному сообщению</t>
        </is>
      </c>
      <c r="F592" s="3" t="inlineStr">
        <is>
          <t>12.04.22 12:30</t>
        </is>
      </c>
      <c r="G592" t="inlineStr">
        <is>
          <t>Челябинская обл, г. Троицк, ул. 10 квартал, д. 6</t>
        </is>
      </c>
      <c r="H592" s="4" t="n">
        <v>602686</v>
      </c>
      <c r="I592" s="4" t="n">
        <v>2785.055452865065</v>
      </c>
      <c r="J592" t="inlineStr">
        <is>
          <t>Нежилое помещение</t>
        </is>
      </c>
      <c r="K592" s="5" t="n">
        <v>1.11</v>
      </c>
      <c r="L592" s="4" t="n">
        <v>96.03</v>
      </c>
      <c r="M592" t="n">
        <v>2520</v>
      </c>
      <c r="N592" s="6" t="n">
        <v>75231</v>
      </c>
      <c r="O592" t="n">
        <v>29</v>
      </c>
      <c r="Q592" t="inlineStr">
        <is>
          <t>EA</t>
        </is>
      </c>
      <c r="R592" t="inlineStr">
        <is>
          <t>М</t>
        </is>
      </c>
      <c r="S592" s="2">
        <f>HYPERLINK("https://yandex.ru/maps/?&amp;text=54.05145, 61.639637", "54.05145, 61.639637")</f>
        <v/>
      </c>
      <c r="T592" s="2">
        <f>HYPERLINK("D:\venv_torgi\env\cache\objs_in_district/54.05145_61.639637.json", "54.05145_61.639637.json")</f>
        <v/>
      </c>
      <c r="U592" t="inlineStr">
        <is>
          <t>74:35:2700006:2462</t>
        </is>
      </c>
      <c r="V592" t="n">
        <v>1</v>
      </c>
      <c r="Y592" t="n">
        <v>0</v>
      </c>
      <c r="AA592" t="n">
        <v>0</v>
      </c>
      <c r="AB592" t="n">
        <v>0</v>
      </c>
    </row>
    <row r="593">
      <c r="A593" s="7" t="n">
        <v>591</v>
      </c>
      <c r="B593" t="n">
        <v>74</v>
      </c>
      <c r="C593" s="1" t="n">
        <v>66.5</v>
      </c>
      <c r="D593" s="2">
        <f>HYPERLINK("https://torgi.gov.ru/new/public/lots/lot/21000031800000000003_5/(lotInfo:info)", "21000031800000000003_5")</f>
        <v/>
      </c>
      <c r="E593" t="inlineStr">
        <is>
          <t>кадастровый номер: 74:03:0706020:355, назначение – нежилое помещение, общая площадь 66,5 кв.м.</t>
        </is>
      </c>
      <c r="F593" s="3" t="inlineStr">
        <is>
          <t>15.08.22 05:00</t>
        </is>
      </c>
      <c r="G593" t="inlineStr">
        <is>
          <t>Челябинская обл, Ашинский р-н, г Миньяр, ул Сорокина, д 61 стр 1</t>
        </is>
      </c>
      <c r="H593" s="4" t="n">
        <v>202650</v>
      </c>
      <c r="I593" s="4" t="n">
        <v>3047.368421052632</v>
      </c>
      <c r="J593" t="inlineStr">
        <is>
          <t>Нежилое помещение</t>
        </is>
      </c>
      <c r="K593" s="5" t="n">
        <v>2.58</v>
      </c>
      <c r="M593" t="n">
        <v>1179</v>
      </c>
      <c r="N593" s="6" t="n">
        <v>9342</v>
      </c>
      <c r="Q593" t="inlineStr">
        <is>
          <t>EA</t>
        </is>
      </c>
      <c r="R593" t="inlineStr">
        <is>
          <t>М</t>
        </is>
      </c>
      <c r="S593" s="2">
        <f>HYPERLINK("https://yandex.ru/maps/?&amp;text=55.068293, 57.552222", "55.068293, 57.552222")</f>
        <v/>
      </c>
      <c r="U593" t="inlineStr">
        <is>
          <t xml:space="preserve">74:03:0706020:355, </t>
        </is>
      </c>
      <c r="V593" t="n">
        <v>2</v>
      </c>
      <c r="Y593" t="n">
        <v>0</v>
      </c>
      <c r="AA593" t="n">
        <v>0</v>
      </c>
      <c r="AB593" t="n">
        <v>0</v>
      </c>
    </row>
    <row r="594">
      <c r="A594" s="7" t="n">
        <v>592</v>
      </c>
      <c r="B594" t="n">
        <v>74</v>
      </c>
      <c r="C594" s="1" t="n">
        <v>66.7</v>
      </c>
      <c r="D594" s="2">
        <f>HYPERLINK("https://torgi.gov.ru/new/public/lots/lot/21000027850000000007_1/(lotInfo:info)", "21000027850000000007_1")</f>
        <v/>
      </c>
      <c r="E594" t="inlineStr">
        <is>
          <t>Нежилое помещение, общей площадью 66,7 (шестьдесят шесть целых семь десятых) кв. метров, расположенное по адресу: Челябинская область, Саткинский район, г. Бакал, ул. Титова, д.17, этаж 1, кадастровый номер 74:18:1002093:1407.</t>
        </is>
      </c>
      <c r="F594" s="3" t="inlineStr">
        <is>
          <t>12.05.22 09:00</t>
        </is>
      </c>
      <c r="G594" t="inlineStr">
        <is>
          <t>Челябинская обл, Саткинский р-н, г Бакал, ул Титова, д 17</t>
        </is>
      </c>
      <c r="H594" s="4" t="n">
        <v>230000</v>
      </c>
      <c r="I594" s="4" t="n">
        <v>3448.275862068966</v>
      </c>
      <c r="J594" t="inlineStr">
        <is>
          <t>Нежилое помещение</t>
        </is>
      </c>
      <c r="K594" s="5" t="n">
        <v>7.31</v>
      </c>
      <c r="M594" t="n">
        <v>472</v>
      </c>
      <c r="N594" s="6" t="n">
        <v>19590</v>
      </c>
      <c r="Q594" t="inlineStr">
        <is>
          <t>BOC</t>
        </is>
      </c>
      <c r="R594" t="inlineStr">
        <is>
          <t>М</t>
        </is>
      </c>
      <c r="S594" s="2">
        <f>HYPERLINK("https://yandex.ru/maps/?&amp;text=54.94397, 58.802605", "54.94397, 58.802605")</f>
        <v/>
      </c>
      <c r="U594" t="inlineStr">
        <is>
          <t>74:18:1002093:1407</t>
        </is>
      </c>
      <c r="V594" t="n">
        <v>1</v>
      </c>
      <c r="Y594" t="n">
        <v>0</v>
      </c>
      <c r="AA594" t="n">
        <v>0</v>
      </c>
      <c r="AB594" t="n">
        <v>0</v>
      </c>
    </row>
    <row r="595">
      <c r="A595" s="7" t="n">
        <v>593</v>
      </c>
      <c r="B595" t="n">
        <v>74</v>
      </c>
      <c r="C595" s="1" t="n">
        <v>35.9</v>
      </c>
      <c r="D595" s="2">
        <f>HYPERLINK("https://torgi.gov.ru/new/public/lots/lot/21000001300000000002_2/(lotInfo:info)", "21000001300000000002_2")</f>
        <v/>
      </c>
      <c r="E595" t="inlineStr">
        <is>
          <t>нежилое помещение, общей площадью 35,9 кв.м, расположенное по адресу: Челябинская область, Еманжелинский район, г. Еманжелинск, ул. Шахтера, 17, пом. 7, кадастровый номер 74:28:0102051:83 перегородки деревянные, полы дощатые, отопление центральное, водопровод и канализация в местах общего пользования</t>
        </is>
      </c>
      <c r="F595" s="3" t="inlineStr">
        <is>
          <t>11.05.22 09:00</t>
        </is>
      </c>
      <c r="G595" t="inlineStr">
        <is>
          <t>Челябинская обл, г Еманжелинск, ул Шахтера, д 17</t>
        </is>
      </c>
      <c r="H595" s="4" t="n">
        <v>136500</v>
      </c>
      <c r="I595" s="4" t="n">
        <v>3802.228412256267</v>
      </c>
      <c r="J595" t="inlineStr">
        <is>
          <t>Нежилое помещение</t>
        </is>
      </c>
      <c r="K595" s="5" t="n">
        <v>1.66</v>
      </c>
      <c r="M595" t="n">
        <v>2296</v>
      </c>
      <c r="N595" s="6" t="n">
        <v>29077</v>
      </c>
      <c r="Q595" t="inlineStr">
        <is>
          <t>PP</t>
        </is>
      </c>
      <c r="R595" t="inlineStr">
        <is>
          <t>М</t>
        </is>
      </c>
      <c r="S595" s="2">
        <f>HYPERLINK("https://yandex.ru/maps/?&amp;text=54.75021, 61.319324", "54.75021, 61.319324")</f>
        <v/>
      </c>
      <c r="U595" t="inlineStr">
        <is>
          <t xml:space="preserve">74:28:0102051:83 </t>
        </is>
      </c>
      <c r="V595" t="n">
        <v>2</v>
      </c>
      <c r="Y595" t="n">
        <v>0</v>
      </c>
      <c r="AA595" t="n">
        <v>0</v>
      </c>
      <c r="AB595" t="n">
        <v>0</v>
      </c>
    </row>
    <row r="596">
      <c r="A596" s="7" t="n">
        <v>594</v>
      </c>
      <c r="B596" t="n">
        <v>74</v>
      </c>
      <c r="C596" s="1" t="n">
        <v>35.6</v>
      </c>
      <c r="D596" s="2">
        <f>HYPERLINK("https://torgi.gov.ru/new/public/lots/lot/21000001300000000002_1/(lotInfo:info)", "21000001300000000002_1")</f>
        <v/>
      </c>
      <c r="E596" t="inlineStr">
        <is>
          <t>нежилое помещение, общей площадью 35,6 кв.м, расположенное по адресу: Челябинская область, Еманжелинский район, г. Еманжелинск, ул. Шахтера, 17, пом. 2, кадастровый номер 74:28:0102051:40 перегородки деревянные, полы дощатые, отопление центральное, водопровод и канализация в местах общего пользования</t>
        </is>
      </c>
      <c r="F596" s="3" t="inlineStr">
        <is>
          <t>11.05.22 09:00</t>
        </is>
      </c>
      <c r="G596" t="inlineStr">
        <is>
          <t>Челябинская обл, г Еманжелинск, ул Шахтера, д 17</t>
        </is>
      </c>
      <c r="H596" s="4" t="n">
        <v>135500</v>
      </c>
      <c r="I596" s="4" t="n">
        <v>3806.179775280899</v>
      </c>
      <c r="J596" t="inlineStr">
        <is>
          <t>Нежилое помещение</t>
        </is>
      </c>
      <c r="K596" s="5" t="n">
        <v>1.66</v>
      </c>
      <c r="M596" t="n">
        <v>2296</v>
      </c>
      <c r="N596" s="6" t="n">
        <v>29077</v>
      </c>
      <c r="Q596" t="inlineStr">
        <is>
          <t>PP</t>
        </is>
      </c>
      <c r="R596" t="inlineStr">
        <is>
          <t>М</t>
        </is>
      </c>
      <c r="S596" s="2">
        <f>HYPERLINK("https://yandex.ru/maps/?&amp;text=54.75021, 61.319324", "54.75021, 61.319324")</f>
        <v/>
      </c>
      <c r="U596" t="inlineStr">
        <is>
          <t xml:space="preserve">74:28:0102051:40 </t>
        </is>
      </c>
      <c r="V596" t="n">
        <v>1</v>
      </c>
      <c r="Y596" t="n">
        <v>0</v>
      </c>
      <c r="AA596" t="n">
        <v>0</v>
      </c>
      <c r="AB596" t="n">
        <v>0</v>
      </c>
    </row>
    <row r="597">
      <c r="A597" s="7" t="n">
        <v>595</v>
      </c>
      <c r="B597" t="n">
        <v>74</v>
      </c>
      <c r="C597" s="1" t="n">
        <v>73.7</v>
      </c>
      <c r="D597" s="2">
        <f>HYPERLINK("https://torgi.gov.ru/new/public/lots/lot/21000034530000000001_1/(lotInfo:info)", "21000034530000000001_1")</f>
        <v/>
      </c>
      <c r="E597" t="inlineStr">
        <is>
          <t>расположенное по адресу: Челябинская область, Еткульский район, село Селезян, ул. Мира, д. 18К, пом. 1, общей площадью 73,7 (Семьдесят три целых и семь десятых) квадратных метров</t>
        </is>
      </c>
      <c r="F597" s="3" t="inlineStr">
        <is>
          <t>24.04.22 19:00</t>
        </is>
      </c>
      <c r="G597" t="inlineStr">
        <is>
          <t>Челябинская обл, Еткульский р-н, село Селезян, ул Мира, д 18К</t>
        </is>
      </c>
      <c r="H597" s="4" t="n">
        <v>300000</v>
      </c>
      <c r="I597" s="4" t="n">
        <v>4070.55630936228</v>
      </c>
      <c r="J597" t="inlineStr">
        <is>
          <t>Нежилое помещение</t>
        </is>
      </c>
      <c r="K597" s="5" t="n">
        <v>5.49</v>
      </c>
      <c r="M597" t="n">
        <v>741</v>
      </c>
      <c r="N597" s="6" t="n">
        <v>1395</v>
      </c>
      <c r="Q597" t="inlineStr">
        <is>
          <t>EA</t>
        </is>
      </c>
      <c r="R597" t="inlineStr">
        <is>
          <t>М</t>
        </is>
      </c>
      <c r="S597" s="2">
        <f>HYPERLINK("https://yandex.ru/maps/?&amp;text=54.907448, 61.822342", "54.907448, 61.822342")</f>
        <v/>
      </c>
      <c r="V597" t="n">
        <v>0</v>
      </c>
      <c r="Y597" t="n">
        <v>0</v>
      </c>
      <c r="AA597" t="n">
        <v>0</v>
      </c>
      <c r="AB597" t="n">
        <v>0</v>
      </c>
    </row>
    <row r="598">
      <c r="A598" s="7" t="n">
        <v>596</v>
      </c>
      <c r="B598" t="n">
        <v>74</v>
      </c>
      <c r="C598" s="1" t="n">
        <v>122.8</v>
      </c>
      <c r="D598" s="2">
        <f>HYPERLINK("https://torgi.gov.ru/new/public/lots/lot/21000034280000000004_1/(lotInfo:info)", "21000034280000000004_1")</f>
        <v/>
      </c>
      <c r="E598" t="inlineStr">
        <is>
          <t>Нежилое помещение, общая площадь 122,8 кв.м расположенного по адресу: Челябинская обл., г.Касли, ул.Лобашова 145 пом.18.</t>
        </is>
      </c>
      <c r="F598" s="3" t="inlineStr">
        <is>
          <t>08.03.22 19:00</t>
        </is>
      </c>
      <c r="G598" t="inlineStr">
        <is>
          <t>Челябинская обл, г Касли, ул Лобашова, д 145</t>
        </is>
      </c>
      <c r="H598" s="4" t="n">
        <v>512800</v>
      </c>
      <c r="I598" s="4" t="n">
        <v>4175.895765472313</v>
      </c>
      <c r="J598" t="inlineStr">
        <is>
          <t>Нежилое помещение</t>
        </is>
      </c>
      <c r="K598" s="5" t="n">
        <v>2.72</v>
      </c>
      <c r="L598" s="4" t="n">
        <v>521.88</v>
      </c>
      <c r="M598" t="n">
        <v>1536</v>
      </c>
      <c r="N598" s="6" t="n">
        <v>16263</v>
      </c>
      <c r="O598" t="n">
        <v>8</v>
      </c>
      <c r="Q598" t="inlineStr">
        <is>
          <t>PP</t>
        </is>
      </c>
      <c r="R598" t="inlineStr">
        <is>
          <t>М</t>
        </is>
      </c>
      <c r="S598" s="2">
        <f>HYPERLINK("https://yandex.ru/maps/?&amp;text=55.899684, 60.735914", "55.899684, 60.735914")</f>
        <v/>
      </c>
      <c r="T598" s="2">
        <f>HYPERLINK("D:\venv_torgi\env\cache\objs_in_district/55.899684_60.735914.json", "55.899684_60.735914.json")</f>
        <v/>
      </c>
      <c r="V598" t="n">
        <v>0</v>
      </c>
      <c r="Y598" t="n">
        <v>0</v>
      </c>
      <c r="AA598" t="n">
        <v>0</v>
      </c>
      <c r="AB598" t="n">
        <v>0</v>
      </c>
    </row>
    <row r="599">
      <c r="A599" s="7" t="n">
        <v>597</v>
      </c>
      <c r="B599" t="n">
        <v>74</v>
      </c>
      <c r="C599" s="1" t="n">
        <v>632.4</v>
      </c>
      <c r="D599" s="2">
        <f>HYPERLINK("https://torgi.gov.ru/new/public/lots/lot/21000017550000000005_1/(lotInfo:info)", "21000017550000000005_1")</f>
        <v/>
      </c>
      <c r="E599" t="inlineStr">
        <is>
      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      </is>
      </c>
      <c r="F599" s="3" t="inlineStr">
        <is>
          <t>21.02.22 11:00</t>
        </is>
      </c>
      <c r="G599" t="inlineStr">
        <is>
          <t>Челябинская обл, г Снежинск, ул Транспортная, д 15</t>
        </is>
      </c>
      <c r="H599" s="4" t="n">
        <v>2700000</v>
      </c>
      <c r="I599" s="4" t="n">
        <v>4269.449715370019</v>
      </c>
      <c r="J599" t="inlineStr">
        <is>
          <t>Нежилое помещение</t>
        </is>
      </c>
      <c r="K599" s="5" t="n">
        <v>1.87</v>
      </c>
      <c r="L599" s="4" t="n">
        <v>88.94</v>
      </c>
      <c r="M599" t="n">
        <v>2282</v>
      </c>
      <c r="N599" s="6" t="n">
        <v>50759</v>
      </c>
      <c r="O599" t="n">
        <v>48</v>
      </c>
      <c r="Q599" t="inlineStr">
        <is>
          <t>BOC</t>
        </is>
      </c>
      <c r="R599" t="inlineStr">
        <is>
          <t>М</t>
        </is>
      </c>
      <c r="S599" s="2">
        <f>HYPERLINK("https://yandex.ru/maps/?&amp;text=56.08004, 60.739857", "56.08004, 60.739857")</f>
        <v/>
      </c>
      <c r="T599" s="2">
        <f>HYPERLINK("D:\venv_torgi\env\cache\objs_in_district/56.08004_60.739857.json", "56.08004_60.739857.json")</f>
        <v/>
      </c>
      <c r="U599" t="inlineStr">
        <is>
          <t>74:40:0000000:3164</t>
        </is>
      </c>
      <c r="V599" t="n">
        <v>0</v>
      </c>
      <c r="Y599" t="n">
        <v>0</v>
      </c>
      <c r="AA599" t="n">
        <v>0</v>
      </c>
      <c r="AB599" t="n">
        <v>0</v>
      </c>
    </row>
    <row r="600">
      <c r="A600" s="7" t="n">
        <v>598</v>
      </c>
      <c r="B600" t="n">
        <v>74</v>
      </c>
      <c r="C600" s="1" t="n">
        <v>69.7</v>
      </c>
      <c r="D600" s="2">
        <f>HYPERLINK("https://torgi.gov.ru/new/public/lots/lot/21000007680000000005_1/(lotInfo:info)", "21000007680000000005_1")</f>
        <v/>
      </c>
      <c r="E600" t="inlineStr">
        <is>
          <t>В соответствии с приложением № 1 к информационной карте</t>
        </is>
      </c>
      <c r="F600" s="3" t="inlineStr">
        <is>
          <t>11.04.22 12:30</t>
        </is>
      </c>
      <c r="G600" t="inlineStr">
        <is>
          <t>Челябинская обл, г Троицк, пр-кт Строителей, д 18</t>
        </is>
      </c>
      <c r="H600" s="4" t="n">
        <v>329106</v>
      </c>
      <c r="I600" s="4" t="n">
        <v>4721.750358680058</v>
      </c>
      <c r="J600" t="inlineStr">
        <is>
          <t>Нежилое помещение</t>
        </is>
      </c>
      <c r="K600" s="5" t="n">
        <v>6.21</v>
      </c>
      <c r="M600" t="n">
        <v>760</v>
      </c>
      <c r="N600" s="6" t="n">
        <v>75231</v>
      </c>
      <c r="Q600" t="inlineStr">
        <is>
          <t>EA</t>
        </is>
      </c>
      <c r="R600" t="inlineStr">
        <is>
          <t>М</t>
        </is>
      </c>
      <c r="S600" s="2">
        <f>HYPERLINK("https://yandex.ru/maps/?&amp;text=54.045371, 61.634885", "54.045371, 61.634885")</f>
        <v/>
      </c>
      <c r="U600" t="inlineStr">
        <is>
          <t xml:space="preserve">74:35:2700014:150, </t>
        </is>
      </c>
      <c r="V600" t="n">
        <v>1</v>
      </c>
      <c r="Y600" t="n">
        <v>0</v>
      </c>
      <c r="AA600" t="n">
        <v>0</v>
      </c>
      <c r="AB600" t="n">
        <v>0</v>
      </c>
    </row>
    <row r="601">
      <c r="A601" s="7" t="n">
        <v>599</v>
      </c>
      <c r="B601" t="n">
        <v>74</v>
      </c>
      <c r="C601" s="1" t="n">
        <v>129.9</v>
      </c>
      <c r="D601" s="2">
        <f>HYPERLINK("https://torgi.gov.ru/new/public/lots/lot/21000017550000000037_1/(lotInfo:info)", "21000017550000000037_1")</f>
        <v/>
      </c>
      <c r="E601" t="inlineStr">
        <is>
          <t>Наименование:Нежилое помещение, расположенное по адресу: Челябинская область, р-н Еманжелинский,                           г. Еманжелинск, ул. Герцена, д. 14, пом. 4Номер РФИ:П13740006142Кадастровый номер:74:28:0101022:868Площадь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      </is>
      </c>
      <c r="F601" s="3" t="inlineStr">
        <is>
          <t>18.07.22 13:00</t>
        </is>
      </c>
      <c r="G601" t="inlineStr">
        <is>
          <t>Челябинская обл, г Еманжелинск, ул Герцена, д 14</t>
        </is>
      </c>
      <c r="H601" s="4" t="n">
        <v>652777</v>
      </c>
      <c r="I601" s="4" t="n">
        <v>5025.227097767513</v>
      </c>
      <c r="J601" t="inlineStr">
        <is>
          <t>Нежилое помещение</t>
        </is>
      </c>
      <c r="K601" s="5" t="n">
        <v>1.03</v>
      </c>
      <c r="L601" s="4" t="n">
        <v>239.29</v>
      </c>
      <c r="M601" t="n">
        <v>4894</v>
      </c>
      <c r="N601" s="6" t="n">
        <v>29077</v>
      </c>
      <c r="O601" t="n">
        <v>21</v>
      </c>
      <c r="Q601" t="inlineStr">
        <is>
          <t>BOC</t>
        </is>
      </c>
      <c r="R601" t="inlineStr">
        <is>
          <t>М</t>
        </is>
      </c>
      <c r="S601" s="2">
        <f>HYPERLINK("https://yandex.ru/maps/?&amp;text=54.754158, 61.31196", "54.754158, 61.31196")</f>
        <v/>
      </c>
      <c r="T601" s="2">
        <f>HYPERLINK("D:\venv_torgi\env\cache\objs_in_district/54.754158_61.31196.json", "54.754158_61.31196.json")</f>
        <v/>
      </c>
      <c r="U601" t="inlineStr">
        <is>
          <t>74:28:0101022:868</t>
        </is>
      </c>
      <c r="V601" t="n">
        <v>1</v>
      </c>
      <c r="Y601" t="n">
        <v>0</v>
      </c>
      <c r="AA601" t="n">
        <v>0</v>
      </c>
      <c r="AB601" t="n">
        <v>0</v>
      </c>
    </row>
    <row r="602">
      <c r="A602" s="7" t="n">
        <v>600</v>
      </c>
      <c r="B602" t="n">
        <v>74</v>
      </c>
      <c r="C602" s="1" t="n">
        <v>72</v>
      </c>
      <c r="D602" s="2">
        <f>HYPERLINK("https://torgi.gov.ru/new/public/lots/lot/21000004870000000005_4/(lotInfo:info)", "21000004870000000005_4")</f>
        <v/>
      </c>
      <c r="E602" t="inlineStr">
        <is>
          <t>Место нахождение Имущества: Челябинская область, г. Челябинск, тракт Свердловский, д. 2-б, пом. 4.Характеристика нежилого помещения:Кадастровый номер: 74:36:0703009:311.Общая площадь помещения: 72,0 кв. м.Назначение – нежилое, цокольный, антресоль.В соответствии с отчетом об оценке рыночной стоимости объекта 06.12.2021 № 39-5МК72/2021: - потолок: гипсокартон;- стены: без отделки; - пол: бетонный.</t>
        </is>
      </c>
      <c r="F602" s="3" t="inlineStr">
        <is>
          <t>20.05.22 18:59</t>
        </is>
      </c>
      <c r="G602" t="inlineStr">
        <is>
          <t>г Челябинск, Свердловский тракт, д 2Б</t>
        </is>
      </c>
      <c r="H602" s="4" t="n">
        <v>362600</v>
      </c>
      <c r="I602" s="4" t="n">
        <v>5036.111111111111</v>
      </c>
      <c r="J602" t="inlineStr">
        <is>
          <t>Нежилое помещение</t>
        </is>
      </c>
      <c r="K602" s="5" t="n">
        <v>3.72</v>
      </c>
      <c r="M602" t="n">
        <v>1355</v>
      </c>
      <c r="N602" s="6" t="n">
        <v>1134643</v>
      </c>
      <c r="Q602" t="inlineStr">
        <is>
          <t>EA</t>
        </is>
      </c>
      <c r="R602" t="inlineStr">
        <is>
          <t>М</t>
        </is>
      </c>
      <c r="S602" s="2">
        <f>HYPERLINK("https://yandex.ru/maps/?&amp;text=55.254271, 61.35188", "55.254271, 61.35188")</f>
        <v/>
      </c>
      <c r="U602" t="inlineStr">
        <is>
          <t>74:36:0703009:311</t>
        </is>
      </c>
      <c r="V602" t="n">
        <v>0</v>
      </c>
      <c r="Y602" t="n">
        <v>0</v>
      </c>
      <c r="AA602" t="n">
        <v>0</v>
      </c>
      <c r="AB602" t="n">
        <v>0</v>
      </c>
    </row>
    <row r="603">
      <c r="A603" s="7" t="n">
        <v>601</v>
      </c>
      <c r="B603" t="n">
        <v>74</v>
      </c>
      <c r="C603" s="1" t="n">
        <v>93.90000000000001</v>
      </c>
      <c r="D603" s="2">
        <f>HYPERLINK("https://torgi.gov.ru/new/public/lots/lot/21000003820000000014_1/(lotInfo:info)", "21000003820000000014_1")</f>
        <v/>
      </c>
      <c r="E603" t="inlineStr">
        <is>
          <t>Нежилое помещение, назначение: нежилое помещение, общей площадью 93,9 кв.м., этаж:3, кадастровый номер: 74:25:0303205:300.</t>
        </is>
      </c>
      <c r="F603" s="3" t="inlineStr">
        <is>
          <t>21.03.22 07:00</t>
        </is>
      </c>
      <c r="G603" t="inlineStr">
        <is>
          <t>Челябинская обл, г Златоуст, ул им А.А.Ухтомского</t>
        </is>
      </c>
      <c r="H603" s="4" t="n">
        <v>476500</v>
      </c>
      <c r="I603" s="4" t="n">
        <v>5074.547390841321</v>
      </c>
      <c r="J603" t="inlineStr">
        <is>
          <t>Нежилое помещение</t>
        </is>
      </c>
      <c r="K603" s="5" t="n">
        <v>1.69</v>
      </c>
      <c r="M603" t="n">
        <v>3007</v>
      </c>
      <c r="N603" s="6" t="n">
        <v>167978</v>
      </c>
      <c r="Q603" t="inlineStr">
        <is>
          <t>PP</t>
        </is>
      </c>
      <c r="R603" t="inlineStr">
        <is>
          <t>М</t>
        </is>
      </c>
      <c r="S603" s="2">
        <f>HYPERLINK("https://yandex.ru/maps/?&amp;text=55.115682, 59.727124", "55.115682, 59.727124")</f>
        <v/>
      </c>
      <c r="U603" t="inlineStr">
        <is>
          <t>74:25:0303205:300</t>
        </is>
      </c>
      <c r="V603" t="n">
        <v>3</v>
      </c>
      <c r="Y603" t="n">
        <v>0</v>
      </c>
      <c r="AA603" t="n">
        <v>0</v>
      </c>
      <c r="AB603" t="n">
        <v>0</v>
      </c>
    </row>
    <row r="604">
      <c r="A604" s="7" t="n">
        <v>602</v>
      </c>
      <c r="B604" t="n">
        <v>74</v>
      </c>
      <c r="C604" s="1" t="n">
        <v>116.1</v>
      </c>
      <c r="D604" s="2">
        <f>HYPERLINK("https://torgi.gov.ru/new/public/lots/lot/21000007680000000006_1/(lotInfo:info)", "21000007680000000006_1")</f>
        <v/>
      </c>
      <c r="E604" t="inlineStr">
        <is>
          <t>В соответствии с приложением № 1 к информационному сообщению</t>
        </is>
      </c>
      <c r="F604" s="3" t="inlineStr">
        <is>
          <t>11.04.22 12:30</t>
        </is>
      </c>
      <c r="G604" t="inlineStr">
        <is>
          <t>Челябинская обл, г Троицк, ул им. Ю.А. Гагарина, д 16Б</t>
        </is>
      </c>
      <c r="H604" s="4" t="n">
        <v>653517</v>
      </c>
      <c r="I604" s="4" t="n">
        <v>5628.914728682171</v>
      </c>
      <c r="J604" t="inlineStr">
        <is>
          <t>Нежилое помещение</t>
        </is>
      </c>
      <c r="K604" s="5" t="n">
        <v>1.07</v>
      </c>
      <c r="L604" s="4" t="n">
        <v>34.11</v>
      </c>
      <c r="M604" t="n">
        <v>5282</v>
      </c>
      <c r="N604" s="6" t="n">
        <v>75231</v>
      </c>
      <c r="O604" t="n">
        <v>165</v>
      </c>
      <c r="Q604" t="inlineStr">
        <is>
          <t>EA</t>
        </is>
      </c>
      <c r="R604" t="inlineStr">
        <is>
          <t>М</t>
        </is>
      </c>
      <c r="S604" s="2">
        <f>HYPERLINK("https://yandex.ru/maps/?&amp;text=54.07909, 61.531265", "54.07909, 61.531265")</f>
        <v/>
      </c>
      <c r="T604" s="2">
        <f>HYPERLINK("D:\venv_torgi\env\cache\objs_in_district/54.07909_61.531265.json", "54.07909_61.531265.json")</f>
        <v/>
      </c>
      <c r="U604" t="inlineStr">
        <is>
          <t xml:space="preserve">74:35:0600002:649, </t>
        </is>
      </c>
      <c r="V604" t="n">
        <v>1</v>
      </c>
      <c r="Y604" t="n">
        <v>0</v>
      </c>
      <c r="AA604" t="n">
        <v>0</v>
      </c>
      <c r="AB604" t="n">
        <v>0</v>
      </c>
    </row>
    <row r="605">
      <c r="A605" s="7" t="n">
        <v>603</v>
      </c>
      <c r="B605" t="n">
        <v>74</v>
      </c>
      <c r="C605" s="1" t="n">
        <v>93.8</v>
      </c>
      <c r="D605" s="2">
        <f>HYPERLINK("https://torgi.gov.ru/new/public/lots/lot/22000072190000000004_1/(lotInfo:info)", "22000072190000000004_1")</f>
        <v/>
      </c>
      <c r="E605" t="inlineStr">
        <is>
          <t>Нежилое здание, расположенное по адресу: Челябинская область, Еткульский район, п.Белоносово, ул. Центральная, д. 7, общей площадью 93,8 (девяноста три целых восемь десятых) кв.м., с земельным участком кадастровый номер 74:07:2000011:105, площадь 900 кв.м, категория – земли населенных пунктов, вид разрешенного использования – для эксплуатации здания администрации.</t>
        </is>
      </c>
      <c r="F605" s="3" t="inlineStr">
        <is>
          <t>13.08.22 09:00</t>
        </is>
      </c>
      <c r="G605" t="inlineStr">
        <is>
          <t>Челябинская обл, Еткульский р-н, поселок Белоносово, ул Центральная, уч 7</t>
        </is>
      </c>
      <c r="H605" s="4" t="n">
        <v>572367</v>
      </c>
      <c r="I605" s="4" t="n">
        <v>6101.993603411514</v>
      </c>
      <c r="J605" t="inlineStr">
        <is>
          <t>жилое здание</t>
        </is>
      </c>
      <c r="K605" s="5" t="n">
        <v>13.83</v>
      </c>
      <c r="L605" s="4" t="n">
        <v>3050.5</v>
      </c>
      <c r="M605" t="n">
        <v>441</v>
      </c>
      <c r="N605" s="6" t="n">
        <v>1318</v>
      </c>
      <c r="O605" t="n">
        <v>2</v>
      </c>
      <c r="Q605" t="inlineStr">
        <is>
          <t>EA</t>
        </is>
      </c>
      <c r="R605" t="inlineStr">
        <is>
          <t>М</t>
        </is>
      </c>
      <c r="S605" s="2">
        <f>HYPERLINK("https://yandex.ru/maps/?&amp;text=54.811306, 61.439843", "54.811306, 61.439843")</f>
        <v/>
      </c>
      <c r="T605" s="2">
        <f>HYPERLINK("D:\venv_torgi\env\cache\objs_in_district/54.811306_61.439843.json", "54.811306_61.439843.json")</f>
        <v/>
      </c>
      <c r="U605" t="inlineStr">
        <is>
          <t xml:space="preserve">74:07:2000011:105, </t>
        </is>
      </c>
      <c r="V605" t="n">
        <v>1</v>
      </c>
      <c r="Y605" t="n">
        <v>0</v>
      </c>
      <c r="AA605" t="n">
        <v>0</v>
      </c>
      <c r="AB605" t="n">
        <v>1</v>
      </c>
    </row>
    <row r="606">
      <c r="A606" s="7" t="n">
        <v>604</v>
      </c>
      <c r="B606" t="n">
        <v>74</v>
      </c>
      <c r="C606" s="1" t="n">
        <v>169.1</v>
      </c>
      <c r="D606" s="2">
        <f>HYPERLINK("https://torgi.gov.ru/new/public/lots/lot/21000004870000000001_2/(lotInfo:info)", "21000004870000000001_2")</f>
        <v/>
      </c>
      <c r="E606" t="inlineStr">
        <is>
          <t>Кадастровый номер: 74:36:0114009:570.Общая площадь помещения: 169,1 кв. м.Назначение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      </is>
      </c>
      <c r="F606" s="3" t="inlineStr">
        <is>
          <t>25.03.22 18:59</t>
        </is>
      </c>
      <c r="G606" t="inlineStr">
        <is>
          <t>г Челябинск, ул Жукова, д 18А</t>
        </is>
      </c>
      <c r="H606" s="4" t="n">
        <v>1101400</v>
      </c>
      <c r="I606" s="4" t="n">
        <v>6513.30573625074</v>
      </c>
      <c r="J606" t="inlineStr">
        <is>
          <t>Нежилое помещение</t>
        </is>
      </c>
      <c r="K606" s="5" t="n">
        <v>0.68</v>
      </c>
      <c r="L606" s="4" t="n">
        <v>197.36</v>
      </c>
      <c r="M606" t="n">
        <v>9636</v>
      </c>
      <c r="N606" s="6" t="n">
        <v>1134643</v>
      </c>
      <c r="O606" t="n">
        <v>33</v>
      </c>
      <c r="Q606" t="inlineStr">
        <is>
          <t>EA</t>
        </is>
      </c>
      <c r="R606" t="inlineStr">
        <is>
          <t>М</t>
        </is>
      </c>
      <c r="S606" s="2">
        <f>HYPERLINK("https://yandex.ru/maps/?&amp;text=55.255575, 61.389546", "55.255575, 61.389546")</f>
        <v/>
      </c>
      <c r="T606" s="2">
        <f>HYPERLINK("D:\venv_torgi\env\cache\objs_in_district/55.255575_61.389546.json", "55.255575_61.389546.json")</f>
        <v/>
      </c>
      <c r="U606" t="inlineStr">
        <is>
          <t>74:36:0114009:570</t>
        </is>
      </c>
      <c r="V606" t="n">
        <v>0</v>
      </c>
      <c r="Y606" t="n">
        <v>0</v>
      </c>
      <c r="AA606" t="n">
        <v>0</v>
      </c>
      <c r="AB606" t="n">
        <v>0</v>
      </c>
    </row>
    <row r="607">
      <c r="A607" s="7" t="n">
        <v>605</v>
      </c>
      <c r="B607" t="n">
        <v>74</v>
      </c>
      <c r="C607" s="1" t="n">
        <v>65.3</v>
      </c>
      <c r="D607" s="2">
        <f>HYPERLINK("https://torgi.gov.ru/new/public/lots/lot/21000031800000000003_4/(lotInfo:info)", "21000031800000000003_4")</f>
        <v/>
      </c>
      <c r="E607" t="inlineStr">
        <is>
          <t>кадастровый номер: 74:03:0706025:41, назначение – нежилое помещение, общая площадь 65,3 кв.м.</t>
        </is>
      </c>
      <c r="F607" s="3" t="inlineStr">
        <is>
          <t>15.08.22 05:00</t>
        </is>
      </c>
      <c r="G607" t="inlineStr">
        <is>
          <t>Челябинская обл, Ашинский р-н, г Миньяр, ул Сорокина, д 61 стр 1</t>
        </is>
      </c>
      <c r="H607" s="4" t="n">
        <v>483000</v>
      </c>
      <c r="I607" s="4" t="n">
        <v>7396.630934150077</v>
      </c>
      <c r="J607" t="inlineStr">
        <is>
          <t>Нежилое помещение</t>
        </is>
      </c>
      <c r="K607" s="5" t="n">
        <v>6.27</v>
      </c>
      <c r="M607" t="n">
        <v>1179</v>
      </c>
      <c r="N607" s="6" t="n">
        <v>9342</v>
      </c>
      <c r="Q607" t="inlineStr">
        <is>
          <t>EA</t>
        </is>
      </c>
      <c r="R607" t="inlineStr">
        <is>
          <t>М</t>
        </is>
      </c>
      <c r="S607" s="2">
        <f>HYPERLINK("https://yandex.ru/maps/?&amp;text=55.068293, 57.552222", "55.068293, 57.552222")</f>
        <v/>
      </c>
      <c r="U607" t="inlineStr">
        <is>
          <t xml:space="preserve">74:03:0706025:41, </t>
        </is>
      </c>
      <c r="V607" t="n">
        <v>2</v>
      </c>
      <c r="Y607" t="n">
        <v>0</v>
      </c>
      <c r="AA607" t="n">
        <v>0</v>
      </c>
      <c r="AB607" t="n">
        <v>0</v>
      </c>
    </row>
    <row r="608">
      <c r="A608" s="7" t="n">
        <v>606</v>
      </c>
      <c r="B608" t="n">
        <v>74</v>
      </c>
      <c r="C608" s="1" t="n">
        <v>64.3</v>
      </c>
      <c r="D608" s="2">
        <f>HYPERLINK("https://torgi.gov.ru/new/public/lots/lot/21000031800000000003_2/(lotInfo:info)", "21000031800000000003_2")</f>
        <v/>
      </c>
      <c r="E608" t="inlineStr">
        <is>
          <t>кадастровый номер: 74:03:0706025:43, назначение – нежилое помещение, общая площадь 64,3 кв.м.</t>
        </is>
      </c>
      <c r="F608" s="3" t="inlineStr">
        <is>
          <t>15.08.22 05:00</t>
        </is>
      </c>
      <c r="G608" t="inlineStr">
        <is>
          <t>Челябинская обл, Ашинский р-н, г Миньяр, ул Сорокина, д 61 стр 1</t>
        </is>
      </c>
      <c r="H608" s="4" t="n">
        <v>475650</v>
      </c>
      <c r="I608" s="4" t="n">
        <v>7397.356143079316</v>
      </c>
      <c r="J608" t="inlineStr">
        <is>
          <t>Нежилое помещение</t>
        </is>
      </c>
      <c r="K608" s="5" t="n">
        <v>6.27</v>
      </c>
      <c r="M608" t="n">
        <v>1179</v>
      </c>
      <c r="N608" s="6" t="n">
        <v>9342</v>
      </c>
      <c r="Q608" t="inlineStr">
        <is>
          <t>EA</t>
        </is>
      </c>
      <c r="R608" t="inlineStr">
        <is>
          <t>М</t>
        </is>
      </c>
      <c r="S608" s="2">
        <f>HYPERLINK("https://yandex.ru/maps/?&amp;text=55.068293, 57.552222", "55.068293, 57.552222")</f>
        <v/>
      </c>
      <c r="U608" t="inlineStr">
        <is>
          <t xml:space="preserve">74:03:0706025:43, </t>
        </is>
      </c>
      <c r="V608" t="n">
        <v>2</v>
      </c>
      <c r="Y608" t="n">
        <v>0</v>
      </c>
      <c r="AA608" t="n">
        <v>0</v>
      </c>
      <c r="AB608" t="n">
        <v>0</v>
      </c>
    </row>
    <row r="609">
      <c r="A609" s="7" t="n">
        <v>607</v>
      </c>
      <c r="B609" t="n">
        <v>74</v>
      </c>
      <c r="C609" s="1" t="n">
        <v>64.90000000000001</v>
      </c>
      <c r="D609" s="2">
        <f>HYPERLINK("https://torgi.gov.ru/new/public/lots/lot/21000031800000000003_1/(lotInfo:info)", "21000031800000000003_1")</f>
        <v/>
      </c>
      <c r="E609" t="inlineStr">
        <is>
          <t>кадастровый номер: 74:03:0706025:44, назначение – нежилое помещение, общая площадь 64,9 кв.м.</t>
        </is>
      </c>
      <c r="F609" s="3" t="inlineStr">
        <is>
          <t>15.08.22 05:00</t>
        </is>
      </c>
      <c r="G609" t="inlineStr">
        <is>
          <t>Челябинская обл, Ашинский р-н, г Миньяр, ул Сорокина, д 61 стр 1</t>
        </is>
      </c>
      <c r="H609" s="4" t="n">
        <v>480900</v>
      </c>
      <c r="I609" s="4" t="n">
        <v>7409.861325115562</v>
      </c>
      <c r="J609" t="inlineStr">
        <is>
          <t>Нежилое помещение</t>
        </is>
      </c>
      <c r="K609" s="5" t="n">
        <v>6.28</v>
      </c>
      <c r="M609" t="n">
        <v>1179</v>
      </c>
      <c r="N609" s="6" t="n">
        <v>9342</v>
      </c>
      <c r="Q609" t="inlineStr">
        <is>
          <t>EA</t>
        </is>
      </c>
      <c r="R609" t="inlineStr">
        <is>
          <t>М</t>
        </is>
      </c>
      <c r="S609" s="2">
        <f>HYPERLINK("https://yandex.ru/maps/?&amp;text=55.068293, 57.552222", "55.068293, 57.552222")</f>
        <v/>
      </c>
      <c r="U609" t="inlineStr">
        <is>
          <t xml:space="preserve">74:03:0706025:44, </t>
        </is>
      </c>
      <c r="V609" t="n">
        <v>2</v>
      </c>
      <c r="Y609" t="n">
        <v>0</v>
      </c>
      <c r="AA609" t="n">
        <v>0</v>
      </c>
      <c r="AB609" t="n">
        <v>0</v>
      </c>
    </row>
    <row r="610">
      <c r="A610" s="7" t="n">
        <v>608</v>
      </c>
      <c r="B610" t="n">
        <v>74</v>
      </c>
      <c r="C610" s="1" t="n">
        <v>64.90000000000001</v>
      </c>
      <c r="D610" s="2">
        <f>HYPERLINK("https://torgi.gov.ru/new/public/lots/lot/21000031800000000003_3/(lotInfo:info)", "21000031800000000003_3")</f>
        <v/>
      </c>
      <c r="E610" t="inlineStr">
        <is>
          <t>кадастровый номер: 74:03:0706025:42, назначение – нежилое помещение, общая площадь 64,9 кв.м</t>
        </is>
      </c>
      <c r="F610" s="3" t="inlineStr">
        <is>
          <t>15.08.22 05:00</t>
        </is>
      </c>
      <c r="G610" t="inlineStr">
        <is>
          <t>Челябинская обл, Ашинский р-н, г Миньяр, ул Сорокина, д 61 стр 1</t>
        </is>
      </c>
      <c r="H610" s="4" t="n">
        <v>480900</v>
      </c>
      <c r="I610" s="4" t="n">
        <v>7409.861325115562</v>
      </c>
      <c r="J610" t="inlineStr">
        <is>
          <t>Нежилое помещение</t>
        </is>
      </c>
      <c r="K610" s="5" t="n">
        <v>6.28</v>
      </c>
      <c r="M610" t="n">
        <v>1179</v>
      </c>
      <c r="N610" s="6" t="n">
        <v>9342</v>
      </c>
      <c r="Q610" t="inlineStr">
        <is>
          <t>EA</t>
        </is>
      </c>
      <c r="R610" t="inlineStr">
        <is>
          <t>М</t>
        </is>
      </c>
      <c r="S610" s="2">
        <f>HYPERLINK("https://yandex.ru/maps/?&amp;text=55.068293, 57.552222", "55.068293, 57.552222")</f>
        <v/>
      </c>
      <c r="U610" t="inlineStr">
        <is>
          <t xml:space="preserve">74:03:0706025:42, </t>
        </is>
      </c>
      <c r="V610" t="n">
        <v>2</v>
      </c>
      <c r="Y610" t="n">
        <v>0</v>
      </c>
      <c r="AA610" t="n">
        <v>0</v>
      </c>
      <c r="AB610" t="n">
        <v>0</v>
      </c>
    </row>
    <row r="611">
      <c r="A611" s="7" t="n">
        <v>609</v>
      </c>
      <c r="B611" t="n">
        <v>74</v>
      </c>
      <c r="C611" s="1" t="n">
        <v>13</v>
      </c>
      <c r="D611" s="2">
        <f>HYPERLINK("https://torgi.gov.ru/new/public/lots/lot/21000007680000000004_1/(lotInfo:info)", "21000007680000000004_1")</f>
        <v/>
      </c>
      <c r="E611" t="inlineStr">
        <is>
          <t>В соответствии с приложением № 1 к информационному сообщению</t>
        </is>
      </c>
      <c r="F611" s="3" t="inlineStr">
        <is>
          <t>11.04.22 12:30</t>
        </is>
      </c>
      <c r="G611" t="inlineStr">
        <is>
          <t>Челябинская обл, г Троицк, ул им. Ю.А. Гагарина, д 16</t>
        </is>
      </c>
      <c r="H611" s="4" t="n">
        <v>102551</v>
      </c>
      <c r="I611" s="4" t="n">
        <v>7888.538461538462</v>
      </c>
      <c r="J611" t="inlineStr">
        <is>
          <t>Нежилое помещение</t>
        </is>
      </c>
      <c r="K611" s="5" t="n">
        <v>9.08</v>
      </c>
      <c r="M611" t="n">
        <v>869</v>
      </c>
      <c r="N611" s="6" t="n">
        <v>75231</v>
      </c>
      <c r="Q611" t="inlineStr">
        <is>
          <t>EA</t>
        </is>
      </c>
      <c r="R611" t="inlineStr">
        <is>
          <t>М</t>
        </is>
      </c>
      <c r="S611" s="2">
        <f>HYPERLINK("https://yandex.ru/maps/?&amp;text=54.0800813, 61.530262", "54.0800813, 61.530262")</f>
        <v/>
      </c>
      <c r="U611" t="inlineStr">
        <is>
          <t xml:space="preserve">74:35:0600002:276, </t>
        </is>
      </c>
      <c r="V611" t="n">
        <v>1</v>
      </c>
      <c r="Y611" t="n">
        <v>0</v>
      </c>
      <c r="AA611" t="n">
        <v>0</v>
      </c>
      <c r="AB611" t="n">
        <v>0</v>
      </c>
    </row>
    <row r="612">
      <c r="A612" s="7" t="n">
        <v>610</v>
      </c>
      <c r="B612" t="n">
        <v>74</v>
      </c>
      <c r="C612" s="1" t="n">
        <v>18.6</v>
      </c>
      <c r="D612" s="2">
        <f>HYPERLINK("https://torgi.gov.ru/new/public/lots/lot/22000059040000000002_1/(lotInfo:info)", "22000059040000000002_1")</f>
        <v/>
      </c>
      <c r="E612" t="inlineStr">
        <is>
          <t>Нежилое помещение, общей площадью 18,6 кв.м., кадастровый номер 74:28:0102051:97, 1 этаж, адрес (местоположение): Челябинская область, Еманжелинский район, г. Еманжелинск, ул. Шахтера, д. 17, пом. 23</t>
        </is>
      </c>
      <c r="F612" s="3" t="inlineStr">
        <is>
          <t>29.07.22 10:00</t>
        </is>
      </c>
      <c r="G612" t="inlineStr">
        <is>
          <t>Челябинская обл, г Еманжелинск, ул Шахтера, д 17</t>
        </is>
      </c>
      <c r="H612" s="4" t="n">
        <v>148000</v>
      </c>
      <c r="I612" s="4" t="n">
        <v>7956.989247311827</v>
      </c>
      <c r="J612" t="inlineStr">
        <is>
          <t>Нежилое помещение</t>
        </is>
      </c>
      <c r="K612" s="5" t="n">
        <v>3.47</v>
      </c>
      <c r="M612" t="n">
        <v>2296</v>
      </c>
      <c r="N612" s="6" t="n">
        <v>29077</v>
      </c>
      <c r="Q612" t="inlineStr">
        <is>
          <t>EA</t>
        </is>
      </c>
      <c r="R612" t="inlineStr">
        <is>
          <t>М</t>
        </is>
      </c>
      <c r="S612" s="2">
        <f>HYPERLINK("https://yandex.ru/maps/?&amp;text=54.75021, 61.319324", "54.75021, 61.319324")</f>
        <v/>
      </c>
      <c r="U612" t="inlineStr">
        <is>
          <t xml:space="preserve">74:28:0102051:97, </t>
        </is>
      </c>
      <c r="V612" t="n">
        <v>1</v>
      </c>
      <c r="Y612" t="n">
        <v>0</v>
      </c>
      <c r="AA612" t="n">
        <v>0</v>
      </c>
      <c r="AB612" t="n">
        <v>0</v>
      </c>
    </row>
    <row r="613">
      <c r="A613" s="7" t="n">
        <v>611</v>
      </c>
      <c r="B613" t="n">
        <v>74</v>
      </c>
      <c r="C613" s="1" t="n">
        <v>904</v>
      </c>
      <c r="D613" s="2">
        <f>HYPERLINK("https://torgi.gov.ru/new/public/lots/lot/22000019790000000033_1/(lotInfo:info)", "22000019790000000033_1")</f>
        <v/>
      </c>
      <c r="E613" t="inlineStr">
        <is>
          <t>Местонахождение Имущества: Челябинская область, город Магнитогорск, ул. Комсомольская, д. 2, помещение 2.Характеристика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используется.Кадастровый номер: 74:33:0123007:180</t>
        </is>
      </c>
      <c r="F613" s="3" t="inlineStr">
        <is>
          <t>13.05.22 17:00</t>
        </is>
      </c>
      <c r="G613" t="inlineStr">
        <is>
          <t>Челябинская обл, г Магнитогорск, ул Комсомольская, д 2</t>
        </is>
      </c>
      <c r="H613" s="4" t="n">
        <v>9589000</v>
      </c>
      <c r="I613" s="4" t="n">
        <v>10607.30088495575</v>
      </c>
      <c r="J613" t="inlineStr">
        <is>
          <t>Нежилое помещение</t>
        </is>
      </c>
      <c r="K613" s="5" t="n">
        <v>1.54</v>
      </c>
      <c r="L613" s="4" t="n">
        <v>353.57</v>
      </c>
      <c r="M613" t="n">
        <v>6900</v>
      </c>
      <c r="N613" s="6" t="n">
        <v>418241</v>
      </c>
      <c r="O613" t="n">
        <v>30</v>
      </c>
      <c r="Q613" t="inlineStr">
        <is>
          <t>EA</t>
        </is>
      </c>
      <c r="R613" t="inlineStr">
        <is>
          <t>М</t>
        </is>
      </c>
      <c r="S613" s="2">
        <f>HYPERLINK("https://yandex.ru/maps/?&amp;text=53.42643, 58.995037", "53.42643, 58.995037")</f>
        <v/>
      </c>
      <c r="T613" s="2">
        <f>HYPERLINK("D:\venv_torgi\env\cache\objs_in_district/53.42643_58.995037.json", "53.42643_58.995037.json")</f>
        <v/>
      </c>
      <c r="U613" t="inlineStr">
        <is>
          <t>74:33:0123007:180</t>
        </is>
      </c>
      <c r="V613" t="n">
        <v>0</v>
      </c>
      <c r="Y613" t="n">
        <v>0</v>
      </c>
      <c r="AA613" t="n">
        <v>0</v>
      </c>
      <c r="AB613" t="n">
        <v>0</v>
      </c>
    </row>
    <row r="614">
      <c r="A614" s="7" t="n">
        <v>612</v>
      </c>
      <c r="B614" t="n">
        <v>74</v>
      </c>
      <c r="C614" s="1" t="n">
        <v>244.6</v>
      </c>
      <c r="D614" s="2">
        <f>HYPERLINK("https://torgi.gov.ru/new/public/lots/lot/22000019790000000036_1/(lotInfo:info)", "22000019790000000036_1")</f>
        <v/>
      </c>
      <c r="E614" t="inlineStr">
        <is>
          <t>Наименование Имущества: нежилое помещение №3, площадью 244,6 кв. м (далее – Имущество).Местонахождение Имущества: Челябинская область, город Магнитогорск, пр. Карла Маркса, дом № 69/1, помещение 3.Кадастровый номер: 74:33:0129008:4980 Характеристика нежилого помещения:Общая площадь – 244,6 кв. м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      </is>
      </c>
      <c r="F614" s="3" t="inlineStr">
        <is>
          <t>17.05.22 17:00</t>
        </is>
      </c>
      <c r="G614" t="inlineStr">
        <is>
          <t>Челябинская область, город Магнитогорск, пр. Карла Маркса,  дом № 69/1</t>
        </is>
      </c>
      <c r="H614" s="4" t="n">
        <v>3611000</v>
      </c>
      <c r="I614" s="4" t="n">
        <v>14762.87816843827</v>
      </c>
      <c r="J614" t="inlineStr">
        <is>
          <t>Нежилое помещение</t>
        </is>
      </c>
      <c r="K614" s="5" t="n">
        <v>1.81</v>
      </c>
      <c r="L614" s="4" t="n">
        <v>205.03</v>
      </c>
      <c r="M614" t="n">
        <v>8139</v>
      </c>
      <c r="N614" s="6" t="n">
        <v>418241</v>
      </c>
      <c r="O614" t="n">
        <v>72</v>
      </c>
      <c r="Q614" t="inlineStr">
        <is>
          <t>EA</t>
        </is>
      </c>
      <c r="R614" t="inlineStr">
        <is>
          <t>М</t>
        </is>
      </c>
      <c r="S614" s="2">
        <f>HYPERLINK("https://yandex.ru/maps/?&amp;text=53.413518, 58.979159", "53.413518, 58.979159")</f>
        <v/>
      </c>
      <c r="T614" s="2">
        <f>HYPERLINK("D:\venv_torgi\env\cache\objs_in_district/53.413518_58.979159.json", "53.413518_58.979159.json")</f>
        <v/>
      </c>
      <c r="U614" t="inlineStr">
        <is>
          <t xml:space="preserve">74:33:0129008:4980 </t>
        </is>
      </c>
      <c r="V614" t="n">
        <v>1</v>
      </c>
      <c r="Y614" t="n">
        <v>0</v>
      </c>
      <c r="AA614" t="n">
        <v>0</v>
      </c>
      <c r="AB614" t="n">
        <v>0</v>
      </c>
    </row>
    <row r="615">
      <c r="A615" s="7" t="n">
        <v>613</v>
      </c>
      <c r="B615" t="n">
        <v>74</v>
      </c>
      <c r="C615" s="1" t="n">
        <v>632.4</v>
      </c>
      <c r="D615" s="2">
        <f>HYPERLINK("https://torgi.gov.ru/new/public/lots/lot/21000017550000000039_1/(lotInfo:info)", "21000017550000000039_1")</f>
        <v/>
      </c>
      <c r="E615" t="inlineStr">
        <is>
          <t>Наименование:Нежилое помещение, расположенное по адресу: Челябинская область, г. Снежинск, ул. Транспортная, д. 15, пом. 1Номер РФИ:П13740001492Кадастровый номер:74:40:0000000:3164Площадь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      </is>
      </c>
      <c r="F615" s="3" t="inlineStr">
        <is>
          <t>18.07.22 14:00</t>
        </is>
      </c>
      <c r="G615" t="inlineStr">
        <is>
          <t>Челябинская обл, г Снежинск, ул Транспортная, д 15</t>
        </is>
      </c>
      <c r="H615" s="4" t="n">
        <v>9511000</v>
      </c>
      <c r="I615" s="4" t="n">
        <v>15039.53194180898</v>
      </c>
      <c r="J615" t="inlineStr">
        <is>
          <t>Нежилое помещение</t>
        </is>
      </c>
      <c r="K615" s="5" t="n">
        <v>6.59</v>
      </c>
      <c r="L615" s="4" t="n">
        <v>313.31</v>
      </c>
      <c r="M615" t="n">
        <v>2282</v>
      </c>
      <c r="N615" s="6" t="n">
        <v>50759</v>
      </c>
      <c r="O615" t="n">
        <v>48</v>
      </c>
      <c r="Q615" t="inlineStr">
        <is>
          <t>PP</t>
        </is>
      </c>
      <c r="R615" t="inlineStr">
        <is>
          <t>М</t>
        </is>
      </c>
      <c r="S615" s="2">
        <f>HYPERLINK("https://yandex.ru/maps/?&amp;text=56.08004, 60.739857", "56.08004, 60.739857")</f>
        <v/>
      </c>
      <c r="T615" s="2">
        <f>HYPERLINK("D:\venv_torgi\env\cache\objs_in_district/56.08004_60.739857.json", "56.08004_60.739857.json")</f>
        <v/>
      </c>
      <c r="U615" t="inlineStr">
        <is>
          <t>74:40:0000000:3164</t>
        </is>
      </c>
      <c r="V615" t="n">
        <v>3</v>
      </c>
      <c r="Y615" t="n">
        <v>0</v>
      </c>
      <c r="AA615" t="n">
        <v>0</v>
      </c>
      <c r="AB615" t="n">
        <v>0</v>
      </c>
    </row>
    <row r="616">
      <c r="A616" s="7" t="n">
        <v>614</v>
      </c>
      <c r="B616" t="n">
        <v>74</v>
      </c>
      <c r="C616" s="1" t="n">
        <v>43</v>
      </c>
      <c r="D616" s="2">
        <f>HYPERLINK("https://torgi.gov.ru/new/public/lots/lot/22000022920000000012_1/(lotInfo:info)", "22000022920000000012_1")</f>
        <v/>
      </c>
      <c r="E616" t="inlineStr">
        <is>
          <t>нежилое помещение № 10, площадью 43 кв.м., с кадастровым номером 74:33:0212002:3566. Адрес: Россия, Челябинская обл., г. Магнитогорск, улица имени газеты Правда, дом 27, корпус 1.</t>
        </is>
      </c>
      <c r="F616" s="3" t="inlineStr">
        <is>
          <t>05.07.22 10:00</t>
        </is>
      </c>
      <c r="G616" t="inlineStr">
        <is>
          <t>Челябинская обл, г Магнитогорск, ул имени газеты Правда, д 27</t>
        </is>
      </c>
      <c r="H616" s="4" t="n">
        <v>655500</v>
      </c>
      <c r="I616" s="4" t="n">
        <v>15244.18604651163</v>
      </c>
      <c r="J616" t="inlineStr">
        <is>
          <t>Нежилое помещение</t>
        </is>
      </c>
      <c r="K616" s="5" t="n">
        <v>1.58</v>
      </c>
      <c r="L616" s="4" t="n">
        <v>272.21</v>
      </c>
      <c r="M616" t="n">
        <v>9651</v>
      </c>
      <c r="N616" s="6" t="n">
        <v>418241</v>
      </c>
      <c r="O616" t="n">
        <v>56</v>
      </c>
      <c r="Q616" t="inlineStr">
        <is>
          <t>EA</t>
        </is>
      </c>
      <c r="R616" t="inlineStr">
        <is>
          <t>М</t>
        </is>
      </c>
      <c r="S616" s="2">
        <f>HYPERLINK("https://yandex.ru/maps/?&amp;text=53.407394, 58.975395", "53.407394, 58.975395")</f>
        <v/>
      </c>
      <c r="T616" s="2">
        <f>HYPERLINK("D:\venv_torgi\env\cache\objs_in_district/53.407394_58.975395.json", "53.407394_58.975395.json")</f>
        <v/>
      </c>
      <c r="U616" t="inlineStr">
        <is>
          <t>74:33:0212002:3566</t>
        </is>
      </c>
      <c r="V616" t="n">
        <v>0</v>
      </c>
      <c r="Y616" t="n">
        <v>0</v>
      </c>
      <c r="AA616" t="n">
        <v>0</v>
      </c>
      <c r="AB616" t="n">
        <v>0</v>
      </c>
    </row>
    <row r="617">
      <c r="A617" s="7" t="n">
        <v>615</v>
      </c>
      <c r="B617" t="n">
        <v>74</v>
      </c>
      <c r="C617" s="1" t="n">
        <v>52.2</v>
      </c>
      <c r="D617" s="2">
        <f>HYPERLINK("https://torgi.gov.ru/new/public/lots/lot/22000022920000000014_1/(lotInfo:info)", "22000022920000000014_1")</f>
        <v/>
      </c>
      <c r="E617" t="inlineStr">
        <is>
          <t>нежилые помещения № 2,3,4 в помещении № 4, кадастровый номер 74:33:0213002:2886, площадью 52,2 кв.м.. Адрес: Россия, Челябинская обл., г. Магнитогорск, проспект Ленина, дом 98, корпус 1.</t>
        </is>
      </c>
      <c r="F617" s="3" t="inlineStr">
        <is>
          <t>05.07.22 10:00</t>
        </is>
      </c>
      <c r="G617" t="inlineStr">
        <is>
          <t>Челябинская обл, г Магнитогорск, пр-кт Ленина, д 98</t>
        </is>
      </c>
      <c r="H617" s="4" t="n">
        <v>1037500</v>
      </c>
      <c r="I617" s="4" t="n">
        <v>19875.47892720306</v>
      </c>
      <c r="J617" t="inlineStr">
        <is>
          <t>Нежилое помещение</t>
        </is>
      </c>
      <c r="K617" s="5" t="n">
        <v>2.35</v>
      </c>
      <c r="L617" s="4" t="n">
        <v>709.8200000000001</v>
      </c>
      <c r="M617" t="n">
        <v>8448</v>
      </c>
      <c r="N617" s="6" t="n">
        <v>418241</v>
      </c>
      <c r="O617" t="n">
        <v>28</v>
      </c>
      <c r="Q617" t="inlineStr">
        <is>
          <t>EA</t>
        </is>
      </c>
      <c r="R617" t="inlineStr">
        <is>
          <t>М</t>
        </is>
      </c>
      <c r="S617" s="2">
        <f>HYPERLINK("https://yandex.ru/maps/?&amp;text=53.392982, 58.986687", "53.392982, 58.986687")</f>
        <v/>
      </c>
      <c r="T617" s="2">
        <f>HYPERLINK("D:\venv_torgi\env\cache\objs_in_district/53.392982_58.986687.json", "53.392982_58.986687.json")</f>
        <v/>
      </c>
      <c r="U617" t="inlineStr">
        <is>
          <t xml:space="preserve">74:33:0213002:2886, </t>
        </is>
      </c>
      <c r="V617" t="n">
        <v>0</v>
      </c>
      <c r="Y617" t="n">
        <v>0</v>
      </c>
      <c r="AA617" t="n">
        <v>0</v>
      </c>
      <c r="AB617" t="n">
        <v>0</v>
      </c>
    </row>
    <row r="618">
      <c r="A618" s="7" t="n">
        <v>616</v>
      </c>
      <c r="B618" t="n">
        <v>74</v>
      </c>
      <c r="C618" s="1" t="n">
        <v>91.5</v>
      </c>
      <c r="D618" s="2">
        <f>HYPERLINK("https://torgi.gov.ru/new/public/lots/lot/22000044760000000001_1/(lotInfo:info)", "22000044760000000001_1")</f>
        <v/>
      </c>
      <c r="E618" t="inlineStr">
        <is>
          <t>Нежилое помещение № 1, общей площадью 91,5 м², кадастровый номер 74:34:1600036:49, расположенное по адресу: Челябинская обл., г. Миасс, ул. Ильменская, д.81,</t>
        </is>
      </c>
      <c r="F618" s="3" t="inlineStr">
        <is>
          <t>10.04.22 19:00</t>
        </is>
      </c>
      <c r="G618" t="inlineStr">
        <is>
          <t>Челябинская обл, г Миасс, ул Ильменская, д 81, помещ 1</t>
        </is>
      </c>
      <c r="H618" s="4" t="n">
        <v>1998000</v>
      </c>
      <c r="I618" s="4" t="n">
        <v>21836.06557377049</v>
      </c>
      <c r="J618" t="inlineStr">
        <is>
          <t>Нежилое помещение</t>
        </is>
      </c>
      <c r="K618" s="5" t="n">
        <v>5.18</v>
      </c>
      <c r="L618" s="4" t="n">
        <v>485.24</v>
      </c>
      <c r="M618" t="n">
        <v>4218</v>
      </c>
      <c r="N618" s="6" t="n">
        <v>151856</v>
      </c>
      <c r="O618" t="n">
        <v>45</v>
      </c>
      <c r="Q618" t="inlineStr">
        <is>
          <t>EA</t>
        </is>
      </c>
      <c r="R618" t="inlineStr">
        <is>
          <t>М</t>
        </is>
      </c>
      <c r="S618" s="2">
        <f>HYPERLINK("https://yandex.ru/maps/?&amp;text=55.048714, 60.1157", "55.048714, 60.1157")</f>
        <v/>
      </c>
      <c r="T618" s="2">
        <f>HYPERLINK("D:\venv_torgi\env\cache\objs_in_district/55.048714_60.1157.json", "55.048714_60.1157.json")</f>
        <v/>
      </c>
      <c r="U618" t="inlineStr">
        <is>
          <t xml:space="preserve">74:34:1600036:49, </t>
        </is>
      </c>
      <c r="V618" t="n">
        <v>0</v>
      </c>
      <c r="Y618" t="n">
        <v>0</v>
      </c>
      <c r="AA618" t="n">
        <v>0</v>
      </c>
      <c r="AB618" t="n">
        <v>0</v>
      </c>
    </row>
    <row r="619">
      <c r="A619" s="7" t="n">
        <v>617</v>
      </c>
      <c r="B619" t="n">
        <v>74</v>
      </c>
      <c r="C619" s="1" t="n">
        <v>10.5</v>
      </c>
      <c r="D619" s="2">
        <f>HYPERLINK("https://torgi.gov.ru/new/public/lots/lot/21000003820000000008_1/(lotInfo:info)", "21000003820000000008_1")</f>
        <v/>
      </c>
      <c r="E619" t="inlineStr">
        <is>
          <t>Нежилое помещение, назначение: нежилое, общей площадью 10,5 кв.м., этаж: цокольный, кадастровый номер: 74:25:0305014:1634. Адрес (местоположение): Россия, Челябинская обл., г. Златоуст, пр. им. Ю.А. Гагарина, 3-й мкр., дом 23</t>
        </is>
      </c>
      <c r="F619" s="3" t="inlineStr">
        <is>
          <t>10.03.22 07:00</t>
        </is>
      </c>
      <c r="G619" t="inlineStr">
        <is>
          <t>Челябинская обл, г Златоуст, пр-кт им Ю.А.Гагарина 3-й мкр, д 23</t>
        </is>
      </c>
      <c r="H619" s="4" t="n">
        <v>230920</v>
      </c>
      <c r="I619" s="4" t="n">
        <v>21992.38095238095</v>
      </c>
      <c r="J619" t="inlineStr">
        <is>
          <t>Нежилое помещение</t>
        </is>
      </c>
      <c r="K619" s="5" t="n">
        <v>7.66</v>
      </c>
      <c r="M619" t="n">
        <v>2871</v>
      </c>
      <c r="N619" s="6" t="n">
        <v>167978</v>
      </c>
      <c r="Q619" t="inlineStr">
        <is>
          <t>EA</t>
        </is>
      </c>
      <c r="R619" t="inlineStr">
        <is>
          <t>М</t>
        </is>
      </c>
      <c r="S619" s="2">
        <f>HYPERLINK("https://yandex.ru/maps/?&amp;text=55.139458, 59.666991", "55.139458, 59.666991")</f>
        <v/>
      </c>
      <c r="U619" t="inlineStr">
        <is>
          <t>74:25:0305014:1634</t>
        </is>
      </c>
      <c r="V619" t="n">
        <v>0</v>
      </c>
      <c r="Y619" t="n">
        <v>0</v>
      </c>
      <c r="AA619" t="n">
        <v>0</v>
      </c>
      <c r="AB619" t="n">
        <v>0</v>
      </c>
    </row>
    <row r="620">
      <c r="A620" s="7" t="n">
        <v>618</v>
      </c>
      <c r="B620" t="n">
        <v>76</v>
      </c>
      <c r="C620" s="1" t="n">
        <v>1031.4</v>
      </c>
      <c r="D620" s="2">
        <f>HYPERLINK("https://torgi.gov.ru/new/public/lots/lot/21000008680000000006_1/(lotInfo:info)", "21000008680000000006_1")</f>
        <v/>
      </c>
      <c r="E620" t="inlineStr">
        <is>
          <t>Комплекс зданий, назначение: нежилые, площадь 1031,4 кв.м, количество этажей 2, в том числе подземных 0, расположенные по адресу: Ярославская область, г. Рыбинск, ул. Ухтомского, д. 4. Приватизация имущества осуществляется одновременно с отчуждением в собственность земельного участка: кадастровый номер: 76:20:110120:5,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      </is>
      </c>
      <c r="F620" s="3" t="inlineStr">
        <is>
          <t>25.05.22 14:00</t>
        </is>
      </c>
      <c r="G620" t="inlineStr">
        <is>
          <t>Ярославская обл, г Рыбинск, ул Ухтомского, уч 4</t>
        </is>
      </c>
      <c r="H620" s="4" t="n">
        <v>2520452.81</v>
      </c>
      <c r="I620" s="4" t="n">
        <v>2443.720001939112</v>
      </c>
      <c r="J620" t="inlineStr">
        <is>
          <t>Комплекс зданий</t>
        </is>
      </c>
      <c r="K620" s="5" t="n">
        <v>0.26</v>
      </c>
      <c r="L620" s="4" t="n">
        <v>66.03</v>
      </c>
      <c r="M620" t="n">
        <v>9258</v>
      </c>
      <c r="N620" s="6" t="n">
        <v>193341</v>
      </c>
      <c r="O620" t="n">
        <v>37</v>
      </c>
      <c r="Q620" t="inlineStr">
        <is>
          <t>EA</t>
        </is>
      </c>
      <c r="R620" t="inlineStr">
        <is>
          <t>М</t>
        </is>
      </c>
      <c r="S620" s="2">
        <f>HYPERLINK("https://yandex.ru/maps/?&amp;text=58.037984, 38.862934", "58.037984, 38.862934")</f>
        <v/>
      </c>
      <c r="T620" s="2">
        <f>HYPERLINK("D:\venv_torgi\env\cache\objs_in_district/58.037984_38.862934.json", "58.037984_38.862934.json")</f>
        <v/>
      </c>
      <c r="U620" t="inlineStr">
        <is>
          <t xml:space="preserve">76:20:110120:5, </t>
        </is>
      </c>
      <c r="V620" t="n">
        <v>2</v>
      </c>
      <c r="Y620" t="n">
        <v>0</v>
      </c>
      <c r="AA620" t="n">
        <v>0</v>
      </c>
      <c r="AB620" t="n">
        <v>1</v>
      </c>
    </row>
    <row r="621">
      <c r="A621" s="7" t="n">
        <v>619</v>
      </c>
      <c r="B621" t="n">
        <v>76</v>
      </c>
      <c r="C621" s="1" t="n">
        <v>187.1</v>
      </c>
      <c r="D621" s="2">
        <f>HYPERLINK("https://torgi.gov.ru/new/public/lots/lot/21000012550000000044_1/(lotInfo:info)", "21000012550000000044_1")</f>
        <v/>
      </c>
      <c r="E621" t="inlineStr">
        <is>
          <t>помещения, назначение: нежилое, общая площадь 187,1 кв. м, этаж: 1, номера на поэтажном плане 7, 8, 17, 18, 20, 21, 28, 33, 45, расположенные по адресу: г. Ярославль, Тутаевское шоссе, д. 67, существующие ограничения (обременения) права: не зарегистрировано.</t>
        </is>
      </c>
      <c r="F621" s="3" t="inlineStr">
        <is>
          <t>20.07.22 12:00</t>
        </is>
      </c>
      <c r="G621" t="inlineStr">
        <is>
          <t>г Ярославль, Тутаевское шоссе, д 67</t>
        </is>
      </c>
      <c r="H621" s="4" t="n">
        <v>1796000</v>
      </c>
      <c r="I621" s="4" t="n">
        <v>9599.144842330305</v>
      </c>
      <c r="J621" t="inlineStr">
        <is>
          <t>Нежилое помещение</t>
        </is>
      </c>
      <c r="K621" s="5" t="n">
        <v>1.88</v>
      </c>
      <c r="L621" s="4" t="n">
        <v>399.96</v>
      </c>
      <c r="M621" t="n">
        <v>5100</v>
      </c>
      <c r="N621" s="6" t="n">
        <v>603961</v>
      </c>
      <c r="O621" t="n">
        <v>24</v>
      </c>
      <c r="Q621" t="inlineStr">
        <is>
          <t>PP</t>
        </is>
      </c>
      <c r="R621" t="inlineStr">
        <is>
          <t>М</t>
        </is>
      </c>
      <c r="S621" s="2">
        <f>HYPERLINK("https://yandex.ru/maps/?&amp;text=57.691284, 39.80356", "57.691284, 39.80356")</f>
        <v/>
      </c>
      <c r="T621" s="2">
        <f>HYPERLINK("D:\venv_torgi\env\cache\objs_in_district/57.691284_39.80356.json", "57.691284_39.80356.json")</f>
        <v/>
      </c>
      <c r="V621" t="n">
        <v>1</v>
      </c>
      <c r="Y621" t="n">
        <v>0</v>
      </c>
      <c r="AA621" t="n">
        <v>0</v>
      </c>
      <c r="AB621" t="n">
        <v>0</v>
      </c>
    </row>
    <row r="622">
      <c r="A622" s="7" t="n">
        <v>620</v>
      </c>
      <c r="B622" t="n">
        <v>76</v>
      </c>
      <c r="C622" s="1" t="n">
        <v>38.6</v>
      </c>
      <c r="D622" s="2">
        <f>HYPERLINK("https://torgi.gov.ru/new/public/lots/lot/21000008680000000020_1/(lotInfo:info)", "21000008680000000020_1")</f>
        <v/>
      </c>
      <c r="E622" t="inlineStr">
        <is>
          <t>Помещение, назначение: нежилое, площадь 38,6 кв.м., этаж № 02, расположенное по адресу: Ярославская область, г. Рыбинск, ул. Стоялая, д. 20, пом. 1. Земельный участок: в долевую собственность.</t>
        </is>
      </c>
      <c r="F622" s="3" t="inlineStr">
        <is>
          <t>20.07.22 14:00</t>
        </is>
      </c>
      <c r="G622" t="inlineStr">
        <is>
          <t>Ярославская обл, г Рыбинск, ул Стоялая, д 20</t>
        </is>
      </c>
      <c r="H622" s="4" t="n">
        <v>386759.5</v>
      </c>
      <c r="I622" s="4" t="n">
        <v>10019.67616580311</v>
      </c>
      <c r="J622" t="inlineStr">
        <is>
          <t>Нежилое помещение</t>
        </is>
      </c>
      <c r="K622" s="5" t="n">
        <v>1.36</v>
      </c>
      <c r="L622" s="4" t="n">
        <v>105.46</v>
      </c>
      <c r="M622" t="n">
        <v>7357</v>
      </c>
      <c r="N622" s="6" t="n">
        <v>193341</v>
      </c>
      <c r="O622" t="n">
        <v>95</v>
      </c>
      <c r="Q622" t="inlineStr">
        <is>
          <t>EA</t>
        </is>
      </c>
      <c r="R622" t="inlineStr">
        <is>
          <t>М</t>
        </is>
      </c>
      <c r="S622" s="2">
        <f>HYPERLINK("https://yandex.ru/maps/?&amp;text=58.048145, 38.8521", "58.048145, 38.8521")</f>
        <v/>
      </c>
      <c r="T622" s="2">
        <f>HYPERLINK("D:\venv_torgi\env\cache\objs_in_district/58.048145_38.8521.json", "58.048145_38.8521.json")</f>
        <v/>
      </c>
      <c r="V622" t="n">
        <v>2</v>
      </c>
      <c r="Y622" t="n">
        <v>0</v>
      </c>
      <c r="AA622" t="n">
        <v>0</v>
      </c>
      <c r="AB622" t="n">
        <v>1</v>
      </c>
    </row>
    <row r="623">
      <c r="A623" s="7" t="n">
        <v>621</v>
      </c>
      <c r="B623" t="n">
        <v>76</v>
      </c>
      <c r="C623" s="1" t="n">
        <v>17.6</v>
      </c>
      <c r="D623" s="2">
        <f>HYPERLINK("https://torgi.gov.ru/new/public/lots/lot/21000012550000000049_1/(lotInfo:info)", "21000012550000000049_1")</f>
        <v/>
      </c>
      <c r="E623" t="inlineStr">
        <is>
          <t>помещение, назначение: нежилое, общая площадь 17,6 кв. м, этаж: 1, номер на поэтажном плане 72, вход в помещение через помещения, принадлежащие третьим лицам, расположенное по адресу: г. Ярославль, ул. 1905 года, д. 6, существующие ограничения (обременения) права: не зарегистрировано.</t>
        </is>
      </c>
      <c r="F623" s="3" t="inlineStr">
        <is>
          <t>26.07.22 12:00</t>
        </is>
      </c>
      <c r="G623" t="inlineStr">
        <is>
          <t>г Ярославль, ул 1905 года, д 6</t>
        </is>
      </c>
      <c r="H623" s="4" t="n">
        <v>228000</v>
      </c>
      <c r="I623" s="4" t="n">
        <v>12954.54545454545</v>
      </c>
      <c r="J623" t="inlineStr">
        <is>
          <t>Нежилое помещение</t>
        </is>
      </c>
      <c r="K623" s="5" t="n">
        <v>5.74</v>
      </c>
      <c r="L623" s="4" t="n">
        <v>315.95</v>
      </c>
      <c r="M623" t="n">
        <v>2257</v>
      </c>
      <c r="N623" s="6" t="n">
        <v>603961</v>
      </c>
      <c r="O623" t="n">
        <v>41</v>
      </c>
      <c r="Q623" t="inlineStr">
        <is>
          <t>PP</t>
        </is>
      </c>
      <c r="R623" t="inlineStr">
        <is>
          <t>М</t>
        </is>
      </c>
      <c r="S623" s="2">
        <f>HYPERLINK("https://yandex.ru/maps/?&amp;text=57.71358, 39.775865", "57.71358, 39.775865")</f>
        <v/>
      </c>
      <c r="T623" s="2">
        <f>HYPERLINK("D:\venv_torgi\env\cache\objs_in_district/57.71358_39.775865.json", "57.71358_39.775865.json")</f>
        <v/>
      </c>
      <c r="V623" t="n">
        <v>1</v>
      </c>
      <c r="Y623" t="n">
        <v>-1</v>
      </c>
      <c r="AA623" t="n">
        <v>0</v>
      </c>
      <c r="AB623" t="n">
        <v>0</v>
      </c>
    </row>
    <row r="624">
      <c r="A624" s="7" t="n">
        <v>622</v>
      </c>
      <c r="B624" t="n">
        <v>76</v>
      </c>
      <c r="C624" s="1" t="n">
        <v>18.4</v>
      </c>
      <c r="D624" s="2">
        <f>HYPERLINK("https://torgi.gov.ru/new/public/lots/lot/21000012550000000048_1/(lotInfo:info)", "21000012550000000048_1")</f>
        <v/>
      </c>
      <c r="E624" t="inlineStr">
        <is>
          <t>помещения, назначение: нежилое, общая площадь 18,4 кв. м, этаж: 1, номера на поэтажном плане 67, 68, 69, расположенные по адресу: г. Ярославль, ул. 1905 года, д. 6, существующие ограничения (обременения) права: не зарегистрировано</t>
        </is>
      </c>
      <c r="F624" s="3" t="inlineStr">
        <is>
          <t>26.07.22 12:00</t>
        </is>
      </c>
      <c r="G624" t="inlineStr">
        <is>
          <t>г Ярославль, ул 1905 года, д 6</t>
        </is>
      </c>
      <c r="H624" s="4" t="n">
        <v>238500</v>
      </c>
      <c r="I624" s="4" t="n">
        <v>12961.95652173913</v>
      </c>
      <c r="J624" t="inlineStr">
        <is>
          <t>Нежилое помещение</t>
        </is>
      </c>
      <c r="K624" s="5" t="n">
        <v>5.74</v>
      </c>
      <c r="L624" s="4" t="n">
        <v>316.12</v>
      </c>
      <c r="M624" t="n">
        <v>2257</v>
      </c>
      <c r="N624" s="6" t="n">
        <v>603961</v>
      </c>
      <c r="O624" t="n">
        <v>41</v>
      </c>
      <c r="Q624" t="inlineStr">
        <is>
          <t>PP</t>
        </is>
      </c>
      <c r="R624" t="inlineStr">
        <is>
          <t>М</t>
        </is>
      </c>
      <c r="S624" s="2">
        <f>HYPERLINK("https://yandex.ru/maps/?&amp;text=57.71358, 39.775865", "57.71358, 39.775865")</f>
        <v/>
      </c>
      <c r="T624" s="2">
        <f>HYPERLINK("D:\venv_torgi\env\cache\objs_in_district/57.71358_39.775865.json", "57.71358_39.775865.json")</f>
        <v/>
      </c>
      <c r="V624" t="n">
        <v>1</v>
      </c>
      <c r="Y624" t="n">
        <v>0</v>
      </c>
      <c r="AA624" t="n">
        <v>0</v>
      </c>
      <c r="AB624" t="n">
        <v>0</v>
      </c>
    </row>
    <row r="625">
      <c r="A625" s="7" t="n">
        <v>623</v>
      </c>
      <c r="B625" t="n">
        <v>76</v>
      </c>
      <c r="C625" s="1" t="n">
        <v>66.59999999999999</v>
      </c>
      <c r="D625" s="2">
        <f>HYPERLINK("https://torgi.gov.ru/new/public/lots/lot/21000012550000000012_1/(lotInfo:info)", "21000012550000000012_1")</f>
        <v/>
      </c>
      <c r="E625" t="inlineStr">
        <is>
          <t>помещения, назначение: нежилое, общей площадью 66,6 кв. м (в том числе самовольно перепланировано 66,6 кв. м), этаж: 1, номера на поэтажном плане 25 − 28, расположенные по адресу: г. Ярославль, Индустриальный пер., д. 11, существующие ограничения (обременения) права: не зарегистрировано.</t>
        </is>
      </c>
      <c r="F625" s="3" t="inlineStr">
        <is>
          <t>14.03.22 12:00</t>
        </is>
      </c>
      <c r="G625" t="inlineStr">
        <is>
          <t>г Ярославль, Индустриальный пер, д 11</t>
        </is>
      </c>
      <c r="H625" s="4" t="n">
        <v>1204500</v>
      </c>
      <c r="I625" s="4" t="n">
        <v>18085.58558558559</v>
      </c>
      <c r="J625" t="inlineStr">
        <is>
          <t>Нежилое помещение</t>
        </is>
      </c>
      <c r="K625" s="5" t="n">
        <v>1.98</v>
      </c>
      <c r="L625" s="4" t="n">
        <v>904.25</v>
      </c>
      <c r="M625" t="n">
        <v>9126</v>
      </c>
      <c r="N625" s="6" t="n">
        <v>603961</v>
      </c>
      <c r="O625" t="n">
        <v>20</v>
      </c>
      <c r="Q625" t="inlineStr">
        <is>
          <t>PP</t>
        </is>
      </c>
      <c r="R625" t="inlineStr">
        <is>
          <t>М</t>
        </is>
      </c>
      <c r="S625" s="2">
        <f>HYPERLINK("https://yandex.ru/maps/?&amp;text=57.55079, 39.937741", "57.55079, 39.937741")</f>
        <v/>
      </c>
      <c r="T625" s="2">
        <f>HYPERLINK("D:\venv_torgi\env\cache\objs_in_district/57.55079_39.937741.json", "57.55079_39.937741.json")</f>
        <v/>
      </c>
      <c r="V625" t="n">
        <v>1</v>
      </c>
      <c r="Y625" t="n">
        <v>0</v>
      </c>
      <c r="AA625" t="n">
        <v>0</v>
      </c>
      <c r="AB625" t="n">
        <v>0</v>
      </c>
    </row>
    <row r="626">
      <c r="A626" s="7" t="n">
        <v>624</v>
      </c>
      <c r="B626" t="n">
        <v>76</v>
      </c>
      <c r="C626" s="1" t="n">
        <v>270.3</v>
      </c>
      <c r="D626" s="2">
        <f>HYPERLINK("https://torgi.gov.ru/new/public/lots/lot/21000019870000000003_1/(lotInfo:info)", "21000019870000000003_1")</f>
        <v/>
      </c>
      <c r="E626" t="inlineStr">
        <is>
          <t>Нежилое помещение общей площадью 270,3 кв.м, с кадастровым номером 76:04:010101:3163, расположенное по адресу: Ярославская область, Гаврилов-Ямский район, г.Гаврилов-Ям, ул.Менжинского, д.45,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      </is>
      </c>
      <c r="F626" s="3" t="inlineStr">
        <is>
          <t>01.04.22 13:00</t>
        </is>
      </c>
      <c r="G626" t="inlineStr">
        <is>
          <t>Ярославская обл, г Гаврилов-Ям, ул Менжинского, д 45</t>
        </is>
      </c>
      <c r="H626" s="4" t="n">
        <v>5485000</v>
      </c>
      <c r="I626" s="4" t="n">
        <v>20292.26785053644</v>
      </c>
      <c r="J626" t="inlineStr">
        <is>
          <t>Нежилое помещение</t>
        </is>
      </c>
      <c r="K626" s="5" t="n">
        <v>11.74</v>
      </c>
      <c r="L626" s="4" t="n">
        <v>1268.25</v>
      </c>
      <c r="M626" t="n">
        <v>1729</v>
      </c>
      <c r="N626" s="6" t="n">
        <v>17468</v>
      </c>
      <c r="O626" t="n">
        <v>16</v>
      </c>
      <c r="Q626" t="inlineStr">
        <is>
          <t>EA</t>
        </is>
      </c>
      <c r="R626" t="inlineStr">
        <is>
          <t>М</t>
        </is>
      </c>
      <c r="S626" s="2">
        <f>HYPERLINK("https://yandex.ru/maps/?&amp;text=57.304544, 39.862238", "57.304544, 39.862238")</f>
        <v/>
      </c>
      <c r="T626" s="2">
        <f>HYPERLINK("D:\venv_torgi\env\cache\objs_in_district/57.304544_39.862238.json", "57.304544_39.862238.json")</f>
        <v/>
      </c>
      <c r="U626" t="inlineStr">
        <is>
          <t xml:space="preserve">76:04:010101:3163, </t>
        </is>
      </c>
      <c r="V626" t="n">
        <v>1</v>
      </c>
      <c r="Y626" t="n">
        <v>1</v>
      </c>
      <c r="AA626" t="n">
        <v>0</v>
      </c>
      <c r="AB626" t="n">
        <v>0</v>
      </c>
    </row>
    <row r="627">
      <c r="A627" s="7" t="n">
        <v>625</v>
      </c>
      <c r="B627" t="n">
        <v>76</v>
      </c>
      <c r="C627" s="1" t="n">
        <v>11.4</v>
      </c>
      <c r="D627" s="2">
        <f>HYPERLINK("https://torgi.gov.ru/new/public/lots/lot/21000012550000000050_1/(lotInfo:info)", "21000012550000000050_1")</f>
        <v/>
      </c>
      <c r="E627" t="inlineStr">
        <is>
          <t>помещение, назначение: нежилое, общая площадь 11,4 кв. м, этаж: 1, номер на поэтажном плане 19, вход в помещение через помещения, принадлежащие третьим лицам, расположенное по адресу: г. Ярославль, ул. 1905 года, д. 6, существующие ограничения (обременения) права: не зарегистрировано.</t>
        </is>
      </c>
      <c r="F627" s="3" t="inlineStr">
        <is>
          <t>27.07.22 12:00</t>
        </is>
      </c>
      <c r="G627" t="inlineStr">
        <is>
          <t>г Ярославль, ул 1905 года, д 6</t>
        </is>
      </c>
      <c r="H627" s="4" t="n">
        <v>258125</v>
      </c>
      <c r="I627" s="4" t="n">
        <v>22642.54385964912</v>
      </c>
      <c r="J627" t="inlineStr">
        <is>
          <t>Нежилое помещение</t>
        </is>
      </c>
      <c r="K627" s="5" t="n">
        <v>10.03</v>
      </c>
      <c r="L627" s="4" t="n">
        <v>552.24</v>
      </c>
      <c r="M627" t="n">
        <v>2257</v>
      </c>
      <c r="N627" s="6" t="n">
        <v>603961</v>
      </c>
      <c r="O627" t="n">
        <v>41</v>
      </c>
      <c r="Q627" t="inlineStr">
        <is>
          <t>PP</t>
        </is>
      </c>
      <c r="R627" t="inlineStr">
        <is>
          <t>М</t>
        </is>
      </c>
      <c r="S627" s="2">
        <f>HYPERLINK("https://yandex.ru/maps/?&amp;text=57.71358, 39.775865", "57.71358, 39.775865")</f>
        <v/>
      </c>
      <c r="T627" s="2">
        <f>HYPERLINK("D:\venv_torgi\env\cache\objs_in_district/57.71358_39.775865.json", "57.71358_39.775865.json")</f>
        <v/>
      </c>
      <c r="V627" t="n">
        <v>1</v>
      </c>
      <c r="Y627" t="n">
        <v>-1</v>
      </c>
      <c r="AA627" t="n">
        <v>0</v>
      </c>
      <c r="AB627" t="n">
        <v>0</v>
      </c>
    </row>
    <row r="628">
      <c r="A628" s="7" t="n">
        <v>626</v>
      </c>
      <c r="B628" t="n">
        <v>76</v>
      </c>
      <c r="C628" s="1" t="n">
        <v>16.3</v>
      </c>
      <c r="D628" s="2">
        <f>HYPERLINK("https://torgi.gov.ru/new/public/lots/lot/21000012550000000011_1/(lotInfo:info)", "21000012550000000011_1")</f>
        <v/>
      </c>
      <c r="E628" t="inlineStr">
        <is>
          <t>помещения, назначение: нежилое, общей площадью 16,3 кв. м, этаж: 1, номера на поэтажном плане 12, 13, 14, вход через помещения, принадлежащие третьим лицам, расположенные по адресу: г. Ярославль, Индустриальный пер., д. 11, существующие ограничения (обременения) права: не зарегистрировано.</t>
        </is>
      </c>
      <c r="F628" s="3" t="inlineStr">
        <is>
          <t>14.03.22 12:00</t>
        </is>
      </c>
      <c r="G628" t="inlineStr">
        <is>
          <t>г Ярославль, Индустриальный пер, д 11</t>
        </is>
      </c>
      <c r="H628" s="4" t="n">
        <v>519750</v>
      </c>
      <c r="I628" s="4" t="n">
        <v>31886.50306748466</v>
      </c>
      <c r="J628" t="inlineStr">
        <is>
          <t>Нежилое помещение</t>
        </is>
      </c>
      <c r="K628" s="5" t="n">
        <v>3.49</v>
      </c>
      <c r="L628" s="4" t="n">
        <v>1594.3</v>
      </c>
      <c r="M628" t="n">
        <v>9126</v>
      </c>
      <c r="N628" s="6" t="n">
        <v>603961</v>
      </c>
      <c r="O628" t="n">
        <v>20</v>
      </c>
      <c r="Q628" t="inlineStr">
        <is>
          <t>PP</t>
        </is>
      </c>
      <c r="R628" t="inlineStr">
        <is>
          <t>М</t>
        </is>
      </c>
      <c r="S628" s="2">
        <f>HYPERLINK("https://yandex.ru/maps/?&amp;text=57.55079, 39.937741", "57.55079, 39.937741")</f>
        <v/>
      </c>
      <c r="T628" s="2">
        <f>HYPERLINK("D:\venv_torgi\env\cache\objs_in_district/57.55079_39.937741.json", "57.55079_39.937741.json")</f>
        <v/>
      </c>
      <c r="V628" t="n">
        <v>1</v>
      </c>
      <c r="Y628" t="n">
        <v>-1</v>
      </c>
      <c r="AA628" t="n">
        <v>0</v>
      </c>
      <c r="AB628" t="n">
        <v>0</v>
      </c>
    </row>
    <row r="629">
      <c r="A629" s="7" t="n">
        <v>627</v>
      </c>
      <c r="B629" t="n">
        <v>76</v>
      </c>
      <c r="C629" s="1" t="n">
        <v>217.4</v>
      </c>
      <c r="D629" s="2">
        <f>HYPERLINK("https://torgi.gov.ru/new/public/lots/lot/22000034760000000055_1/(lotInfo:info)", "22000034760000000055_1")</f>
        <v/>
      </c>
      <c r="E629" t="inlineStr">
        <is>
          <t>В соответствии с Извещением.</t>
        </is>
      </c>
      <c r="F629" s="3" t="inlineStr">
        <is>
          <t>06.06.22 14:30</t>
        </is>
      </c>
      <c r="G629" t="inlineStr">
        <is>
          <t>г Ярославль, ул Большая Октябрьская, д 48а</t>
        </is>
      </c>
      <c r="H629" s="4" t="n">
        <v>8650000</v>
      </c>
      <c r="I629" s="4" t="n">
        <v>39788.40846366145</v>
      </c>
      <c r="J629" t="inlineStr">
        <is>
          <t>Нежилое помещение</t>
        </is>
      </c>
      <c r="K629" s="5" t="n">
        <v>8.789999999999999</v>
      </c>
      <c r="L629" s="4" t="n">
        <v>765.15</v>
      </c>
      <c r="M629" t="n">
        <v>4524</v>
      </c>
      <c r="N629" s="6" t="n">
        <v>603961</v>
      </c>
      <c r="O629" t="n">
        <v>52</v>
      </c>
      <c r="Q629" t="inlineStr">
        <is>
          <t>EK</t>
        </is>
      </c>
      <c r="R629" t="inlineStr">
        <is>
          <t>М</t>
        </is>
      </c>
      <c r="S629" s="2">
        <f>HYPERLINK("https://yandex.ru/maps/?&amp;text=57.6224, 39.880222", "57.6224, 39.880222")</f>
        <v/>
      </c>
      <c r="T629" s="2">
        <f>HYPERLINK("D:\venv_torgi\env\cache\objs_in_district/57.6224_39.880222.json", "57.6224_39.880222.json")</f>
        <v/>
      </c>
      <c r="U629" t="inlineStr">
        <is>
          <t>76:23:010101:17686</t>
        </is>
      </c>
      <c r="V629" t="n">
        <v>0</v>
      </c>
      <c r="Y629" t="n">
        <v>0</v>
      </c>
      <c r="Z629" t="n">
        <v>1</v>
      </c>
      <c r="AA629" t="n">
        <v>0</v>
      </c>
      <c r="AB629" t="n">
        <v>0</v>
      </c>
    </row>
    <row r="630">
      <c r="A630" s="7" t="n">
        <v>628</v>
      </c>
      <c r="B630" t="n">
        <v>76</v>
      </c>
      <c r="C630" s="1" t="n">
        <v>94.8</v>
      </c>
      <c r="D630" s="2">
        <f>HYPERLINK("https://torgi.gov.ru/new/public/lots/lot/21000012550000000033_1/(lotInfo:info)", "21000012550000000033_1")</f>
        <v/>
      </c>
      <c r="E630" t="inlineStr">
        <is>
          <t>помещения 6-10, назначение: нежилое, общая площадь 94,8 кв. м, этаж № 1, расположенные по адресу: г. Ярославль, ул. Собинова, д. 41б,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      </is>
      </c>
      <c r="F630" s="3" t="inlineStr">
        <is>
          <t>15.06.22 12:00</t>
        </is>
      </c>
      <c r="G630" t="inlineStr">
        <is>
          <t>г Ярославль, ул Собинова, д 41б</t>
        </is>
      </c>
      <c r="H630" s="4" t="n">
        <v>5370000</v>
      </c>
      <c r="I630" s="4" t="n">
        <v>56645.56962025317</v>
      </c>
      <c r="J630" t="inlineStr">
        <is>
          <t>Нежилое помещение</t>
        </is>
      </c>
      <c r="K630" s="5" t="n">
        <v>9.279999999999999</v>
      </c>
      <c r="L630" s="4" t="n">
        <v>429.13</v>
      </c>
      <c r="M630" t="n">
        <v>6102</v>
      </c>
      <c r="N630" s="6" t="n">
        <v>603961</v>
      </c>
      <c r="O630" t="n">
        <v>132</v>
      </c>
      <c r="Q630" t="inlineStr">
        <is>
          <t>EK</t>
        </is>
      </c>
      <c r="R630" t="inlineStr">
        <is>
          <t>М</t>
        </is>
      </c>
      <c r="S630" s="2">
        <f>HYPERLINK("https://yandex.ru/maps/?&amp;text=57.623642, 39.88226", "57.623642, 39.88226")</f>
        <v/>
      </c>
      <c r="T630" s="2">
        <f>HYPERLINK("D:\venv_torgi\env\cache\objs_in_district/57.623642_39.88226.json", "57.623642_39.88226.json")</f>
        <v/>
      </c>
      <c r="V630" t="n">
        <v>1</v>
      </c>
      <c r="Y630" t="n">
        <v>0</v>
      </c>
      <c r="Z630" t="n">
        <v>1</v>
      </c>
      <c r="AA630" t="n">
        <v>0</v>
      </c>
      <c r="AB630" t="n">
        <v>0</v>
      </c>
    </row>
    <row r="631">
      <c r="A631" s="7" t="n">
        <v>629</v>
      </c>
      <c r="B631" t="n">
        <v>76</v>
      </c>
      <c r="C631" s="1" t="n">
        <v>30.6</v>
      </c>
      <c r="D631" s="2">
        <f>HYPERLINK("https://torgi.gov.ru/new/public/lots/lot/21000012550000000039_1/(lotInfo:info)", "21000012550000000039_1")</f>
        <v/>
      </c>
      <c r="E631" t="inlineStr">
        <is>
          <t>помещения, назначение: нежилое, общая площадь 30,6 кв. м, этаж: 1, номера на поэтажном плане 1, 2, 4, 5, расположенные по адресу: г. Ярославль, ул. Гагарина, д. 53, существующие ограничения (обременения) права: не зарегистрировано.</t>
        </is>
      </c>
      <c r="F631" s="3" t="inlineStr">
        <is>
          <t>22.06.22 12:00</t>
        </is>
      </c>
      <c r="G631" t="inlineStr">
        <is>
          <t>г Ярославль, ул Гагарина, д 53</t>
        </is>
      </c>
      <c r="H631" s="4" t="n">
        <v>2194000</v>
      </c>
      <c r="I631" s="4" t="n">
        <v>71699.34640522876</v>
      </c>
      <c r="J631" t="inlineStr">
        <is>
          <t>Нежилое помещение</t>
        </is>
      </c>
      <c r="K631" s="5" t="n">
        <v>6.79</v>
      </c>
      <c r="L631" s="4" t="n">
        <v>2172.7</v>
      </c>
      <c r="M631" t="n">
        <v>10552</v>
      </c>
      <c r="N631" s="6" t="n">
        <v>603961</v>
      </c>
      <c r="O631" t="n">
        <v>33</v>
      </c>
      <c r="Q631" t="inlineStr">
        <is>
          <t>EA</t>
        </is>
      </c>
      <c r="R631" t="inlineStr">
        <is>
          <t>М</t>
        </is>
      </c>
      <c r="S631" s="2">
        <f>HYPERLINK("https://yandex.ru/maps/?&amp;text=57.580948, 39.8358", "57.580948, 39.8358")</f>
        <v/>
      </c>
      <c r="T631" s="2">
        <f>HYPERLINK("D:\venv_torgi\env\cache\objs_in_district/57.580948_39.8358.json", "57.580948_39.8358.json")</f>
        <v/>
      </c>
      <c r="V631" t="n">
        <v>1</v>
      </c>
      <c r="Y631" t="n">
        <v>0</v>
      </c>
      <c r="AA631" t="n">
        <v>0</v>
      </c>
      <c r="AB631" t="n">
        <v>0</v>
      </c>
    </row>
    <row r="632">
      <c r="A632" s="7" t="n">
        <v>630</v>
      </c>
      <c r="B632" t="n">
        <v>77</v>
      </c>
      <c r="C632" s="1" t="n">
        <v>398.5</v>
      </c>
      <c r="D632" s="2">
        <f>HYPERLINK("https://torgi.gov.ru/new/public/lots/lot/21000005000000000819_1/(lotInfo:info)", "21000005000000000819_1")</f>
        <v/>
      </c>
      <c r="E632" t="inlineStr">
        <is>
          <t>Продажа имущества, находящегося в собственности города Москвы, нежилое помещение по адресу: г. Москва, 3-я Парковая улица, дом 38, площадь 398,5 кв. м., Цокольный этаж № 0, кадастровый номер: 77:03:0005006:6292, посредством публичного предложения</t>
        </is>
      </c>
      <c r="F632" s="3" t="inlineStr">
        <is>
          <t>11.05.22 12:00</t>
        </is>
      </c>
      <c r="G632" t="inlineStr">
        <is>
          <t>г Москва, ул Парковая 3-я, д 38</t>
        </is>
      </c>
      <c r="H632" s="4" t="n">
        <v>8985000</v>
      </c>
      <c r="I632" s="4" t="n">
        <v>22547.05144291092</v>
      </c>
      <c r="J632" t="inlineStr">
        <is>
          <t>Нежилое помещение</t>
        </is>
      </c>
      <c r="K632" s="5" t="n">
        <v>2.98</v>
      </c>
      <c r="L632" s="4" t="n">
        <v>609.38</v>
      </c>
      <c r="M632" t="n">
        <v>7560</v>
      </c>
      <c r="N632" s="6" t="n">
        <v>12380664</v>
      </c>
      <c r="O632" t="n">
        <v>37</v>
      </c>
      <c r="Q632" t="inlineStr">
        <is>
          <t>PP</t>
        </is>
      </c>
      <c r="R632" t="inlineStr">
        <is>
          <t>М</t>
        </is>
      </c>
      <c r="S632" s="2">
        <f>HYPERLINK("https://yandex.ru/maps/?&amp;text=55.8018915, 37.782743", "55.8018915, 37.782743")</f>
        <v/>
      </c>
      <c r="T632" s="2">
        <f>HYPERLINK("D:\venv_torgi\env\cache\objs_in_district/55.8018915_37.782743.json", "55.8018915_37.782743.json")</f>
        <v/>
      </c>
      <c r="U632" t="inlineStr">
        <is>
          <t xml:space="preserve">77:03:0005006:6292, </t>
        </is>
      </c>
      <c r="V632" t="n">
        <v>0</v>
      </c>
      <c r="Y632" t="n">
        <v>0</v>
      </c>
      <c r="AA632" t="n">
        <v>0</v>
      </c>
      <c r="AB632" t="n">
        <v>0</v>
      </c>
    </row>
    <row r="633">
      <c r="A633" s="7" t="n">
        <v>631</v>
      </c>
      <c r="B633" t="n">
        <v>77</v>
      </c>
      <c r="C633" s="1" t="n">
        <v>268.2</v>
      </c>
      <c r="D633" s="2">
        <f>HYPERLINK("https://torgi.gov.ru/new/public/lots/lot/21000005000000000584_1/(lotInfo:info)", "21000005000000000584_1")</f>
        <v/>
      </c>
      <c r="E633" t="inlineStr">
        <is>
          <t>Продажа имущества, находящегося в собственности города Москвы, нежилое помещение по адресу: город Москва, Никитинская улица, дом 1, корпус 3, площадью 268,20 кв.м (Цокольный этаж № 0), кадастровый номер: 77:03:0005002:7761, без объявления цены</t>
        </is>
      </c>
      <c r="F633" s="3" t="inlineStr">
        <is>
          <t>26.04.22 12:00</t>
        </is>
      </c>
      <c r="G633" t="inlineStr">
        <is>
          <t>г Москва, ул Никитинская, д 1 к 3</t>
        </is>
      </c>
      <c r="H633" s="4" t="n">
        <v>6750000</v>
      </c>
      <c r="I633" s="4" t="n">
        <v>25167.78523489933</v>
      </c>
      <c r="J633" t="inlineStr">
        <is>
          <t>Нежилое помещение</t>
        </is>
      </c>
      <c r="K633" s="5" t="n">
        <v>1.85</v>
      </c>
      <c r="L633" s="4" t="n">
        <v>375.63</v>
      </c>
      <c r="M633" t="n">
        <v>13605</v>
      </c>
      <c r="N633" s="6" t="n">
        <v>12380664</v>
      </c>
      <c r="O633" t="n">
        <v>67</v>
      </c>
      <c r="Q633" t="inlineStr">
        <is>
          <t>BOC</t>
        </is>
      </c>
      <c r="R633" t="inlineStr">
        <is>
          <t>М</t>
        </is>
      </c>
      <c r="S633" s="2">
        <f>HYPERLINK("https://yandex.ru/maps/?&amp;text=55.7954689, 37.7732247", "55.7954689, 37.7732247")</f>
        <v/>
      </c>
      <c r="T633" s="2">
        <f>HYPERLINK("D:\venv_torgi\env\cache\objs_in_district/55.7954689_37.7732247.json", "55.7954689_37.7732247.json")</f>
        <v/>
      </c>
      <c r="U633" t="inlineStr">
        <is>
          <t xml:space="preserve">77:03:0005002:7761, </t>
        </is>
      </c>
      <c r="V633" t="n">
        <v>0</v>
      </c>
      <c r="Y633" t="n">
        <v>0</v>
      </c>
      <c r="AA633" t="n">
        <v>0</v>
      </c>
      <c r="AB633" t="n">
        <v>0</v>
      </c>
    </row>
    <row r="634">
      <c r="A634" s="7" t="n">
        <v>632</v>
      </c>
      <c r="B634" t="n">
        <v>77</v>
      </c>
      <c r="C634" s="1" t="n">
        <v>26</v>
      </c>
      <c r="D634" s="2">
        <f>HYPERLINK("https://torgi.gov.ru/new/public/lots/lot/21000005000000000444_1/(lotInfo:info)", "21000005000000000444_1")</f>
        <v/>
      </c>
      <c r="E634" t="inlineStr">
        <is>
          <t>Продажа имущества, находящегося в собственности города Москвы, нежилое помещение по адресу: г. Москва, пер. Графский, д. 14Б, площадью 26,0 кв. м., Технический этаж № 0, кадастровый номер: 77:02:0023016:3700, посредством публичного предложения</t>
        </is>
      </c>
      <c r="F634" s="3" t="inlineStr">
        <is>
          <t>28.03.22 12:00</t>
        </is>
      </c>
      <c r="G634" t="inlineStr">
        <is>
          <t>г Москва, Графский пер, д 14Б, помещ 7Т</t>
        </is>
      </c>
      <c r="H634" s="4" t="n">
        <v>732000</v>
      </c>
      <c r="I634" s="4" t="n">
        <v>28153.84615384615</v>
      </c>
      <c r="J634" t="inlineStr">
        <is>
          <t>Нежилое помещение</t>
        </is>
      </c>
      <c r="K634" s="5" t="n">
        <v>2.96</v>
      </c>
      <c r="L634" s="4" t="n">
        <v>599</v>
      </c>
      <c r="M634" t="n">
        <v>9502</v>
      </c>
      <c r="N634" s="6" t="n">
        <v>12380664</v>
      </c>
      <c r="O634" t="n">
        <v>47</v>
      </c>
      <c r="Q634" t="inlineStr">
        <is>
          <t>PP</t>
        </is>
      </c>
      <c r="R634" t="inlineStr">
        <is>
          <t>М</t>
        </is>
      </c>
      <c r="S634" s="2">
        <f>HYPERLINK("https://yandex.ru/maps/?&amp;text=55.802715, 37.641846", "55.802715, 37.641846")</f>
        <v/>
      </c>
      <c r="T634" s="2">
        <f>HYPERLINK("D:\venv_torgi\env\cache\objs_in_district/55.802715_37.641846.json", "55.802715_37.641846.json")</f>
        <v/>
      </c>
      <c r="U634" t="inlineStr">
        <is>
          <t xml:space="preserve">77:02:0023016:3700, </t>
        </is>
      </c>
      <c r="V634" t="n">
        <v>4</v>
      </c>
      <c r="Y634" t="n">
        <v>0</v>
      </c>
      <c r="AA634" t="n">
        <v>0</v>
      </c>
      <c r="AB634" t="n">
        <v>0</v>
      </c>
    </row>
    <row r="635">
      <c r="A635" s="7" t="n">
        <v>633</v>
      </c>
      <c r="B635" t="n">
        <v>77</v>
      </c>
      <c r="C635" s="1" t="n">
        <v>69.40000000000001</v>
      </c>
      <c r="D635" s="2">
        <f>HYPERLINK("https://torgi.gov.ru/new/public/lots/lot/21000005000000000696_1/(lotInfo:info)", "21000005000000000696_1")</f>
        <v/>
      </c>
      <c r="E635" t="inlineStr">
        <is>
          <t>Продажа имущества, находящегося в собственности города Москвы, нежилое помещение по адресу: город Москва, улица Генерала Тюленева, дом 41Б, этаж № 1, площадь 69,40 кв.м, кадастровый номер: 77:06:0007005:14417 посредством публичного предложения</t>
        </is>
      </c>
      <c r="F635" s="3" t="inlineStr">
        <is>
          <t>19.04.22 12:00</t>
        </is>
      </c>
      <c r="G635" t="inlineStr">
        <is>
          <t>г Москва, ул Генерала Тюленева, д 41Б</t>
        </is>
      </c>
      <c r="H635" s="4" t="n">
        <v>2029500</v>
      </c>
      <c r="I635" s="4" t="n">
        <v>29243.51585014409</v>
      </c>
      <c r="J635" t="inlineStr">
        <is>
          <t>Нежилое помещение</t>
        </is>
      </c>
      <c r="K635" s="5" t="n">
        <v>5.03</v>
      </c>
      <c r="L635" s="4" t="n">
        <v>1083.07</v>
      </c>
      <c r="M635" t="n">
        <v>5819</v>
      </c>
      <c r="N635" s="6" t="n">
        <v>12380664</v>
      </c>
      <c r="O635" t="n">
        <v>27</v>
      </c>
      <c r="Q635" t="inlineStr">
        <is>
          <t>PP</t>
        </is>
      </c>
      <c r="R635" t="inlineStr">
        <is>
          <t>М</t>
        </is>
      </c>
      <c r="S635" s="2">
        <f>HYPERLINK("https://yandex.ru/maps/?&amp;text=55.614296, 37.49481", "55.614296, 37.49481")</f>
        <v/>
      </c>
      <c r="T635" s="2">
        <f>HYPERLINK("D:\venv_torgi\env\cache\objs_in_district/55.614296_37.49481.json", "55.614296_37.49481.json")</f>
        <v/>
      </c>
      <c r="U635" t="inlineStr">
        <is>
          <t xml:space="preserve">77:06:0007005:14417 </t>
        </is>
      </c>
      <c r="V635" t="n">
        <v>1</v>
      </c>
      <c r="Y635" t="n">
        <v>0</v>
      </c>
      <c r="AA635" t="n">
        <v>0</v>
      </c>
      <c r="AB635" t="n">
        <v>0</v>
      </c>
    </row>
    <row r="636">
      <c r="A636" s="7" t="n">
        <v>634</v>
      </c>
      <c r="B636" t="n">
        <v>77</v>
      </c>
      <c r="C636" s="1" t="n">
        <v>103.1</v>
      </c>
      <c r="D636" s="2">
        <f>HYPERLINK("https://torgi.gov.ru/new/public/lots/lot/21000005000000000690_1/(lotInfo:info)", "21000005000000000690_1")</f>
        <v/>
      </c>
      <c r="E636" t="inlineStr">
        <is>
          <t>Продажа имущества, находящегося в собственности города Москвы, нежилое помещение по адресу: город Москва Черкизовская улица, дом 22, корпус 6, цокольный этаж № 0, площадь 103,10 кв.м, кадастровый номер: 77:03:0003016:7508, посредством публичного предложения</t>
        </is>
      </c>
      <c r="F636" s="3" t="inlineStr">
        <is>
          <t>18.04.22 12:00</t>
        </is>
      </c>
      <c r="G636" t="inlineStr">
        <is>
          <t>г Москва, ул Черкизовская Б., д 22 к 6, помещ 4Ц</t>
        </is>
      </c>
      <c r="H636" s="4" t="n">
        <v>4240000</v>
      </c>
      <c r="I636" s="4" t="n">
        <v>41125.12124151309</v>
      </c>
      <c r="J636" t="inlineStr">
        <is>
          <t>Нежилое помещение</t>
        </is>
      </c>
      <c r="K636" s="5" t="n">
        <v>4.9</v>
      </c>
      <c r="L636" s="4" t="n">
        <v>2056.25</v>
      </c>
      <c r="M636" t="n">
        <v>8398</v>
      </c>
      <c r="N636" s="6" t="n">
        <v>12380664</v>
      </c>
      <c r="O636" t="n">
        <v>20</v>
      </c>
      <c r="Q636" t="inlineStr">
        <is>
          <t>PP</t>
        </is>
      </c>
      <c r="R636" t="inlineStr">
        <is>
          <t>М</t>
        </is>
      </c>
      <c r="S636" s="2">
        <f>HYPERLINK("https://yandex.ru/maps/?&amp;text=55.794877, 37.734596", "55.794877, 37.734596")</f>
        <v/>
      </c>
      <c r="T636" s="2">
        <f>HYPERLINK("D:\venv_torgi\env\cache\objs_in_district/55.794877_37.734596.json", "55.794877_37.734596.json")</f>
        <v/>
      </c>
      <c r="U636" t="inlineStr">
        <is>
          <t xml:space="preserve">77:03:0003016:7508, </t>
        </is>
      </c>
      <c r="V636" t="n">
        <v>0</v>
      </c>
      <c r="Y636" t="n">
        <v>0</v>
      </c>
      <c r="AA636" t="n">
        <v>0</v>
      </c>
      <c r="AB636" t="n">
        <v>0</v>
      </c>
    </row>
    <row r="637">
      <c r="A637" s="7" t="n">
        <v>635</v>
      </c>
      <c r="B637" t="n">
        <v>77</v>
      </c>
      <c r="C637" s="1" t="n">
        <v>202.2</v>
      </c>
      <c r="D637" s="2">
        <f>HYPERLINK("https://torgi.gov.ru/new/public/lots/lot/21000005000000000392_1/(lotInfo:info)", "21000005000000000392_1")</f>
        <v/>
      </c>
      <c r="E637" t="inlineStr">
        <is>
          <t>Продажа имущества, находящегося в собственности города Москвы, нежилое помещение по адресу: г. Москва, Малый Купавенский проезд, дом 3, площадью 202,2 кв. м., Этаж №1, кадастровый номер: 77:03:0005022:2848 посредством публичного предложения</t>
        </is>
      </c>
      <c r="F637" s="3" t="inlineStr">
        <is>
          <t>28.03.22 12:00</t>
        </is>
      </c>
      <c r="G637" t="inlineStr">
        <is>
          <t>г Москва, Малый Купавенский проезд, д 2 стр 3</t>
        </is>
      </c>
      <c r="H637" s="4" t="n">
        <v>8897000</v>
      </c>
      <c r="I637" s="4" t="n">
        <v>44000.98911968349</v>
      </c>
      <c r="J637" t="inlineStr">
        <is>
          <t>Нежилое помещение</t>
        </is>
      </c>
      <c r="K637" s="5" t="n">
        <v>4.56</v>
      </c>
      <c r="L637" s="4" t="n">
        <v>1294.12</v>
      </c>
      <c r="M637" t="n">
        <v>9639</v>
      </c>
      <c r="N637" s="6" t="n">
        <v>12380664</v>
      </c>
      <c r="O637" t="n">
        <v>34</v>
      </c>
      <c r="Q637" t="inlineStr">
        <is>
          <t>PP</t>
        </is>
      </c>
      <c r="R637" t="inlineStr">
        <is>
          <t>М</t>
        </is>
      </c>
      <c r="S637" s="2">
        <f>HYPERLINK("https://yandex.ru/maps/?&amp;text=55.778142, 37.838603", "55.778142, 37.838603")</f>
        <v/>
      </c>
      <c r="T637" s="2">
        <f>HYPERLINK("D:\venv_torgi\env\cache\objs_in_district/55.778142_37.838603.json", "55.778142_37.838603.json")</f>
        <v/>
      </c>
      <c r="U637" t="inlineStr">
        <is>
          <t xml:space="preserve">77:03:0005022:2848 </t>
        </is>
      </c>
      <c r="V637" t="n">
        <v>1</v>
      </c>
      <c r="Y637" t="n">
        <v>0</v>
      </c>
      <c r="AA637" t="n">
        <v>0</v>
      </c>
      <c r="AB637" t="n">
        <v>0</v>
      </c>
    </row>
    <row r="638">
      <c r="A638" s="7" t="n">
        <v>636</v>
      </c>
      <c r="B638" t="n">
        <v>77</v>
      </c>
      <c r="C638" s="1" t="n">
        <v>153.7</v>
      </c>
      <c r="D638" s="2">
        <f>HYPERLINK("https://torgi.gov.ru/new/public/lots/lot/21000005000000002445_1/(lotInfo:info)", "21000005000000002445_1")</f>
        <v/>
      </c>
      <c r="E638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Верхняя Первомайская, д. 59/35, корп. 3, общей площадью 153,70 кв.м кадастровый номер 77:03:0005008:7128</t>
        </is>
      </c>
      <c r="F638" s="3" t="inlineStr">
        <is>
          <t>08.08.22 12:00</t>
        </is>
      </c>
      <c r="G638" t="inlineStr">
        <is>
          <t>г Москва, ул Верхняя Первомайская, д 59/35 к 3, помещ 1П</t>
        </is>
      </c>
      <c r="H638" s="4" t="n">
        <v>7314000</v>
      </c>
      <c r="I638" s="4" t="n">
        <v>47586.20689655172</v>
      </c>
      <c r="J638" t="inlineStr">
        <is>
          <t>Нежилое помещение</t>
        </is>
      </c>
      <c r="K638" s="5" t="n">
        <v>4.35</v>
      </c>
      <c r="L638" s="4" t="n">
        <v>1189.65</v>
      </c>
      <c r="M638" t="n">
        <v>10941</v>
      </c>
      <c r="N638" s="6" t="n">
        <v>12380664</v>
      </c>
      <c r="O638" t="n">
        <v>40</v>
      </c>
      <c r="Q638" t="inlineStr">
        <is>
          <t>EA</t>
        </is>
      </c>
      <c r="R638" t="inlineStr">
        <is>
          <t>М</t>
        </is>
      </c>
      <c r="S638" s="2">
        <f>HYPERLINK("https://yandex.ru/maps/?&amp;text=55.800013, 37.804844", "55.800013, 37.804844")</f>
        <v/>
      </c>
      <c r="T638" s="2">
        <f>HYPERLINK("D:\venv_torgi\env\cache\objs_in_district/55.800013_37.804844.json", "55.800013_37.804844.json")</f>
        <v/>
      </c>
      <c r="U638" t="inlineStr">
        <is>
          <t>77:03:0005008:7128</t>
        </is>
      </c>
      <c r="V638" t="n">
        <v>0</v>
      </c>
      <c r="Y638" t="n">
        <v>0</v>
      </c>
      <c r="AA638" t="n">
        <v>0</v>
      </c>
      <c r="AB638" t="n">
        <v>0</v>
      </c>
    </row>
    <row r="639">
      <c r="A639" s="7" t="n">
        <v>637</v>
      </c>
      <c r="B639" t="n">
        <v>77</v>
      </c>
      <c r="C639" s="1" t="n">
        <v>99.3</v>
      </c>
      <c r="D639" s="2">
        <f>HYPERLINK("https://torgi.gov.ru/new/public/lots/lot/21000005000000002256_1/(lotInfo:info)", "21000005000000002256_1")</f>
        <v/>
      </c>
      <c r="E63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пр.Рижский, д.11 (общей площадью 99,3 кв. м, кадастровый номер: 77:02:0023019:2023)</t>
        </is>
      </c>
      <c r="F639" s="3" t="inlineStr">
        <is>
          <t>26.07.22 12:00</t>
        </is>
      </c>
      <c r="G639" t="inlineStr">
        <is>
          <t>г Москва, Рижский проезд, д 11, помещ 9П</t>
        </is>
      </c>
      <c r="H639" s="4" t="n">
        <v>5200000</v>
      </c>
      <c r="I639" s="4" t="n">
        <v>52366.56596173213</v>
      </c>
      <c r="J639" t="inlineStr">
        <is>
          <t>Нежилое помещение</t>
        </is>
      </c>
      <c r="K639" s="5" t="n">
        <v>6.02</v>
      </c>
      <c r="L639" s="4" t="n">
        <v>1540.18</v>
      </c>
      <c r="M639" t="n">
        <v>8702</v>
      </c>
      <c r="N639" s="6" t="n">
        <v>12380664</v>
      </c>
      <c r="O639" t="n">
        <v>34</v>
      </c>
      <c r="Q639" t="inlineStr">
        <is>
          <t>EA</t>
        </is>
      </c>
      <c r="R639" t="inlineStr">
        <is>
          <t>М</t>
        </is>
      </c>
      <c r="S639" s="2">
        <f>HYPERLINK("https://yandex.ru/maps/?&amp;text=55.816495, 37.662569", "55.816495, 37.662569")</f>
        <v/>
      </c>
      <c r="T639" s="2">
        <f>HYPERLINK("D:\venv_torgi\env\cache\objs_in_district/55.816495_37.662569.json", "55.816495_37.662569.json")</f>
        <v/>
      </c>
      <c r="U639" t="inlineStr">
        <is>
          <t>77:02:0023019:2023</t>
        </is>
      </c>
      <c r="V639" t="n">
        <v>0</v>
      </c>
      <c r="Y639" t="n">
        <v>0</v>
      </c>
      <c r="AA639" t="n">
        <v>0</v>
      </c>
      <c r="AB639" t="n">
        <v>0</v>
      </c>
    </row>
    <row r="640">
      <c r="A640" s="7" t="n">
        <v>638</v>
      </c>
      <c r="B640" t="n">
        <v>77</v>
      </c>
      <c r="C640" s="1" t="n">
        <v>113.5</v>
      </c>
      <c r="D640" s="2">
        <f>HYPERLINK("https://torgi.gov.ru/new/public/lots/lot/21000005000000001116_1/(lotInfo:info)", "21000005000000001116_1")</f>
        <v/>
      </c>
      <c r="E640" t="inlineStr">
        <is>
          <t>Продажа имущества, находящегося в хозяйственном ведении ГУП "ЦУГИ", расположенное по адресу: г. Москва, ул. Вавилова, д .47, к. 1, площадь 113,5 кв. м (кадастровый номер: 77:06:0002019:1142)</t>
        </is>
      </c>
      <c r="F640" s="3" t="inlineStr">
        <is>
          <t>23.05.22 12:00</t>
        </is>
      </c>
      <c r="G640" t="inlineStr">
        <is>
          <t>г Москва, ул Вавилова, д 47 к 1, помещ 1/П</t>
        </is>
      </c>
      <c r="H640" s="4" t="n">
        <v>6014000</v>
      </c>
      <c r="I640" s="4" t="n">
        <v>52986.78414096916</v>
      </c>
      <c r="J640" t="inlineStr">
        <is>
          <t>Нежилое помещение</t>
        </is>
      </c>
      <c r="K640" s="5" t="n">
        <v>4.65</v>
      </c>
      <c r="L640" s="4" t="n">
        <v>1081.35</v>
      </c>
      <c r="M640" t="n">
        <v>11397</v>
      </c>
      <c r="N640" s="6" t="n">
        <v>12380664</v>
      </c>
      <c r="O640" t="n">
        <v>49</v>
      </c>
      <c r="Q640" t="inlineStr">
        <is>
          <t>EA</t>
        </is>
      </c>
      <c r="R640" t="inlineStr">
        <is>
          <t>М</t>
        </is>
      </c>
      <c r="S640" s="2">
        <f>HYPERLINK("https://yandex.ru/maps/?&amp;text=55.693617, 37.565461", "55.693617, 37.565461")</f>
        <v/>
      </c>
      <c r="T640" s="2">
        <f>HYPERLINK("D:\venv_torgi\env\cache\objs_in_district/55.693617_37.565461.json", "55.693617_37.565461.json")</f>
        <v/>
      </c>
      <c r="U640" t="inlineStr">
        <is>
          <t>77:06:0002019:1142</t>
        </is>
      </c>
      <c r="V640" t="n">
        <v>0</v>
      </c>
      <c r="Y640" t="n">
        <v>0</v>
      </c>
      <c r="AA640" t="n">
        <v>0</v>
      </c>
      <c r="AB640" t="n">
        <v>0</v>
      </c>
    </row>
    <row r="641">
      <c r="A641" s="7" t="n">
        <v>639</v>
      </c>
      <c r="B641" t="n">
        <v>77</v>
      </c>
      <c r="C641" s="1" t="n">
        <v>42.8</v>
      </c>
      <c r="D641" s="2">
        <f>HYPERLINK("https://torgi.gov.ru/new/public/lots/lot/21000005000000002419_1/(lotInfo:info)", "21000005000000002419_1")</f>
        <v/>
      </c>
      <c r="E64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Российская Федерация, г. Москва, ул. Новопесчаная, д. 19, корп. 2, общей площадью 42,8 кв. м.</t>
        </is>
      </c>
      <c r="F641" s="3" t="inlineStr">
        <is>
          <t>08.08.22 12:00</t>
        </is>
      </c>
      <c r="G641" t="inlineStr">
        <is>
          <t>г Москва, ул Новопесчаная, д 19 к 2</t>
        </is>
      </c>
      <c r="H641" s="4" t="n">
        <v>3401000</v>
      </c>
      <c r="I641" s="4" t="n">
        <v>79462.61682242992</v>
      </c>
      <c r="J641" t="inlineStr">
        <is>
          <t>Нежилое помещение</t>
        </is>
      </c>
      <c r="K641" s="5" t="n">
        <v>6.25</v>
      </c>
      <c r="L641" s="4" t="n">
        <v>729.01</v>
      </c>
      <c r="M641" t="n">
        <v>12708</v>
      </c>
      <c r="N641" s="6" t="n">
        <v>12380664</v>
      </c>
      <c r="O641" t="n">
        <v>109</v>
      </c>
      <c r="Q641" t="inlineStr">
        <is>
          <t>EA</t>
        </is>
      </c>
      <c r="R641" t="inlineStr">
        <is>
          <t>М</t>
        </is>
      </c>
      <c r="S641" s="2">
        <f>HYPERLINK("https://yandex.ru/maps/?&amp;text=55.795406, 37.512543", "55.795406, 37.512543")</f>
        <v/>
      </c>
      <c r="T641" s="2">
        <f>HYPERLINK("D:\venv_torgi\env\cache\objs_in_district/55.795406_37.512543.json", "55.795406_37.512543.json")</f>
        <v/>
      </c>
      <c r="U641" t="inlineStr">
        <is>
          <t>77:09:0005003:6567</t>
        </is>
      </c>
      <c r="V641" t="n">
        <v>0</v>
      </c>
      <c r="Y641" t="n">
        <v>0</v>
      </c>
      <c r="AA641" t="n">
        <v>0</v>
      </c>
      <c r="AB641" t="n">
        <v>0</v>
      </c>
    </row>
    <row r="642">
      <c r="A642" s="7" t="n">
        <v>640</v>
      </c>
      <c r="B642" t="n">
        <v>77</v>
      </c>
      <c r="C642" s="1" t="n">
        <v>54.1</v>
      </c>
      <c r="D642" s="2">
        <f>HYPERLINK("https://torgi.gov.ru/new/public/lots/lot/21000005000000000821_1/(lotInfo:info)", "21000005000000000821_1")</f>
        <v/>
      </c>
      <c r="E642" t="inlineStr">
        <is>
          <t>Продажа имущества, находящегося в собственности города Москвы, нежилое помещение по адресу: г. Москва, ул. Парковая 6-я, д. 29А, площадью 54,1 кв. м., Цокольный этаж № 0, кадастровый номер: 77:03:0005007:4939, посредством публичного предложения</t>
        </is>
      </c>
      <c r="F642" s="3" t="inlineStr">
        <is>
          <t>11.05.22 12:00</t>
        </is>
      </c>
      <c r="G642" t="inlineStr">
        <is>
          <t>г Москва, ул 6-я Парковая, д 29А, помещ 3/Н</t>
        </is>
      </c>
      <c r="H642" s="4" t="n">
        <v>4577800</v>
      </c>
      <c r="I642" s="4" t="n">
        <v>84617.37523105361</v>
      </c>
      <c r="J642" t="inlineStr">
        <is>
          <t>Нежилое помещение</t>
        </is>
      </c>
      <c r="K642" s="5" t="n">
        <v>6.9</v>
      </c>
      <c r="L642" s="4" t="n">
        <v>1044.65</v>
      </c>
      <c r="M642" t="n">
        <v>12261</v>
      </c>
      <c r="N642" s="6" t="n">
        <v>12380664</v>
      </c>
      <c r="O642" t="n">
        <v>81</v>
      </c>
      <c r="Q642" t="inlineStr">
        <is>
          <t>PP</t>
        </is>
      </c>
      <c r="R642" t="inlineStr">
        <is>
          <t>М</t>
        </is>
      </c>
      <c r="S642" s="2">
        <f>HYPERLINK("https://yandex.ru/maps/?&amp;text=55.795753, 37.790104", "55.795753, 37.790104")</f>
        <v/>
      </c>
      <c r="T642" s="2">
        <f>HYPERLINK("D:\venv_torgi\env\cache\objs_in_district/55.795753_37.790104.json", "55.795753_37.790104.json")</f>
        <v/>
      </c>
      <c r="U642" t="inlineStr">
        <is>
          <t xml:space="preserve">77:03:0005007:4939, </t>
        </is>
      </c>
      <c r="V642" t="n">
        <v>0</v>
      </c>
      <c r="Y642" t="n">
        <v>0</v>
      </c>
      <c r="AA642" t="n">
        <v>0</v>
      </c>
      <c r="AB642" t="n">
        <v>0</v>
      </c>
    </row>
    <row r="643">
      <c r="A643" s="7" t="n">
        <v>641</v>
      </c>
      <c r="B643" t="n">
        <v>77</v>
      </c>
      <c r="C643" s="1" t="n">
        <v>61.3</v>
      </c>
      <c r="D643" s="2">
        <f>HYPERLINK("https://torgi.gov.ru/new/public/lots/lot/21000005000000001416_1/(lotInfo:info)", "21000005000000001416_1")</f>
        <v/>
      </c>
      <c r="E643" t="inlineStr">
        <is>
          <t>Продажа имущества, находящегося в хозяйственном ведении ГУП "ЦУГИ", расположенного по адресу: г. Москва, ул. Садовническая, д. 78, стр. 7, помещ. 1/Ч, общей площадью 61,3 (кадастровый номер 77:01:0002014:4154)</t>
        </is>
      </c>
      <c r="F643" s="3" t="inlineStr">
        <is>
          <t>09.06.22 12:00</t>
        </is>
      </c>
      <c r="G643" t="inlineStr">
        <is>
          <t>г Москва, ул Садовническая, д 78 стр 7, помещ 1/Ч</t>
        </is>
      </c>
      <c r="H643" s="4" t="n">
        <v>5427000</v>
      </c>
      <c r="I643" s="4" t="n">
        <v>88531.81076672104</v>
      </c>
      <c r="J643" t="inlineStr">
        <is>
          <t>Нежилое помещение</t>
        </is>
      </c>
      <c r="K643" s="5" t="n">
        <v>9.359999999999999</v>
      </c>
      <c r="L643" s="4" t="n">
        <v>719.76</v>
      </c>
      <c r="M643" t="n">
        <v>9455</v>
      </c>
      <c r="N643" s="6" t="n">
        <v>12380664</v>
      </c>
      <c r="O643" t="n">
        <v>123</v>
      </c>
      <c r="Q643" t="inlineStr">
        <is>
          <t>EA</t>
        </is>
      </c>
      <c r="R643" t="inlineStr">
        <is>
          <t>М</t>
        </is>
      </c>
      <c r="S643" s="2">
        <f>HYPERLINK("https://yandex.ru/maps/?&amp;text=55.73795, 37.640156", "55.73795, 37.640156")</f>
        <v/>
      </c>
      <c r="T643" s="2">
        <f>HYPERLINK("D:\venv_torgi\env\cache\objs_in_district/55.73795_37.640156.json", "55.73795_37.640156.json")</f>
        <v/>
      </c>
      <c r="U643" t="inlineStr">
        <is>
          <t>77:01:0002014:4154</t>
        </is>
      </c>
      <c r="V643" t="n">
        <v>0</v>
      </c>
      <c r="Y643" t="n">
        <v>0</v>
      </c>
      <c r="AA643" t="n">
        <v>0</v>
      </c>
      <c r="AB643" t="n">
        <v>0</v>
      </c>
    </row>
    <row r="644">
      <c r="A644" s="7" t="n">
        <v>642</v>
      </c>
      <c r="B644" t="n">
        <v>77</v>
      </c>
      <c r="C644" s="1" t="n">
        <v>59.9</v>
      </c>
      <c r="D644" s="2">
        <f>HYPERLINK("https://torgi.gov.ru/new/public/lots/lot/21000005000000000820_1/(lotInfo:info)", "21000005000000000820_1")</f>
        <v/>
      </c>
      <c r="E644" t="inlineStr">
        <is>
          <t>Продажа имущества, находящегося в собственности города Москвы, нежилое помещение по адресу: г. Москва, ул. Парковая 6-я, д. 29А, площадью 59,9 кв. м., Цокольный этаж № 0, кадастровый номер: 77:03:0005007:4938, посредством публичного предложения</t>
        </is>
      </c>
      <c r="F644" s="3" t="inlineStr">
        <is>
          <t>11.05.22 12:00</t>
        </is>
      </c>
      <c r="G644" t="inlineStr">
        <is>
          <t>г Москва, ул 6-я Парковая, д 29А, помещ 2/Н</t>
        </is>
      </c>
      <c r="H644" s="4" t="n">
        <v>5315750</v>
      </c>
      <c r="I644" s="4" t="n">
        <v>88743.73956594324</v>
      </c>
      <c r="J644" t="inlineStr">
        <is>
          <t>Нежилое помещение</t>
        </is>
      </c>
      <c r="K644" s="5" t="n">
        <v>7.24</v>
      </c>
      <c r="L644" s="4" t="n">
        <v>1095.59</v>
      </c>
      <c r="M644" t="n">
        <v>12261</v>
      </c>
      <c r="N644" s="6" t="n">
        <v>12380664</v>
      </c>
      <c r="O644" t="n">
        <v>81</v>
      </c>
      <c r="Q644" t="inlineStr">
        <is>
          <t>PP</t>
        </is>
      </c>
      <c r="R644" t="inlineStr">
        <is>
          <t>М</t>
        </is>
      </c>
      <c r="S644" s="2">
        <f>HYPERLINK("https://yandex.ru/maps/?&amp;text=55.795753, 37.790104", "55.795753, 37.790104")</f>
        <v/>
      </c>
      <c r="T644" s="2">
        <f>HYPERLINK("D:\venv_torgi\env\cache\objs_in_district/55.795753_37.790104.json", "55.795753_37.790104.json")</f>
        <v/>
      </c>
      <c r="U644" t="inlineStr">
        <is>
          <t xml:space="preserve">77:03:0005007:4938, </t>
        </is>
      </c>
      <c r="V644" t="n">
        <v>0</v>
      </c>
      <c r="Y644" t="n">
        <v>0</v>
      </c>
      <c r="AA644" t="n">
        <v>0</v>
      </c>
      <c r="AB644" t="n">
        <v>0</v>
      </c>
    </row>
    <row r="645">
      <c r="A645" s="7" t="n">
        <v>643</v>
      </c>
      <c r="B645" t="n">
        <v>77</v>
      </c>
      <c r="C645" s="1" t="n">
        <v>72.7</v>
      </c>
      <c r="D645" s="2">
        <f>HYPERLINK("https://torgi.gov.ru/new/public/lots/lot/21000005000000000691_1/(lotInfo:info)", "21000005000000000691_1")</f>
        <v/>
      </c>
      <c r="E645" t="inlineStr">
        <is>
          <t>Продажа имущества, находящегося в собственности города Москвы, нежилое помещение по адресу: город Москва, Изюмская улица, дом 47, корпус 4, этаж № 1, площадь 72,70 кв.м, кадастровый номер: 77:06:0012001:9222, посредством публичного предложения</t>
        </is>
      </c>
      <c r="F645" s="3" t="inlineStr">
        <is>
          <t>18.04.22 12:00</t>
        </is>
      </c>
      <c r="G645" t="inlineStr">
        <is>
          <t>г Москва, ул Изюмская, д 47 к 4, помещ 1/1</t>
        </is>
      </c>
      <c r="H645" s="4" t="n">
        <v>6736000</v>
      </c>
      <c r="I645" s="4" t="n">
        <v>92654.74552957359</v>
      </c>
      <c r="J645" t="inlineStr">
        <is>
          <t>Нежилое помещение</t>
        </is>
      </c>
      <c r="K645" s="5" t="n">
        <v>11.62</v>
      </c>
      <c r="L645" s="4" t="n">
        <v>9265.4</v>
      </c>
      <c r="M645" t="n">
        <v>7974</v>
      </c>
      <c r="N645" s="6" t="n">
        <v>12380664</v>
      </c>
      <c r="O645" t="n">
        <v>10</v>
      </c>
      <c r="Q645" t="inlineStr">
        <is>
          <t>PP</t>
        </is>
      </c>
      <c r="R645" t="inlineStr">
        <is>
          <t>М</t>
        </is>
      </c>
      <c r="S645" s="2">
        <f>HYPERLINK("https://yandex.ru/maps/?&amp;text=55.547204, 37.569459", "55.547204, 37.569459")</f>
        <v/>
      </c>
      <c r="T645" s="2">
        <f>HYPERLINK("D:\venv_torgi\env\cache\objs_in_district/55.547204_37.569459.json", "55.547204_37.569459.json")</f>
        <v/>
      </c>
      <c r="U645" t="inlineStr">
        <is>
          <t xml:space="preserve">77:06:0012001:9222, </t>
        </is>
      </c>
      <c r="V645" t="n">
        <v>1</v>
      </c>
      <c r="Y645" t="n">
        <v>0</v>
      </c>
      <c r="AA645" t="n">
        <v>0</v>
      </c>
      <c r="AB645" t="n">
        <v>0</v>
      </c>
    </row>
    <row r="646">
      <c r="A646" s="7" t="n">
        <v>644</v>
      </c>
      <c r="B646" t="n">
        <v>77</v>
      </c>
      <c r="C646" s="1" t="n">
        <v>88.59999999999999</v>
      </c>
      <c r="D646" s="2">
        <f>HYPERLINK("https://torgi.gov.ru/new/public/lots/lot/21000005000000001432_1/(lotInfo:info)", "21000005000000001432_1")</f>
        <v/>
      </c>
      <c r="E646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Изюмская, д. 57, корп. 1, общей площадью 88,60 кв. м, кадастровый номер 77:06:0012001:9252</t>
        </is>
      </c>
      <c r="F646" s="3" t="inlineStr">
        <is>
          <t>07.06.22 12:00</t>
        </is>
      </c>
      <c r="G646" t="inlineStr">
        <is>
          <t>г Москва, ул Изюмская, д 57 к 1, помещ 1/Н</t>
        </is>
      </c>
      <c r="H646" s="4" t="n">
        <v>8348000</v>
      </c>
      <c r="I646" s="4" t="n">
        <v>94221.21896162529</v>
      </c>
      <c r="J646" t="inlineStr">
        <is>
          <t>Нежилое помещение</t>
        </is>
      </c>
      <c r="K646" s="5" t="n">
        <v>12.63</v>
      </c>
      <c r="L646" s="4" t="n">
        <v>5888.81</v>
      </c>
      <c r="M646" t="n">
        <v>7461</v>
      </c>
      <c r="N646" s="6" t="n">
        <v>12380664</v>
      </c>
      <c r="O646" t="n">
        <v>16</v>
      </c>
      <c r="Q646" t="inlineStr">
        <is>
          <t>EA</t>
        </is>
      </c>
      <c r="R646" t="inlineStr">
        <is>
          <t>М</t>
        </is>
      </c>
      <c r="S646" s="2">
        <f>HYPERLINK("https://yandex.ru/maps/?&amp;text=55.543526, 37.563548", "55.543526, 37.563548")</f>
        <v/>
      </c>
      <c r="T646" s="2">
        <f>HYPERLINK("D:\venv_torgi\env\cache\objs_in_district/55.543526_37.563548.json", "55.543526_37.563548.json")</f>
        <v/>
      </c>
      <c r="U646" t="inlineStr">
        <is>
          <t>77:06:0012001:9252</t>
        </is>
      </c>
      <c r="V646" t="n">
        <v>0</v>
      </c>
      <c r="Y646" t="n">
        <v>0</v>
      </c>
      <c r="AA646" t="n">
        <v>0</v>
      </c>
      <c r="AB646" t="n">
        <v>0</v>
      </c>
    </row>
    <row r="647">
      <c r="A647" s="7" t="n">
        <v>645</v>
      </c>
      <c r="B647" t="n">
        <v>77</v>
      </c>
      <c r="C647" s="1" t="n">
        <v>87.3</v>
      </c>
      <c r="D647" s="2">
        <f>HYPERLINK("https://torgi.gov.ru/new/public/lots/lot/21000005000000001412_1/(lotInfo:info)", "21000005000000001412_1")</f>
        <v/>
      </c>
      <c r="E647" t="inlineStr">
        <is>
          <t>Продажа имущества. находящегося в хозяйственном ведении ГУП «ЦУГИ». расположенного по адресу: г.Москва, Новокузнецкая ул., д. 20/21-19, стр. 5, общей площадью 87,3 кв. м (кадастровый номер: 77:01:0002012:3467)</t>
        </is>
      </c>
      <c r="F647" s="3" t="inlineStr">
        <is>
          <t>01.06.22 12:00</t>
        </is>
      </c>
      <c r="G647" t="inlineStr">
        <is>
          <t>г Москва, ул Новокузнецкая, д 20/21-19 стр 5, помещ 2/П</t>
        </is>
      </c>
      <c r="H647" s="4" t="n">
        <v>9129750</v>
      </c>
      <c r="I647" s="4" t="n">
        <v>104579.0378006873</v>
      </c>
      <c r="J647" t="inlineStr">
        <is>
          <t>Нежилое помещение</t>
        </is>
      </c>
      <c r="K647" s="5" t="n">
        <v>9.35</v>
      </c>
      <c r="L647" s="4" t="n">
        <v>435.75</v>
      </c>
      <c r="M647" t="n">
        <v>11184</v>
      </c>
      <c r="N647" s="6" t="n">
        <v>12380664</v>
      </c>
      <c r="O647" t="n">
        <v>240</v>
      </c>
      <c r="Q647" t="inlineStr">
        <is>
          <t>EA</t>
        </is>
      </c>
      <c r="R647" t="inlineStr">
        <is>
          <t>М</t>
        </is>
      </c>
      <c r="S647" s="2">
        <f>HYPERLINK("https://yandex.ru/maps/?&amp;text=55.7362574, 37.6311334", "55.7362574, 37.6311334")</f>
        <v/>
      </c>
      <c r="T647" s="2">
        <f>HYPERLINK("D:\venv_torgi\env\cache\objs_in_district/55.7362574_37.6311334.json", "55.7362574_37.6311334.json")</f>
        <v/>
      </c>
      <c r="U647" t="inlineStr">
        <is>
          <t>77:01:0002012:3467</t>
        </is>
      </c>
      <c r="V647" t="n">
        <v>0</v>
      </c>
      <c r="Y647" t="n">
        <v>0</v>
      </c>
      <c r="AA647" t="n">
        <v>0</v>
      </c>
      <c r="AB647" t="n">
        <v>0</v>
      </c>
    </row>
    <row r="648">
      <c r="A648" s="7" t="n">
        <v>646</v>
      </c>
      <c r="B648" t="n">
        <v>77</v>
      </c>
      <c r="C648" s="1" t="n">
        <v>58.6</v>
      </c>
      <c r="D648" s="2">
        <f>HYPERLINK("https://torgi.gov.ru/new/public/lots/lot/21000005000000002244_1/(lotInfo:info)", "21000005000000002244_1")</f>
        <v/>
      </c>
      <c r="E648" t="inlineStr">
        <is>
          <t>Продажа имущества, находящегося в собственности города Москвы, нежилое помещение по адресу: г. Москва, ул. Сельскохозяйственная, д. 15, стр. 3 площадью 58,6 кв. м (Чердак № 0), кадастровый номер: 77:02:0018009:3336</t>
        </is>
      </c>
      <c r="F648" s="3" t="inlineStr">
        <is>
          <t>28.07.22 12:00</t>
        </is>
      </c>
      <c r="G648" t="inlineStr">
        <is>
          <t>г Москва, ул Сельскохозяйственная, д 15 стр 3</t>
        </is>
      </c>
      <c r="H648" s="4" t="n">
        <v>6246800</v>
      </c>
      <c r="I648" s="4" t="n">
        <v>106600.6825938566</v>
      </c>
      <c r="J648" t="inlineStr">
        <is>
          <t>Нежилое помещение</t>
        </is>
      </c>
      <c r="K648" s="5" t="n">
        <v>14.9</v>
      </c>
      <c r="L648" s="4" t="n">
        <v>1974.07</v>
      </c>
      <c r="M648" t="n">
        <v>7153</v>
      </c>
      <c r="N648" s="6" t="n">
        <v>12380664</v>
      </c>
      <c r="O648" t="n">
        <v>54</v>
      </c>
      <c r="Q648" t="inlineStr">
        <is>
          <t>EA</t>
        </is>
      </c>
      <c r="R648" t="inlineStr">
        <is>
          <t>М</t>
        </is>
      </c>
      <c r="S648" s="2">
        <f>HYPERLINK("https://yandex.ru/maps/?&amp;text=55.836711, 37.638081", "55.836711, 37.638081")</f>
        <v/>
      </c>
      <c r="T648" s="2">
        <f>HYPERLINK("D:\venv_torgi\env\cache\objs_in_district/55.836711_37.638081.json", "55.836711_37.638081.json")</f>
        <v/>
      </c>
      <c r="U648" t="inlineStr">
        <is>
          <t>77:02:0018009:3336</t>
        </is>
      </c>
      <c r="V648" t="n">
        <v>0</v>
      </c>
      <c r="Y648" t="n">
        <v>0</v>
      </c>
      <c r="AA648" t="n">
        <v>0</v>
      </c>
      <c r="AB648" t="n">
        <v>0</v>
      </c>
    </row>
    <row r="649">
      <c r="A649" s="7" t="n">
        <v>647</v>
      </c>
      <c r="B649" t="n">
        <v>77</v>
      </c>
      <c r="C649" s="1" t="n">
        <v>31.7</v>
      </c>
      <c r="D649" s="2">
        <f>HYPERLINK("https://torgi.gov.ru/new/public/lots/lot/21000005000000000924_1/(lotInfo:info)", "21000005000000000924_1")</f>
        <v/>
      </c>
      <c r="E649" t="inlineStr">
        <is>
          <t>Продажа имущества, находящегося в собственности города Москвы, нежилое помещение по адресу: г. Москва, ул. Маршала Федоренко, д. 10А, стр. 1 площадью 31,7 кв. м (Этаж № 1), кадастровый номер: 77:09:0002015:6546</t>
        </is>
      </c>
      <c r="F649" s="3" t="inlineStr">
        <is>
          <t>18.05.22 12:00</t>
        </is>
      </c>
      <c r="G649" t="inlineStr">
        <is>
          <t>г Москва, ул Маршала Федоренко, д 10А стр 1, помещ 1/1</t>
        </is>
      </c>
      <c r="H649" s="4" t="n">
        <v>3399000</v>
      </c>
      <c r="I649" s="4" t="n">
        <v>107223.9747634069</v>
      </c>
      <c r="J649" t="inlineStr">
        <is>
          <t>Нежилое помещение</t>
        </is>
      </c>
      <c r="K649" s="5" t="n">
        <v>12.12</v>
      </c>
      <c r="L649" s="4" t="n">
        <v>1232.45</v>
      </c>
      <c r="M649" t="n">
        <v>8845</v>
      </c>
      <c r="N649" s="6" t="n">
        <v>12380664</v>
      </c>
      <c r="O649" t="n">
        <v>87</v>
      </c>
      <c r="Q649" t="inlineStr">
        <is>
          <t>EA</t>
        </is>
      </c>
      <c r="R649" t="inlineStr">
        <is>
          <t>М</t>
        </is>
      </c>
      <c r="S649" s="2">
        <f>HYPERLINK("https://yandex.ru/maps/?&amp;text=55.881763, 37.492168", "55.881763, 37.492168")</f>
        <v/>
      </c>
      <c r="T649" s="2">
        <f>HYPERLINK("D:\venv_torgi\env\cache\objs_in_district/55.881763_37.492168.json", "55.881763_37.492168.json")</f>
        <v/>
      </c>
      <c r="U649" t="inlineStr">
        <is>
          <t>77:09:0002015:6546</t>
        </is>
      </c>
      <c r="V649" t="n">
        <v>1</v>
      </c>
      <c r="Y649" t="n">
        <v>0</v>
      </c>
      <c r="AA649" t="n">
        <v>0</v>
      </c>
      <c r="AB649" t="n">
        <v>0</v>
      </c>
    </row>
    <row r="650">
      <c r="A650" s="7" t="n">
        <v>648</v>
      </c>
      <c r="B650" t="n">
        <v>77</v>
      </c>
      <c r="C650" s="1" t="n">
        <v>42.9</v>
      </c>
      <c r="D650" s="2">
        <f>HYPERLINK("https://torgi.gov.ru/new/public/lots/lot/21000005000000001941_1/(lotInfo:info)", "21000005000000001941_1")</f>
        <v/>
      </c>
      <c r="E650" t="inlineStr">
        <is>
          <t>Продажа имущества, находящегося в собственности города Москвы, нежилое помещение по адресу: г. Москва, ул. Матвеевская, д. 42, корп. 2, площадью 42,9 кв. м., Цокольный этаж № 0, кадастровый номер: 77:07:0012010:14857.</t>
        </is>
      </c>
      <c r="F650" s="3" t="inlineStr">
        <is>
          <t>06.07.22 12:00</t>
        </is>
      </c>
      <c r="G650" t="inlineStr">
        <is>
          <t>г Москва, ул Матвеевская, д 42 к 2, помещ 3Ц</t>
        </is>
      </c>
      <c r="H650" s="4" t="n">
        <v>4788000</v>
      </c>
      <c r="I650" s="4" t="n">
        <v>111608.3916083916</v>
      </c>
      <c r="J650" t="inlineStr">
        <is>
          <t>Нежилое помещение</t>
        </is>
      </c>
      <c r="K650" s="5" t="n">
        <v>18.7</v>
      </c>
      <c r="L650" s="4" t="n">
        <v>2657.33</v>
      </c>
      <c r="M650" t="n">
        <v>5967</v>
      </c>
      <c r="N650" s="6" t="n">
        <v>12380664</v>
      </c>
      <c r="O650" t="n">
        <v>42</v>
      </c>
      <c r="Q650" t="inlineStr">
        <is>
          <t>EA</t>
        </is>
      </c>
      <c r="R650" t="inlineStr">
        <is>
          <t>М</t>
        </is>
      </c>
      <c r="S650" s="2">
        <f>HYPERLINK("https://yandex.ru/maps/?&amp;text=55.707573, 37.460421", "55.707573, 37.460421")</f>
        <v/>
      </c>
      <c r="T650" s="2">
        <f>HYPERLINK("D:\venv_torgi\env\cache\objs_in_district/55.707573_37.460421.json", "55.707573_37.460421.json")</f>
        <v/>
      </c>
      <c r="U650" t="inlineStr">
        <is>
          <t>77:07:0012010:14857</t>
        </is>
      </c>
      <c r="V650" t="n">
        <v>0</v>
      </c>
      <c r="Y650" t="n">
        <v>0</v>
      </c>
      <c r="AA650" t="n">
        <v>0</v>
      </c>
      <c r="AB650" t="n">
        <v>0</v>
      </c>
    </row>
    <row r="651">
      <c r="A651" s="7" t="n">
        <v>649</v>
      </c>
      <c r="B651" t="n">
        <v>77</v>
      </c>
      <c r="C651" s="1" t="n">
        <v>54.3</v>
      </c>
      <c r="D651" s="2">
        <f>HYPERLINK("https://torgi.gov.ru/new/public/lots/lot/21000005000000002048_1/(lotInfo:info)", "21000005000000002048_1")</f>
        <v/>
      </c>
      <c r="E651" t="inlineStr">
        <is>
          <t>Продажа имущества, находящегося в собственности города Москвы, нежилое помещение по адресу: г. Москва, г. Зеленоград, корп. 448, площадью 54,3 кв. м., Этаж № 1, кадастровый номер: 77:10:0000000:3341.</t>
        </is>
      </c>
      <c r="F651" s="3" t="inlineStr">
        <is>
          <t>13.07.22 12:00</t>
        </is>
      </c>
      <c r="G651" t="inlineStr">
        <is>
          <t>г Москва, г Зеленоград, к 448</t>
        </is>
      </c>
      <c r="H651" s="4" t="n">
        <v>6230900</v>
      </c>
      <c r="I651" s="4" t="n">
        <v>114749.5395948435</v>
      </c>
      <c r="J651" t="inlineStr">
        <is>
          <t>Нежилое помещение</t>
        </is>
      </c>
      <c r="K651" s="5" t="n">
        <v>16.43</v>
      </c>
      <c r="L651" s="4" t="n">
        <v>2341.82</v>
      </c>
      <c r="M651" t="n">
        <v>6985</v>
      </c>
      <c r="N651" s="6" t="n">
        <v>12380664</v>
      </c>
      <c r="O651" t="n">
        <v>49</v>
      </c>
      <c r="Q651" t="inlineStr">
        <is>
          <t>EA</t>
        </is>
      </c>
      <c r="R651" t="inlineStr">
        <is>
          <t>М</t>
        </is>
      </c>
      <c r="S651" s="2">
        <f>HYPERLINK("https://yandex.ru/maps/?&amp;text=55.990891, 37.208893", "55.990891, 37.208893")</f>
        <v/>
      </c>
      <c r="T651" s="2">
        <f>HYPERLINK("D:\venv_torgi\env\cache\objs_in_district/55.990891_37.208893.json", "55.990891_37.208893.json")</f>
        <v/>
      </c>
      <c r="U651" t="inlineStr">
        <is>
          <t>77:10:0000000:3341</t>
        </is>
      </c>
      <c r="V651" t="n">
        <v>1</v>
      </c>
      <c r="Y651" t="n">
        <v>0</v>
      </c>
      <c r="AA651" t="n">
        <v>0</v>
      </c>
      <c r="AB651" t="n">
        <v>0</v>
      </c>
    </row>
    <row r="652">
      <c r="A652" s="7" t="n">
        <v>650</v>
      </c>
      <c r="B652" t="n">
        <v>77</v>
      </c>
      <c r="C652" s="1" t="n">
        <v>47.2</v>
      </c>
      <c r="D652" s="2">
        <f>HYPERLINK("https://torgi.gov.ru/new/public/lots/lot/21000005000000002573_1/(lotInfo:info)", "21000005000000002573_1")</f>
        <v/>
      </c>
      <c r="E65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г.Москва, пер.Карманицкий, д.3А, стр.4, общей площадью 47,2 кв. м. (кадастровый номер 77:01:0001060:2215).</t>
        </is>
      </c>
      <c r="F652" s="3" t="inlineStr">
        <is>
          <t>17.08.22 12:00</t>
        </is>
      </c>
      <c r="G652" t="inlineStr">
        <is>
          <t>г Москва, Карманицкий пер, д 3А стр 4</t>
        </is>
      </c>
      <c r="H652" s="4" t="n">
        <v>5615500</v>
      </c>
      <c r="I652" s="4" t="n">
        <v>118972.4576271186</v>
      </c>
      <c r="J652" t="inlineStr">
        <is>
          <t>Нежилое помещение</t>
        </is>
      </c>
      <c r="K652" s="5" t="n">
        <v>7.2</v>
      </c>
      <c r="L652" s="4" t="n">
        <v>390.07</v>
      </c>
      <c r="M652" t="n">
        <v>16530</v>
      </c>
      <c r="N652" s="6" t="n">
        <v>12380664</v>
      </c>
      <c r="O652" t="n">
        <v>305</v>
      </c>
      <c r="Q652" t="inlineStr">
        <is>
          <t>EA</t>
        </is>
      </c>
      <c r="R652" t="inlineStr">
        <is>
          <t>М</t>
        </is>
      </c>
      <c r="S652" s="2">
        <f>HYPERLINK("https://yandex.ru/maps/?&amp;text=55.748701, 37.5857", "55.748701, 37.5857")</f>
        <v/>
      </c>
      <c r="T652" s="2">
        <f>HYPERLINK("D:\venv_torgi\env\cache\objs_in_district/55.748701_37.5857.json", "55.748701_37.5857.json")</f>
        <v/>
      </c>
      <c r="U652" t="inlineStr">
        <is>
          <t>77:01:0001060:2215</t>
        </is>
      </c>
      <c r="V652" t="n">
        <v>0</v>
      </c>
      <c r="Y652" t="n">
        <v>0</v>
      </c>
      <c r="AA652" t="n">
        <v>0</v>
      </c>
      <c r="AB652" t="n">
        <v>0</v>
      </c>
    </row>
    <row r="653">
      <c r="A653" s="7" t="n">
        <v>651</v>
      </c>
      <c r="B653" t="n">
        <v>77</v>
      </c>
      <c r="C653" s="1" t="n">
        <v>46</v>
      </c>
      <c r="D653" s="2">
        <f>HYPERLINK("https://torgi.gov.ru/new/public/lots/lot/21000005000000002442_1/(lotInfo:info)", "21000005000000002442_1")</f>
        <v/>
      </c>
      <c r="E653" t="inlineStr">
        <is>
          <t>Продажа имущества, находящегося в собственности города Москвы, нежилое помещение по адресу: город Москва, Старослободский переулок, дом 4, цокольный этаж № 0, площадь 46 кв.м, кадастровый номер: 77:03:0003003:2243</t>
        </is>
      </c>
      <c r="F653" s="3" t="inlineStr">
        <is>
          <t>10.08.22 12:00</t>
        </is>
      </c>
      <c r="G653" t="inlineStr">
        <is>
          <t>г Москва, Старослободский пер, д 4</t>
        </is>
      </c>
      <c r="H653" s="4" t="n">
        <v>5536500</v>
      </c>
      <c r="I653" s="4" t="n">
        <v>120358.6956521739</v>
      </c>
      <c r="J653" t="inlineStr">
        <is>
          <t>Нежилое помещение</t>
        </is>
      </c>
      <c r="K653" s="5" t="n">
        <v>13.15</v>
      </c>
      <c r="L653" s="4" t="n">
        <v>1322.62</v>
      </c>
      <c r="M653" t="n">
        <v>9154</v>
      </c>
      <c r="N653" s="6" t="n">
        <v>12380664</v>
      </c>
      <c r="O653" t="n">
        <v>91</v>
      </c>
      <c r="Q653" t="inlineStr">
        <is>
          <t>EA</t>
        </is>
      </c>
      <c r="R653" t="inlineStr">
        <is>
          <t>М</t>
        </is>
      </c>
      <c r="S653" s="2">
        <f>HYPERLINK("https://yandex.ru/maps/?&amp;text=55.79057, 37.668148", "55.79057, 37.668148")</f>
        <v/>
      </c>
      <c r="T653" s="2">
        <f>HYPERLINK("D:\venv_torgi\env\cache\objs_in_district/55.79057_37.668148.json", "55.79057_37.668148.json")</f>
        <v/>
      </c>
      <c r="U653" t="inlineStr">
        <is>
          <t>77:03:0003003:2243</t>
        </is>
      </c>
      <c r="V653" t="n">
        <v>0</v>
      </c>
      <c r="Y653" t="n">
        <v>0</v>
      </c>
      <c r="AA653" t="n">
        <v>0</v>
      </c>
      <c r="AB653" t="n">
        <v>0</v>
      </c>
    </row>
    <row r="654">
      <c r="A654" s="7" t="n">
        <v>652</v>
      </c>
      <c r="B654" t="n">
        <v>77</v>
      </c>
      <c r="C654" s="1" t="n">
        <v>79.7</v>
      </c>
      <c r="D654" s="2">
        <f>HYPERLINK("https://torgi.gov.ru/new/public/lots/lot/21000005000000001540_1/(lotInfo:info)", "21000005000000001540_1")</f>
        <v/>
      </c>
      <c r="E654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г. Москва, ул. Руднёвка, д. 14, общей площадью 79,70 кв.м. (кадастровый номер 77:03:0010008:5350)</t>
        </is>
      </c>
      <c r="F654" s="3" t="inlineStr">
        <is>
          <t>16.06.22 12:00</t>
        </is>
      </c>
      <c r="G654" t="inlineStr">
        <is>
          <t>г Москва, ул Руднёвка, д 14, помещ 20/1</t>
        </is>
      </c>
      <c r="H654" s="4" t="n">
        <v>9599050</v>
      </c>
      <c r="I654" s="4" t="n">
        <v>120439.774153074</v>
      </c>
      <c r="J654" t="inlineStr">
        <is>
          <t>Нежилое помещение</t>
        </is>
      </c>
      <c r="K654" s="5" t="n">
        <v>12.62</v>
      </c>
      <c r="L654" s="4" t="n">
        <v>963.51</v>
      </c>
      <c r="M654" t="n">
        <v>9540</v>
      </c>
      <c r="N654" s="6" t="n">
        <v>12380664</v>
      </c>
      <c r="O654" t="n">
        <v>125</v>
      </c>
      <c r="Q654" t="inlineStr">
        <is>
          <t>EA</t>
        </is>
      </c>
      <c r="R654" t="inlineStr">
        <is>
          <t>М</t>
        </is>
      </c>
      <c r="S654" s="2">
        <f>HYPERLINK("https://yandex.ru/maps/?&amp;text=55.715124, 37.89181", "55.715124, 37.89181")</f>
        <v/>
      </c>
      <c r="T654" s="2">
        <f>HYPERLINK("D:\venv_torgi\env\cache\objs_in_district/55.715124_37.89181.json", "55.715124_37.89181.json")</f>
        <v/>
      </c>
      <c r="U654" t="inlineStr">
        <is>
          <t>77:03:0010008:5350</t>
        </is>
      </c>
      <c r="V654" t="n">
        <v>0</v>
      </c>
      <c r="Y654" t="n">
        <v>0</v>
      </c>
      <c r="AA654" t="n">
        <v>0</v>
      </c>
      <c r="AB654" t="n">
        <v>0</v>
      </c>
    </row>
    <row r="655">
      <c r="A655" s="7" t="n">
        <v>653</v>
      </c>
      <c r="B655" t="n">
        <v>77</v>
      </c>
      <c r="C655" s="1" t="n">
        <v>54.8</v>
      </c>
      <c r="D655" s="2">
        <f>HYPERLINK("https://torgi.gov.ru/new/public/lots/lot/21000005000000001838_1/(lotInfo:info)", "21000005000000001838_1")</f>
        <v/>
      </c>
      <c r="E655" t="inlineStr">
        <is>
          <t>Продажа имущества, находящегося в хозяйственном ведении ГУП "ЦУГИ", нежилое помещение, расположенное по адресу: г. Москва, наб. Шевченко Тараса, д.1, площадь 54.8 кв. м (кадастровый номер 77:07:0007003:7034)</t>
        </is>
      </c>
      <c r="F655" s="3" t="inlineStr">
        <is>
          <t>30.06.22 12:00</t>
        </is>
      </c>
      <c r="G655" t="inlineStr">
        <is>
          <t>г Москва, наб Тараса Шевченко, д 1, помещ 30/9</t>
        </is>
      </c>
      <c r="H655" s="4" t="n">
        <v>6667650</v>
      </c>
      <c r="I655" s="4" t="n">
        <v>121672.4452554745</v>
      </c>
      <c r="J655" t="inlineStr">
        <is>
          <t>Нежилое помещение</t>
        </is>
      </c>
      <c r="K655" s="5" t="n">
        <v>16.3</v>
      </c>
      <c r="L655" s="4" t="n">
        <v>2134.6</v>
      </c>
      <c r="M655" t="n">
        <v>7465</v>
      </c>
      <c r="N655" s="6" t="n">
        <v>12380664</v>
      </c>
      <c r="O655" t="n">
        <v>57</v>
      </c>
      <c r="Q655" t="inlineStr">
        <is>
          <t>EA</t>
        </is>
      </c>
      <c r="R655" t="inlineStr">
        <is>
          <t>М</t>
        </is>
      </c>
      <c r="S655" s="2">
        <f>HYPERLINK("https://yandex.ru/maps/?&amp;text=55.746292, 37.57193", "55.746292, 37.57193")</f>
        <v/>
      </c>
      <c r="T655" s="2">
        <f>HYPERLINK("D:\venv_torgi\env\cache\objs_in_district/55.746292_37.57193.json", "55.746292_37.57193.json")</f>
        <v/>
      </c>
      <c r="U655" t="inlineStr">
        <is>
          <t>77:07:0007003:7034</t>
        </is>
      </c>
      <c r="V655" t="n">
        <v>0</v>
      </c>
      <c r="Y655" t="n">
        <v>0</v>
      </c>
      <c r="AA655" t="n">
        <v>0</v>
      </c>
      <c r="AB655" t="n">
        <v>0</v>
      </c>
    </row>
    <row r="656">
      <c r="A656" s="7" t="n">
        <v>654</v>
      </c>
      <c r="B656" t="n">
        <v>77</v>
      </c>
      <c r="C656" s="1" t="n">
        <v>49.6</v>
      </c>
      <c r="D656" s="2">
        <f>HYPERLINK("https://torgi.gov.ru/new/public/lots/lot/21000005000000002217_1/(lotInfo:info)", "21000005000000002217_1")</f>
        <v/>
      </c>
      <c r="E656" t="inlineStr">
        <is>
          <t>Продажа имущества, находящегося в собственности города Москвы, нежилое помещение по адресу: город Москва, Ленинский проспект, дом 95, цокольный этаж № 0, площадь 49,60 кв.м, кадастровый номер: 77:05:0001009:7426</t>
        </is>
      </c>
      <c r="F656" s="3" t="inlineStr">
        <is>
          <t>27.07.22 12:00</t>
        </is>
      </c>
      <c r="G656" t="inlineStr">
        <is>
          <t>г Москва, Ленинский пр-кт, д 95, помещ 2/Ц</t>
        </is>
      </c>
      <c r="H656" s="4" t="n">
        <v>6064800</v>
      </c>
      <c r="I656" s="4" t="n">
        <v>122274.1935483871</v>
      </c>
      <c r="J656" t="inlineStr">
        <is>
          <t>Нежилое помещение</t>
        </is>
      </c>
      <c r="K656" s="5" t="n">
        <v>6.9</v>
      </c>
      <c r="L656" s="4" t="n">
        <v>1175.71</v>
      </c>
      <c r="M656" t="n">
        <v>17728</v>
      </c>
      <c r="N656" s="6" t="n">
        <v>12380664</v>
      </c>
      <c r="O656" t="n">
        <v>104</v>
      </c>
      <c r="Q656" t="inlineStr">
        <is>
          <t>EA</t>
        </is>
      </c>
      <c r="R656" t="inlineStr">
        <is>
          <t>М</t>
        </is>
      </c>
      <c r="S656" s="2">
        <f>HYPERLINK("https://yandex.ru/maps/?&amp;text=55.673976, 37.525872", "55.673976, 37.525872")</f>
        <v/>
      </c>
      <c r="T656" s="2">
        <f>HYPERLINK("D:\venv_torgi\env\cache\objs_in_district/55.673976_37.525872.json", "55.673976_37.525872.json")</f>
        <v/>
      </c>
      <c r="U656" t="inlineStr">
        <is>
          <t>77:05:0001009:7426</t>
        </is>
      </c>
      <c r="V656" t="n">
        <v>0</v>
      </c>
      <c r="Y656" t="n">
        <v>0</v>
      </c>
      <c r="AA656" t="n">
        <v>0</v>
      </c>
      <c r="AB656" t="n">
        <v>0</v>
      </c>
    </row>
    <row r="657">
      <c r="A657" s="7" t="n">
        <v>655</v>
      </c>
      <c r="B657" t="n">
        <v>77</v>
      </c>
      <c r="C657" s="1" t="n">
        <v>54.4</v>
      </c>
      <c r="D657" s="2">
        <f>HYPERLINK("https://torgi.gov.ru/new/public/lots/lot/21000005000000002687_1/(lotInfo:info)", "21000005000000002687_1")</f>
        <v/>
      </c>
      <c r="E657" t="inlineStr">
        <is>
          <t>Продажа имущества, находящегося в собственности города Москвы, нежилое помещение по адресу: г. Москва, ул. Бутлерова, д. 22, площадью 54,4 кв. м., Этаж № 1, кадастровый номер: 77:06:0008003:1053, посредством публичного предложения</t>
        </is>
      </c>
      <c r="F657" s="3" t="inlineStr">
        <is>
          <t>24.08.22 12:00</t>
        </is>
      </c>
      <c r="G657" t="inlineStr">
        <is>
          <t>г Москва, ул Бутлерова, д 22, помещ 5/1</t>
        </is>
      </c>
      <c r="H657" s="4" t="n">
        <v>6757000</v>
      </c>
      <c r="I657" s="4" t="n">
        <v>124209.5588235294</v>
      </c>
      <c r="J657" t="inlineStr">
        <is>
          <t>Нежилое помещение</t>
        </is>
      </c>
      <c r="K657" s="5" t="n">
        <v>8.289999999999999</v>
      </c>
      <c r="L657" s="4" t="n">
        <v>2760.2</v>
      </c>
      <c r="M657" t="n">
        <v>14986</v>
      </c>
      <c r="N657" s="6" t="n">
        <v>12380664</v>
      </c>
      <c r="O657" t="n">
        <v>45</v>
      </c>
      <c r="Q657" t="inlineStr">
        <is>
          <t>PP</t>
        </is>
      </c>
      <c r="R657" t="inlineStr">
        <is>
          <t>М</t>
        </is>
      </c>
      <c r="S657" s="2">
        <f>HYPERLINK("https://yandex.ru/maps/?&amp;text=55.649144, 37.534918", "55.649144, 37.534918")</f>
        <v/>
      </c>
      <c r="T657" s="2">
        <f>HYPERLINK("D:\venv_torgi\env\cache\objs_in_district/55.649144_37.534918.json", "55.649144_37.534918.json")</f>
        <v/>
      </c>
      <c r="U657" t="inlineStr">
        <is>
          <t xml:space="preserve">77:06:0008003:1053, </t>
        </is>
      </c>
      <c r="V657" t="n">
        <v>1</v>
      </c>
      <c r="Y657" t="n">
        <v>0</v>
      </c>
      <c r="AA657" t="n">
        <v>0</v>
      </c>
      <c r="AB657" t="n">
        <v>0</v>
      </c>
    </row>
    <row r="658">
      <c r="A658" s="7" t="n">
        <v>656</v>
      </c>
      <c r="B658" t="n">
        <v>77</v>
      </c>
      <c r="C658" s="1" t="n">
        <v>44.4</v>
      </c>
      <c r="D658" s="2">
        <f>HYPERLINK("https://torgi.gov.ru/new/public/lots/lot/21000005000000002443_1/(lotInfo:info)", "21000005000000002443_1")</f>
        <v/>
      </c>
      <c r="E658" t="inlineStr">
        <is>
          <t>Продажа имущества, находящегося в собственности города Москвы, нежилое помещение по адресу: г. Москва, пер. Старослободский, д. 4 площадью 44,4 кв. м (Цокольный этаж № 0), кадастровый номер: 77:03:0003003:2242</t>
        </is>
      </c>
      <c r="F658" s="3" t="inlineStr">
        <is>
          <t>10.08.22 12:00</t>
        </is>
      </c>
      <c r="G658" t="inlineStr">
        <is>
          <t>г Москва, Старослободский пер, д 4</t>
        </is>
      </c>
      <c r="H658" s="4" t="n">
        <v>5710400</v>
      </c>
      <c r="I658" s="4" t="n">
        <v>128612.6126126126</v>
      </c>
      <c r="J658" t="inlineStr">
        <is>
          <t>Нежилое помещение</t>
        </is>
      </c>
      <c r="K658" s="5" t="n">
        <v>14.05</v>
      </c>
      <c r="L658" s="4" t="n">
        <v>1413.32</v>
      </c>
      <c r="M658" t="n">
        <v>9154</v>
      </c>
      <c r="N658" s="6" t="n">
        <v>12380664</v>
      </c>
      <c r="O658" t="n">
        <v>91</v>
      </c>
      <c r="Q658" t="inlineStr">
        <is>
          <t>EA</t>
        </is>
      </c>
      <c r="R658" t="inlineStr">
        <is>
          <t>М</t>
        </is>
      </c>
      <c r="S658" s="2">
        <f>HYPERLINK("https://yandex.ru/maps/?&amp;text=55.79057, 37.668148", "55.79057, 37.668148")</f>
        <v/>
      </c>
      <c r="T658" s="2">
        <f>HYPERLINK("D:\venv_torgi\env\cache\objs_in_district/55.79057_37.668148.json", "55.79057_37.668148.json")</f>
        <v/>
      </c>
      <c r="U658" t="inlineStr">
        <is>
          <t>77:03:0003003:2242</t>
        </is>
      </c>
      <c r="V658" t="n">
        <v>0</v>
      </c>
      <c r="Y658" t="n">
        <v>0</v>
      </c>
      <c r="AA658" t="n">
        <v>0</v>
      </c>
      <c r="AB658" t="n">
        <v>0</v>
      </c>
    </row>
    <row r="659">
      <c r="A659" s="7" t="n">
        <v>657</v>
      </c>
      <c r="B659" t="n">
        <v>77</v>
      </c>
      <c r="C659" s="1" t="n">
        <v>46.5</v>
      </c>
      <c r="D659" s="2">
        <f>HYPERLINK("https://torgi.gov.ru/new/public/lots/lot/21000005000000000011_1/(lotInfo:info)", "21000005000000000011_1")</f>
        <v/>
      </c>
      <c r="E659" t="inlineStr">
        <is>
          <t>Продажа имущества, находящегося в собственности города Москвы, нежилое помещение по адресу: г. Москва, Старослободский переулок, дом 4, площадь 46,5 кв. м., Цокольный этаж № 0, кадастровый номер: 77:03:0003003:2239.</t>
        </is>
      </c>
      <c r="F659" s="3" t="inlineStr">
        <is>
          <t>22.02.22 12:00</t>
        </is>
      </c>
      <c r="G659" t="inlineStr">
        <is>
          <t>г Москва, Старослободский пер, д 4, помещ 3Ц</t>
        </is>
      </c>
      <c r="H659" s="4" t="n">
        <v>6024900</v>
      </c>
      <c r="I659" s="4" t="n">
        <v>129567.7419354839</v>
      </c>
      <c r="J659" t="inlineStr">
        <is>
          <t>Нежилое помещение</t>
        </is>
      </c>
      <c r="K659" s="5" t="n">
        <v>14.15</v>
      </c>
      <c r="L659" s="4" t="n">
        <v>1423.81</v>
      </c>
      <c r="M659" t="n">
        <v>9154</v>
      </c>
      <c r="N659" s="6" t="n">
        <v>12380664</v>
      </c>
      <c r="O659" t="n">
        <v>91</v>
      </c>
      <c r="Q659" t="inlineStr">
        <is>
          <t>EA</t>
        </is>
      </c>
      <c r="R659" t="inlineStr">
        <is>
          <t>М</t>
        </is>
      </c>
      <c r="S659" s="2">
        <f>HYPERLINK("https://yandex.ru/maps/?&amp;text=55.79057, 37.668148", "55.79057, 37.668148")</f>
        <v/>
      </c>
      <c r="T659" s="2">
        <f>HYPERLINK("D:\venv_torgi\env\cache\objs_in_district/55.79057_37.668148.json", "55.79057_37.668148.json")</f>
        <v/>
      </c>
      <c r="U659" t="inlineStr">
        <is>
          <t>77:03:0003003:2239</t>
        </is>
      </c>
      <c r="V659" t="n">
        <v>0</v>
      </c>
      <c r="Y659" t="n">
        <v>0</v>
      </c>
      <c r="AA659" t="n">
        <v>0</v>
      </c>
      <c r="AB659" t="n">
        <v>0</v>
      </c>
    </row>
    <row r="660">
      <c r="A660" s="7" t="n">
        <v>658</v>
      </c>
      <c r="B660" t="n">
        <v>77</v>
      </c>
      <c r="C660" s="1" t="n">
        <v>66.40000000000001</v>
      </c>
      <c r="D660" s="2">
        <f>HYPERLINK("https://torgi.gov.ru/new/public/lots/lot/21000005000000000067_1/(lotInfo:info)", "21000005000000000067_1")</f>
        <v/>
      </c>
      <c r="E660" t="inlineStr">
        <is>
          <t>Продажа имущества, находящегося в собственности города Москвы, нежилое помещение по адресу: город Москва, улица Образцова, дом 5А, этаж № 2, этаж № 1, площадь 66,40 кв.м, кадастровый номер: 77:02:0024029:4288</t>
        </is>
      </c>
      <c r="F660" s="3" t="inlineStr">
        <is>
          <t>24.02.22 12:00</t>
        </is>
      </c>
      <c r="G660" t="inlineStr">
        <is>
          <t>г Москва, ул Образцова, д 5А, помещ 2/1</t>
        </is>
      </c>
      <c r="H660" s="4" t="n">
        <v>9279600</v>
      </c>
      <c r="I660" s="4" t="n">
        <v>139753.0120481928</v>
      </c>
      <c r="J660" t="inlineStr">
        <is>
          <t>Нежилое помещение</t>
        </is>
      </c>
      <c r="K660" s="5" t="n">
        <v>13.27</v>
      </c>
      <c r="L660" s="4" t="n">
        <v>2911.52</v>
      </c>
      <c r="M660" t="n">
        <v>10532</v>
      </c>
      <c r="N660" s="6" t="n">
        <v>12380664</v>
      </c>
      <c r="O660" t="n">
        <v>48</v>
      </c>
      <c r="Q660" t="inlineStr">
        <is>
          <t>EA</t>
        </is>
      </c>
      <c r="R660" t="inlineStr">
        <is>
          <t>М</t>
        </is>
      </c>
      <c r="S660" s="2">
        <f>HYPERLINK("https://yandex.ru/maps/?&amp;text=55.78604, 37.606873", "55.78604, 37.606873")</f>
        <v/>
      </c>
      <c r="T660" s="2">
        <f>HYPERLINK("D:\venv_torgi\env\cache\objs_in_district/55.78604_37.606873.json", "55.78604_37.606873.json")</f>
        <v/>
      </c>
      <c r="U660" t="inlineStr">
        <is>
          <t>77:02:0024029:4288</t>
        </is>
      </c>
      <c r="V660" t="n">
        <v>2</v>
      </c>
      <c r="Y660" t="n">
        <v>0</v>
      </c>
      <c r="AA660" t="n">
        <v>0</v>
      </c>
      <c r="AB660" t="n">
        <v>0</v>
      </c>
    </row>
    <row r="661">
      <c r="A661" s="7" t="n">
        <v>659</v>
      </c>
      <c r="B661" t="n">
        <v>77</v>
      </c>
      <c r="C661" s="1" t="n">
        <v>53.1</v>
      </c>
      <c r="D661" s="2">
        <f>HYPERLINK("https://torgi.gov.ru/new/public/lots/lot/21000005000000002756_1/(lotInfo:info)", "21000005000000002756_1")</f>
        <v/>
      </c>
      <c r="E661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1, площадью 53,1 кв. м, кадастровый номер 77:09:0002021:6695</t>
        </is>
      </c>
      <c r="F661" s="3" t="inlineStr">
        <is>
          <t>23.08.22 12:00</t>
        </is>
      </c>
      <c r="G661" t="inlineStr">
        <is>
          <t>г Москва, Бескудниковский б-р, д 52 к 1, помещ 22Н</t>
        </is>
      </c>
      <c r="H661" s="4" t="n">
        <v>7868154</v>
      </c>
      <c r="I661" s="4" t="n">
        <v>148176.1581920904</v>
      </c>
      <c r="J661" t="inlineStr">
        <is>
          <t>Нежилое помещение</t>
        </is>
      </c>
      <c r="K661" s="5" t="n">
        <v>10.83</v>
      </c>
      <c r="L661" s="4" t="n">
        <v>2211.58</v>
      </c>
      <c r="M661" t="n">
        <v>13683</v>
      </c>
      <c r="N661" s="6" t="n">
        <v>12380664</v>
      </c>
      <c r="O661" t="n">
        <v>67</v>
      </c>
      <c r="Q661" t="inlineStr">
        <is>
          <t>EA</t>
        </is>
      </c>
      <c r="R661" t="inlineStr">
        <is>
          <t>М</t>
        </is>
      </c>
      <c r="S661" s="2">
        <f>HYPERLINK("https://yandex.ru/maps/?&amp;text=55.8738384, 37.5390459", "55.8738384, 37.5390459")</f>
        <v/>
      </c>
      <c r="T661" s="2">
        <f>HYPERLINK("D:\venv_torgi\env\cache\objs_in_district/55.8738384_37.5390459.json", "55.8738384_37.5390459.json")</f>
        <v/>
      </c>
      <c r="U661" t="inlineStr">
        <is>
          <t>77:09:0002021:6695</t>
        </is>
      </c>
      <c r="V661" t="n">
        <v>1</v>
      </c>
      <c r="Y661" t="n">
        <v>0</v>
      </c>
      <c r="AA661" t="n">
        <v>0</v>
      </c>
      <c r="AB661" t="n">
        <v>0</v>
      </c>
    </row>
    <row r="662">
      <c r="A662" s="7" t="n">
        <v>660</v>
      </c>
      <c r="B662" t="n">
        <v>77</v>
      </c>
      <c r="C662" s="1" t="n">
        <v>39.2</v>
      </c>
      <c r="D662" s="2">
        <f>HYPERLINK("https://torgi.gov.ru/new/public/lots/lot/21000005000000002416_1/(lotInfo:info)", "21000005000000002416_1")</f>
        <v/>
      </c>
      <c r="E662" t="inlineStr">
        <is>
          <t>Продажа имущества, находящегося в собственности города Москвы, нежилое помещение по адресу: г. Москва, ул. Зверинецкая, д. 12 площадью 39,2 кв. м (Цокольный этаж № 0), кадастровый номер: 77:03:0003017:4070</t>
        </is>
      </c>
      <c r="F662" s="3" t="inlineStr">
        <is>
          <t>10.08.22 12:00</t>
        </is>
      </c>
      <c r="G662" t="inlineStr">
        <is>
          <t>г Москва, ул Зверинецкая, д 12</t>
        </is>
      </c>
      <c r="H662" s="4" t="n">
        <v>5993400</v>
      </c>
      <c r="I662" s="4" t="n">
        <v>152892.8571428571</v>
      </c>
      <c r="J662" t="inlineStr">
        <is>
          <t>Нежилое помещение</t>
        </is>
      </c>
      <c r="K662" s="5" t="n">
        <v>20.7</v>
      </c>
      <c r="L662" s="4" t="n">
        <v>2248.41</v>
      </c>
      <c r="M662" t="n">
        <v>7386</v>
      </c>
      <c r="N662" s="6" t="n">
        <v>12380664</v>
      </c>
      <c r="O662" t="n">
        <v>68</v>
      </c>
      <c r="Q662" t="inlineStr">
        <is>
          <t>EA</t>
        </is>
      </c>
      <c r="R662" t="inlineStr">
        <is>
          <t>М</t>
        </is>
      </c>
      <c r="S662" s="2">
        <f>HYPERLINK("https://yandex.ru/maps/?&amp;text=55.78359, 37.727894", "55.78359, 37.727894")</f>
        <v/>
      </c>
      <c r="T662" s="2">
        <f>HYPERLINK("D:\venv_torgi\env\cache\objs_in_district/55.78359_37.727894.json", "55.78359_37.727894.json")</f>
        <v/>
      </c>
      <c r="U662" t="inlineStr">
        <is>
          <t>77:03:0003017:4070</t>
        </is>
      </c>
      <c r="V662" t="n">
        <v>0</v>
      </c>
      <c r="Y662" t="n">
        <v>0</v>
      </c>
      <c r="AA662" t="n">
        <v>0</v>
      </c>
      <c r="AB662" t="n">
        <v>0</v>
      </c>
    </row>
    <row r="663">
      <c r="A663" s="7" t="n">
        <v>661</v>
      </c>
      <c r="B663" t="n">
        <v>77</v>
      </c>
      <c r="C663" s="1" t="n">
        <v>26.9</v>
      </c>
      <c r="D663" s="2">
        <f>HYPERLINK("https://torgi.gov.ru/new/public/lots/lot/21000005000000000087_1/(lotInfo:info)", "21000005000000000087_1")</f>
        <v/>
      </c>
      <c r="E663" t="inlineStr">
        <is>
          <t>Продажа имущества, находящегося в собственности города Москвы, нежилое помещение по адресу: г. Москва, ул. Совхозная, д. 18, корп. 4 (Этаж № 1), площадью 26,9 кв. м, кадастровый номер: 77:04:0004016:8581, посредством публичного предложения.</t>
        </is>
      </c>
      <c r="F663" s="3" t="inlineStr">
        <is>
          <t>14.03.22 12:00</t>
        </is>
      </c>
      <c r="G663" t="inlineStr">
        <is>
          <t>г Москва, ул Совхозная, д 18 к 4, помещ 1/1</t>
        </is>
      </c>
      <c r="H663" s="4" t="n">
        <v>4118125</v>
      </c>
      <c r="I663" s="4" t="n">
        <v>153090.1486988848</v>
      </c>
      <c r="J663" t="inlineStr">
        <is>
          <t>Нежилое помещение</t>
        </is>
      </c>
      <c r="K663" s="5" t="n">
        <v>15.98</v>
      </c>
      <c r="L663" s="4" t="n">
        <v>4938.39</v>
      </c>
      <c r="M663" t="n">
        <v>9579</v>
      </c>
      <c r="N663" s="6" t="n">
        <v>12380664</v>
      </c>
      <c r="O663" t="n">
        <v>31</v>
      </c>
      <c r="Q663" t="inlineStr">
        <is>
          <t>PP</t>
        </is>
      </c>
      <c r="R663" t="inlineStr">
        <is>
          <t>М</t>
        </is>
      </c>
      <c r="S663" s="2">
        <f>HYPERLINK("https://yandex.ru/maps/?&amp;text=55.68027, 37.766727", "55.68027, 37.766727")</f>
        <v/>
      </c>
      <c r="T663" s="2">
        <f>HYPERLINK("D:\venv_torgi\env\cache\objs_in_district/55.68027_37.766727.json", "55.68027_37.766727.json")</f>
        <v/>
      </c>
      <c r="U663" t="inlineStr">
        <is>
          <t xml:space="preserve">77:04:0004016:8581, </t>
        </is>
      </c>
      <c r="V663" t="n">
        <v>1</v>
      </c>
      <c r="Y663" t="n">
        <v>0</v>
      </c>
      <c r="AA663" t="n">
        <v>0</v>
      </c>
      <c r="AB663" t="n">
        <v>0</v>
      </c>
    </row>
    <row r="664">
      <c r="A664" s="7" t="n">
        <v>662</v>
      </c>
      <c r="B664" t="n">
        <v>77</v>
      </c>
      <c r="C664" s="1" t="n">
        <v>30.9</v>
      </c>
      <c r="D664" s="2">
        <f>HYPERLINK("https://torgi.gov.ru/new/public/lots/lot/21000005000000002441_1/(lotInfo:info)", "21000005000000002441_1")</f>
        <v/>
      </c>
      <c r="E664" t="inlineStr">
        <is>
          <t>Продажа имущества, находящегося в собственности города Москвы, нежилое помещение по адресу: г. Москва, ул. Привольная, д. 77 площадью 30,9 кв. м (Этаж № 1), кадастровый номер: 77:04:0005004:8881</t>
        </is>
      </c>
      <c r="F664" s="3" t="inlineStr">
        <is>
          <t>10.08.22 12:00</t>
        </is>
      </c>
      <c r="G664" t="inlineStr">
        <is>
          <t>г Москва, ул Привольная, д 77</t>
        </is>
      </c>
      <c r="H664" s="4" t="n">
        <v>4891700</v>
      </c>
      <c r="I664" s="4" t="n">
        <v>158307.4433656958</v>
      </c>
      <c r="J664" t="inlineStr">
        <is>
          <t>Нежилое помещение</t>
        </is>
      </c>
      <c r="K664" s="5" t="n">
        <v>21.89</v>
      </c>
      <c r="L664" s="4" t="n">
        <v>1076.92</v>
      </c>
      <c r="M664" t="n">
        <v>7233</v>
      </c>
      <c r="N664" s="6" t="n">
        <v>12380664</v>
      </c>
      <c r="O664" t="n">
        <v>147</v>
      </c>
      <c r="Q664" t="inlineStr">
        <is>
          <t>EA</t>
        </is>
      </c>
      <c r="R664" t="inlineStr">
        <is>
          <t>М</t>
        </is>
      </c>
      <c r="S664" s="2">
        <f>HYPERLINK("https://yandex.ru/maps/?&amp;text=55.677854, 37.857", "55.677854, 37.857")</f>
        <v/>
      </c>
      <c r="T664" s="2">
        <f>HYPERLINK("D:\venv_torgi\env\cache\objs_in_district/55.677854_37.857.json", "55.677854_37.857.json")</f>
        <v/>
      </c>
      <c r="U664" t="inlineStr">
        <is>
          <t>77:04:0005004:8881</t>
        </is>
      </c>
      <c r="V664" t="n">
        <v>1</v>
      </c>
      <c r="Y664" t="n">
        <v>0</v>
      </c>
      <c r="AA664" t="n">
        <v>0</v>
      </c>
      <c r="AB664" t="n">
        <v>0</v>
      </c>
    </row>
    <row r="665">
      <c r="A665" s="7" t="n">
        <v>663</v>
      </c>
      <c r="B665" t="n">
        <v>77</v>
      </c>
      <c r="C665" s="1" t="n">
        <v>27.5</v>
      </c>
      <c r="D665" s="2">
        <f>HYPERLINK("https://torgi.gov.ru/new/public/lots/lot/21000005000000000128_1/(lotInfo:info)", "21000005000000000128_1")</f>
        <v/>
      </c>
      <c r="E665" t="inlineStr">
        <is>
          <t>Продажа имущества, находящегося в собственности города Москвы, нежилое помещение по адресу: город Москва, Беловежская улица, дом 39, корпус 3, этаж № 1, площадь 27,50 кв.м, кадастровый 77:07:0008004:11797</t>
        </is>
      </c>
      <c r="F665" s="3" t="inlineStr">
        <is>
          <t>15.03.22 12:00</t>
        </is>
      </c>
      <c r="G665" t="inlineStr">
        <is>
          <t>г Москва, ул Беловежская, д 39 к 3, помещ 245</t>
        </is>
      </c>
      <c r="H665" s="4" t="n">
        <v>4624100</v>
      </c>
      <c r="I665" s="4" t="n">
        <v>168149.0909090909</v>
      </c>
      <c r="J665" t="inlineStr">
        <is>
          <t>Нежилое помещение</t>
        </is>
      </c>
      <c r="K665" s="5" t="n">
        <v>12.53</v>
      </c>
      <c r="L665" s="4" t="n">
        <v>4544.57</v>
      </c>
      <c r="M665" t="n">
        <v>13416</v>
      </c>
      <c r="N665" s="6" t="n">
        <v>12380664</v>
      </c>
      <c r="O665" t="n">
        <v>37</v>
      </c>
      <c r="Q665" t="inlineStr">
        <is>
          <t>EA</t>
        </is>
      </c>
      <c r="R665" t="inlineStr">
        <is>
          <t>М</t>
        </is>
      </c>
      <c r="S665" s="2">
        <f>HYPERLINK("https://yandex.ru/maps/?&amp;text=55.711072, 37.39453", "55.711072, 37.39453")</f>
        <v/>
      </c>
      <c r="T665" s="2">
        <f>HYPERLINK("D:\venv_torgi\env\cache\objs_in_district/55.711072_37.39453.json", "55.711072_37.39453.json")</f>
        <v/>
      </c>
      <c r="U665" t="inlineStr">
        <is>
          <t>77:07:0008004:11797</t>
        </is>
      </c>
      <c r="V665" t="n">
        <v>1</v>
      </c>
      <c r="Y665" t="n">
        <v>0</v>
      </c>
      <c r="AA665" t="n">
        <v>0</v>
      </c>
      <c r="AB665" t="n">
        <v>0</v>
      </c>
    </row>
    <row r="666">
      <c r="A666" s="7" t="n">
        <v>664</v>
      </c>
      <c r="B666" t="n">
        <v>77</v>
      </c>
      <c r="C666" s="1" t="n">
        <v>27.5</v>
      </c>
      <c r="D666" s="2">
        <f>HYPERLINK("https://torgi.gov.ru/new/public/lots/lot/21000005000000000752_1/(lotInfo:info)", "21000005000000000752_1")</f>
        <v/>
      </c>
      <c r="E666" t="inlineStr">
        <is>
          <t>Продажа имущества, находящегося в собственности города Москвы, нежилое помещение по адресу: г. Москва, ул. Косинская, д. 4, площадью 27,5 кв. м (Этаж № 1), кадастровый номер: 77:03:0007010:2178</t>
        </is>
      </c>
      <c r="F666" s="3" t="inlineStr">
        <is>
          <t>05.05.22 12:00</t>
        </is>
      </c>
      <c r="G666" t="inlineStr">
        <is>
          <t>г Москва, ул Косинская, д 4 к 1, помещ 1Н</t>
        </is>
      </c>
      <c r="H666" s="4" t="n">
        <v>4682350</v>
      </c>
      <c r="I666" s="4" t="n">
        <v>170267.2727272727</v>
      </c>
      <c r="J666" t="inlineStr">
        <is>
          <t>Нежилое помещение</t>
        </is>
      </c>
      <c r="K666" s="5" t="n">
        <v>15.07</v>
      </c>
      <c r="L666" s="4" t="n">
        <v>8961.42</v>
      </c>
      <c r="M666" t="n">
        <v>11298</v>
      </c>
      <c r="N666" s="6" t="n">
        <v>12380664</v>
      </c>
      <c r="O666" t="n">
        <v>19</v>
      </c>
      <c r="Q666" t="inlineStr">
        <is>
          <t>EA</t>
        </is>
      </c>
      <c r="R666" t="inlineStr">
        <is>
          <t>М</t>
        </is>
      </c>
      <c r="S666" s="2">
        <f>HYPERLINK("https://yandex.ru/maps/?&amp;text=55.727752, 37.8306847", "55.727752, 37.8306847")</f>
        <v/>
      </c>
      <c r="T666" s="2">
        <f>HYPERLINK("D:\venv_torgi\env\cache\objs_in_district/55.727752_37.8306847.json", "55.727752_37.8306847.json")</f>
        <v/>
      </c>
      <c r="U666" t="inlineStr">
        <is>
          <t>77:03:0007010:2178</t>
        </is>
      </c>
      <c r="V666" t="n">
        <v>1</v>
      </c>
      <c r="Y666" t="n">
        <v>0</v>
      </c>
      <c r="AA666" t="n">
        <v>0</v>
      </c>
      <c r="AB666" t="n">
        <v>0</v>
      </c>
    </row>
    <row r="667">
      <c r="A667" s="7" t="n">
        <v>665</v>
      </c>
      <c r="B667" t="n">
        <v>77</v>
      </c>
      <c r="C667" s="1" t="n">
        <v>50.1</v>
      </c>
      <c r="D667" s="2">
        <f>HYPERLINK("https://torgi.gov.ru/new/public/lots/lot/21000005000000001605_1/(lotInfo:info)", "21000005000000001605_1")</f>
        <v/>
      </c>
      <c r="E667" t="inlineStr">
        <is>
          <t>Продажа имущества, находящегося в собственности города Москвы, нежилое помещение по адресу: г. Москва, просп. Ленинский, д. 7, площадь 50,1 кв.м, кадастровый номер: 77:01:0006004:3374</t>
        </is>
      </c>
      <c r="F667" s="3" t="inlineStr">
        <is>
          <t>05.07.22 12:00</t>
        </is>
      </c>
      <c r="G667" t="inlineStr">
        <is>
          <t>г Москва, Ленинский пр-кт, д 7, помещ 1/1</t>
        </is>
      </c>
      <c r="H667" s="4" t="n">
        <v>8998431.75</v>
      </c>
      <c r="I667" s="4" t="n">
        <v>179609.4161676647</v>
      </c>
      <c r="J667" t="inlineStr">
        <is>
          <t>Нежилое помещение</t>
        </is>
      </c>
      <c r="K667" s="5" t="n">
        <v>19.05</v>
      </c>
      <c r="L667" s="4" t="n">
        <v>2245.11</v>
      </c>
      <c r="M667" t="n">
        <v>9426</v>
      </c>
      <c r="N667" s="6" t="n">
        <v>12380664</v>
      </c>
      <c r="O667" t="n">
        <v>80</v>
      </c>
      <c r="Q667" t="inlineStr">
        <is>
          <t>EA</t>
        </is>
      </c>
      <c r="R667" t="inlineStr">
        <is>
          <t>М</t>
        </is>
      </c>
      <c r="S667" s="2">
        <f>HYPERLINK("https://yandex.ru/maps/?&amp;text=55.724738, 37.60637", "55.724738, 37.60637")</f>
        <v/>
      </c>
      <c r="T667" s="2">
        <f>HYPERLINK("D:\venv_torgi\env\cache\objs_in_district/55.724738_37.60637.json", "55.724738_37.60637.json")</f>
        <v/>
      </c>
      <c r="U667" t="inlineStr">
        <is>
          <t>77:01:0006004:3374</t>
        </is>
      </c>
      <c r="V667" t="n">
        <v>0</v>
      </c>
      <c r="Y667" t="n">
        <v>0</v>
      </c>
      <c r="AA667" t="n">
        <v>0</v>
      </c>
      <c r="AB667" t="n">
        <v>0</v>
      </c>
    </row>
    <row r="668">
      <c r="A668" s="7" t="n">
        <v>666</v>
      </c>
      <c r="B668" t="n">
        <v>77</v>
      </c>
      <c r="C668" s="1" t="n">
        <v>35.3</v>
      </c>
      <c r="D668" s="2">
        <f>HYPERLINK("https://torgi.gov.ru/new/public/lots/lot/21000005000000000826_1/(lotInfo:info)", "21000005000000000826_1")</f>
        <v/>
      </c>
      <c r="E668" t="inlineStr">
        <is>
          <t>Продажа имущества, находящегося в собственности города Москвы, нежилое помещение по адресу: г. Москва, ул. Шарикоподшипниковская, д. 9 площадью 35,3 кв. м., Цокольный этаж № 0, кадастровый номер: 77:04:0001018:10161.</t>
        </is>
      </c>
      <c r="F668" s="3" t="inlineStr">
        <is>
          <t>11.05.22 12:00</t>
        </is>
      </c>
      <c r="G668" t="inlineStr">
        <is>
          <t>г Москва, ул Шарикоподшипниковская, д 9, помещ 17Ц</t>
        </is>
      </c>
      <c r="H668" s="4" t="n">
        <v>6857400</v>
      </c>
      <c r="I668" s="4" t="n">
        <v>194260.6232294618</v>
      </c>
      <c r="J668" t="inlineStr">
        <is>
          <t>Нежилое помещение</t>
        </is>
      </c>
      <c r="K668" s="5" t="n">
        <v>15.76</v>
      </c>
      <c r="L668" s="4" t="n">
        <v>4517.67</v>
      </c>
      <c r="M668" t="n">
        <v>12326</v>
      </c>
      <c r="N668" s="6" t="n">
        <v>12380664</v>
      </c>
      <c r="O668" t="n">
        <v>43</v>
      </c>
      <c r="Q668" t="inlineStr">
        <is>
          <t>EA</t>
        </is>
      </c>
      <c r="R668" t="inlineStr">
        <is>
          <t>М</t>
        </is>
      </c>
      <c r="S668" s="2">
        <f>HYPERLINK("https://yandex.ru/maps/?&amp;text=55.721503, 37.672334", "55.721503, 37.672334")</f>
        <v/>
      </c>
      <c r="T668" s="2">
        <f>HYPERLINK("D:\venv_torgi\env\cache\objs_in_district/55.721503_37.672334.json", "55.721503_37.672334.json")</f>
        <v/>
      </c>
      <c r="U668" t="inlineStr">
        <is>
          <t>77:04:0001018:10161</t>
        </is>
      </c>
      <c r="V668" t="n">
        <v>0</v>
      </c>
      <c r="Y668" t="n">
        <v>0</v>
      </c>
      <c r="AA668" t="n">
        <v>0</v>
      </c>
      <c r="AB668" t="n">
        <v>0</v>
      </c>
    </row>
    <row r="669">
      <c r="A669" s="7" t="n">
        <v>667</v>
      </c>
      <c r="B669" t="n">
        <v>77</v>
      </c>
      <c r="C669" s="1" t="n">
        <v>21.4</v>
      </c>
      <c r="D669" s="2">
        <f>HYPERLINK("https://torgi.gov.ru/new/public/lots/lot/21000005000000002507_1/(lotInfo:info)", "21000005000000002507_1")</f>
        <v/>
      </c>
      <c r="E669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г. Москва, ул. Якорная, Дом 9, общей площадью 38,9 кв.м. (кадастровые номера: 77:05:0004009:13807; 77:05:0004009:13808)</t>
        </is>
      </c>
      <c r="F669" s="3" t="inlineStr">
        <is>
          <t>16.08.22 12:00</t>
        </is>
      </c>
      <c r="G669" t="inlineStr">
        <is>
          <t>г Москва, ул Якорная, д 9</t>
        </is>
      </c>
      <c r="H669" s="4" t="n">
        <v>4248400</v>
      </c>
      <c r="I669" s="4" t="n">
        <v>198523.3644859813</v>
      </c>
      <c r="J669" t="inlineStr">
        <is>
          <t>Нежилое помещение</t>
        </is>
      </c>
      <c r="K669" s="5" t="n">
        <v>21.6</v>
      </c>
      <c r="L669" s="4" t="n">
        <v>6015.85</v>
      </c>
      <c r="M669" t="n">
        <v>9192</v>
      </c>
      <c r="N669" s="6" t="n">
        <v>12380664</v>
      </c>
      <c r="O669" t="n">
        <v>33</v>
      </c>
      <c r="Q669" t="inlineStr">
        <is>
          <t>EA</t>
        </is>
      </c>
      <c r="R669" t="inlineStr">
        <is>
          <t>М</t>
        </is>
      </c>
      <c r="S669" s="2">
        <f>HYPERLINK("https://yandex.ru/maps/?&amp;text=55.685158, 37.68641", "55.685158, 37.68641")</f>
        <v/>
      </c>
      <c r="T669" s="2">
        <f>HYPERLINK("D:\venv_torgi\env\cache\objs_in_district/55.685158_37.68641.json", "55.685158_37.68641.json")</f>
        <v/>
      </c>
      <c r="U669" t="inlineStr">
        <is>
          <t>77:05:0004009:13807; 77:05:0004009:13808</t>
        </is>
      </c>
      <c r="V669" t="n">
        <v>0</v>
      </c>
      <c r="Y669" t="n">
        <v>0</v>
      </c>
      <c r="AA669" t="n">
        <v>0</v>
      </c>
      <c r="AB669" t="n">
        <v>0</v>
      </c>
    </row>
    <row r="670">
      <c r="A670" s="7" t="n">
        <v>668</v>
      </c>
      <c r="B670" t="n">
        <v>77</v>
      </c>
      <c r="C670" s="1" t="n">
        <v>12.4</v>
      </c>
      <c r="D670" s="2">
        <f>HYPERLINK("https://torgi.gov.ru/new/public/lots/lot/21000005000000001753_1/(lotInfo:info)", "21000005000000001753_1")</f>
        <v/>
      </c>
      <c r="E670" t="inlineStr">
        <is>
          <t>Продажа имущества, находящегося в собственности города Москвы, нежилое помещение по адресу: г. Москва, ш. Варшавское, д. 114, корп. 1, площадью 12,4 кв. м., Этаж № 1, кадастровый номер: 77:05:0001020:3772.</t>
        </is>
      </c>
      <c r="F670" s="3" t="inlineStr">
        <is>
          <t>28.06.22 12:00</t>
        </is>
      </c>
      <c r="G670" t="inlineStr">
        <is>
          <t>г Москва, Варшавское шоссе, д 114 к 1, помещ 3/1</t>
        </is>
      </c>
      <c r="H670" s="4" t="n">
        <v>2527800</v>
      </c>
      <c r="I670" s="4" t="n">
        <v>203854.8387096774</v>
      </c>
      <c r="J670" t="inlineStr">
        <is>
          <t>Нежилое помещение</t>
        </is>
      </c>
      <c r="K670" s="5" t="n">
        <v>17.03</v>
      </c>
      <c r="L670" s="4" t="n">
        <v>7029.45</v>
      </c>
      <c r="M670" t="n">
        <v>11969</v>
      </c>
      <c r="N670" s="6" t="n">
        <v>12380664</v>
      </c>
      <c r="O670" t="n">
        <v>29</v>
      </c>
      <c r="Q670" t="inlineStr">
        <is>
          <t>EA</t>
        </is>
      </c>
      <c r="R670" t="inlineStr">
        <is>
          <t>М</t>
        </is>
      </c>
      <c r="S670" s="2">
        <f>HYPERLINK("https://yandex.ru/maps/?&amp;text=55.638114, 37.617159", "55.638114, 37.617159")</f>
        <v/>
      </c>
      <c r="T670" s="2">
        <f>HYPERLINK("D:\venv_torgi\env\cache\objs_in_district/55.638114_37.617159.json", "55.638114_37.617159.json")</f>
        <v/>
      </c>
      <c r="U670" t="inlineStr">
        <is>
          <t>77:05:0001020:3772</t>
        </is>
      </c>
      <c r="V670" t="n">
        <v>1</v>
      </c>
      <c r="Y670" t="n">
        <v>0</v>
      </c>
      <c r="AA670" t="n">
        <v>0</v>
      </c>
      <c r="AB670" t="n">
        <v>0</v>
      </c>
    </row>
    <row r="671">
      <c r="A671" s="7" t="n">
        <v>669</v>
      </c>
      <c r="B671" t="n">
        <v>77</v>
      </c>
      <c r="C671" s="1" t="n">
        <v>33.7</v>
      </c>
      <c r="D671" s="2">
        <f>HYPERLINK("https://torgi.gov.ru/new/public/lots/lot/21000005000000000048_1/(lotInfo:info)", "21000005000000000048_1")</f>
        <v/>
      </c>
      <c r="E671" t="inlineStr">
        <is>
          <t>Продажа имущества, находящегося в собственности города Москвы, нежилое помещение по адресу: г. Москва, улица Корнейчука, дом 33, площадью 33,7 кв. м., Этаж № 1, кадастровый номер: 77:02:0002007:2481.</t>
        </is>
      </c>
      <c r="F671" s="3" t="inlineStr">
        <is>
          <t>21.02.22 12:00</t>
        </is>
      </c>
      <c r="G671" t="inlineStr">
        <is>
          <t>г Москва, ул Корнейчука, д 33, помещ 1Н</t>
        </is>
      </c>
      <c r="H671" s="4" t="n">
        <v>6899350</v>
      </c>
      <c r="I671" s="4" t="n">
        <v>204728.4866468843</v>
      </c>
      <c r="J671" t="inlineStr">
        <is>
          <t>Нежилое помещение</t>
        </is>
      </c>
      <c r="K671" s="5" t="n">
        <v>19.61</v>
      </c>
      <c r="L671" s="4" t="n">
        <v>7311.71</v>
      </c>
      <c r="M671" t="n">
        <v>10440</v>
      </c>
      <c r="N671" s="6" t="n">
        <v>12380664</v>
      </c>
      <c r="O671" t="n">
        <v>28</v>
      </c>
      <c r="Q671" t="inlineStr">
        <is>
          <t>EA</t>
        </is>
      </c>
      <c r="R671" t="inlineStr">
        <is>
          <t>М</t>
        </is>
      </c>
      <c r="S671" s="2">
        <f>HYPERLINK("https://yandex.ru/maps/?&amp;text=55.896458, 37.635557", "55.896458, 37.635557")</f>
        <v/>
      </c>
      <c r="T671" s="2">
        <f>HYPERLINK("D:\venv_torgi\env\cache\objs_in_district/55.896458_37.635557.json", "55.896458_37.635557.json")</f>
        <v/>
      </c>
      <c r="U671" t="inlineStr">
        <is>
          <t>77:02:0002007:2481</t>
        </is>
      </c>
      <c r="V671" t="n">
        <v>1</v>
      </c>
      <c r="Y671" t="n">
        <v>0</v>
      </c>
      <c r="AA671" t="n">
        <v>0</v>
      </c>
      <c r="AB671" t="n">
        <v>0</v>
      </c>
    </row>
    <row r="672">
      <c r="A672" s="7" t="n">
        <v>670</v>
      </c>
      <c r="B672" t="n">
        <v>77</v>
      </c>
      <c r="C672" s="1" t="n">
        <v>44.3</v>
      </c>
      <c r="D672" s="2">
        <f>HYPERLINK("https://torgi.gov.ru/new/public/lots/lot/21000005000000001935_1/(lotInfo:info)", "21000005000000001935_1")</f>
        <v/>
      </c>
      <c r="E672" t="inlineStr">
        <is>
          <t>Продажа имущества, находящегося в собственности города Москвы, нежилое помещение по адресу: г. Москва, ул. Тверская-Ямская 1-Я, д. 11, площадью 44,3 кв. м., Цокольный этаж № 0, кадастровый номер: 77:01:0004012:5402.</t>
        </is>
      </c>
      <c r="F672" s="3" t="inlineStr">
        <is>
          <t>13.07.22 12:00</t>
        </is>
      </c>
      <c r="G672" t="inlineStr">
        <is>
          <t>г Москва, ул 1-я Тверская-Ямская, д 11, помещ 6Н</t>
        </is>
      </c>
      <c r="H672" s="4" t="n">
        <v>9372100</v>
      </c>
      <c r="I672" s="4" t="n">
        <v>211559.8194130926</v>
      </c>
      <c r="J672" t="inlineStr">
        <is>
          <t>Нежилое помещение</t>
        </is>
      </c>
      <c r="K672" s="5" t="n">
        <v>25.7</v>
      </c>
      <c r="L672" s="4" t="n">
        <v>734.58</v>
      </c>
      <c r="M672" t="n">
        <v>8231</v>
      </c>
      <c r="N672" s="6" t="n">
        <v>12380664</v>
      </c>
      <c r="O672" t="n">
        <v>288</v>
      </c>
      <c r="Q672" t="inlineStr">
        <is>
          <t>EA</t>
        </is>
      </c>
      <c r="R672" t="inlineStr">
        <is>
          <t>М</t>
        </is>
      </c>
      <c r="S672" s="2">
        <f>HYPERLINK("https://yandex.ru/maps/?&amp;text=55.772578, 37.591027", "55.772578, 37.591027")</f>
        <v/>
      </c>
      <c r="T672" s="2">
        <f>HYPERLINK("D:\venv_torgi\env\cache\objs_in_district/55.772578_37.591027.json", "55.772578_37.591027.json")</f>
        <v/>
      </c>
      <c r="U672" t="inlineStr">
        <is>
          <t>77:01:0004012:5402</t>
        </is>
      </c>
      <c r="V672" t="n">
        <v>0</v>
      </c>
      <c r="Y672" t="n">
        <v>0</v>
      </c>
      <c r="AA672" t="n">
        <v>0</v>
      </c>
      <c r="AB672" t="n">
        <v>0</v>
      </c>
    </row>
    <row r="673">
      <c r="A673" s="7" t="n">
        <v>671</v>
      </c>
      <c r="B673" t="n">
        <v>77</v>
      </c>
      <c r="C673" s="1" t="n">
        <v>44.7</v>
      </c>
      <c r="D673" s="2">
        <f>HYPERLINK("https://torgi.gov.ru/new/public/lots/lot/21000005000000000105_1/(lotInfo:info)", "21000005000000000105_1")</f>
        <v/>
      </c>
      <c r="E673" t="inlineStr">
        <is>
          <t>Продажа имущества, находящегося в собственности города Москвы, нежилое помещение по адресу: г. Москва, ул. Волочаевская, д. 19 (Этаж № 1), площадью 44,7 кв. м, кадастровый паспорт: 77:04:0001011:3678</t>
        </is>
      </c>
      <c r="F673" s="3" t="inlineStr">
        <is>
          <t>14.03.22 12:00</t>
        </is>
      </c>
      <c r="G673" t="inlineStr">
        <is>
          <t>г Москва, ул Волочаевская, д 19, помещ 3/1</t>
        </is>
      </c>
      <c r="H673" s="4" t="n">
        <v>9699050</v>
      </c>
      <c r="I673" s="4" t="n">
        <v>216980.9843400447</v>
      </c>
      <c r="J673" t="inlineStr">
        <is>
          <t>Нежилое помещение</t>
        </is>
      </c>
      <c r="K673" s="5" t="n">
        <v>26.53</v>
      </c>
      <c r="L673" s="4" t="n">
        <v>3557.05</v>
      </c>
      <c r="M673" t="n">
        <v>8178</v>
      </c>
      <c r="N673" s="6" t="n">
        <v>12380664</v>
      </c>
      <c r="O673" t="n">
        <v>61</v>
      </c>
      <c r="Q673" t="inlineStr">
        <is>
          <t>EA</t>
        </is>
      </c>
      <c r="R673" t="inlineStr">
        <is>
          <t>М</t>
        </is>
      </c>
      <c r="S673" s="2">
        <f>HYPERLINK("https://yandex.ru/maps/?&amp;text=55.75007, 37.677177", "55.75007, 37.677177")</f>
        <v/>
      </c>
      <c r="T673" s="2">
        <f>HYPERLINK("D:\venv_torgi\env\cache\objs_in_district/55.75007_37.677177.json", "55.75007_37.677177.json")</f>
        <v/>
      </c>
      <c r="U673" t="inlineStr">
        <is>
          <t>77:04:0001011:3678</t>
        </is>
      </c>
      <c r="V673" t="n">
        <v>1</v>
      </c>
      <c r="Y673" t="n">
        <v>0</v>
      </c>
      <c r="AA673" t="n">
        <v>0</v>
      </c>
      <c r="AB673" t="n">
        <v>0</v>
      </c>
    </row>
    <row r="674">
      <c r="A674" s="7" t="n">
        <v>672</v>
      </c>
      <c r="B674" t="n">
        <v>77</v>
      </c>
      <c r="C674" s="1" t="n">
        <v>35.7</v>
      </c>
      <c r="D674" s="2">
        <f>HYPERLINK("https://torgi.gov.ru/new/public/lots/lot/21000005000000001869_1/(lotInfo:info)", "21000005000000001869_1")</f>
        <v/>
      </c>
      <c r="E674" t="inlineStr">
        <is>
          <t>Продажа имущества, находящегося в собственности города Москвы, нежилое помещение по адресу: г. Москва, ул. Онежская, д. 53, корп. 4, площадью 35,7 кв. м., Этаж № 1, кадастровый номер: 77:09:0001013:10378.</t>
        </is>
      </c>
      <c r="F674" s="3" t="inlineStr">
        <is>
          <t>05.07.22 12:00</t>
        </is>
      </c>
      <c r="G674" t="inlineStr">
        <is>
          <t>г Москва, ул Онежская, д 53 к 4</t>
        </is>
      </c>
      <c r="H674" s="4" t="n">
        <v>7747250</v>
      </c>
      <c r="I674" s="4" t="n">
        <v>217009.8039215686</v>
      </c>
      <c r="J674" t="inlineStr">
        <is>
          <t>Нежилое помещение</t>
        </is>
      </c>
      <c r="K674" s="5" t="n">
        <v>15.55</v>
      </c>
      <c r="L674" s="4" t="n">
        <v>3875.16</v>
      </c>
      <c r="M674" t="n">
        <v>13959</v>
      </c>
      <c r="N674" s="6" t="n">
        <v>12380664</v>
      </c>
      <c r="O674" t="n">
        <v>56</v>
      </c>
      <c r="Q674" t="inlineStr">
        <is>
          <t>EA</t>
        </is>
      </c>
      <c r="R674" t="inlineStr">
        <is>
          <t>М</t>
        </is>
      </c>
      <c r="S674" s="2">
        <f>HYPERLINK("https://yandex.ru/maps/?&amp;text=55.859302, 37.504942", "55.859302, 37.504942")</f>
        <v/>
      </c>
      <c r="T674" s="2">
        <f>HYPERLINK("D:\venv_torgi\env\cache\objs_in_district/55.859302_37.504942.json", "55.859302_37.504942.json")</f>
        <v/>
      </c>
      <c r="U674" t="inlineStr">
        <is>
          <t>77:09:0001013:10378</t>
        </is>
      </c>
      <c r="V674" t="n">
        <v>1</v>
      </c>
      <c r="Y674" t="n">
        <v>0</v>
      </c>
      <c r="AA674" t="n">
        <v>0</v>
      </c>
      <c r="AB674" t="n">
        <v>0</v>
      </c>
    </row>
    <row r="675">
      <c r="A675" s="7" t="n">
        <v>673</v>
      </c>
      <c r="B675" t="n">
        <v>77</v>
      </c>
      <c r="C675" s="1" t="n">
        <v>38.3</v>
      </c>
      <c r="D675" s="2">
        <f>HYPERLINK("https://torgi.gov.ru/new/public/lots/lot/21000005000000001486_1/(lotInfo:info)", "21000005000000001486_1")</f>
        <v/>
      </c>
      <c r="E675" t="inlineStr">
        <is>
          <t>Продажа имущества, находящегося в собственности города Москвы, нежилое помещение по адресу: г. Москва, ул. Раменки, д. 21 площадью 38,3 кв. м (Этаж № 1), кадастровый номер: 77:07:0013005:12684</t>
        </is>
      </c>
      <c r="F675" s="3" t="inlineStr">
        <is>
          <t>14.06.22 12:00</t>
        </is>
      </c>
      <c r="G675" t="inlineStr">
        <is>
          <t>г Москва, ул Раменки, д 21</t>
        </is>
      </c>
      <c r="H675" s="4" t="n">
        <v>8884600</v>
      </c>
      <c r="I675" s="4" t="n">
        <v>231973.8903394256</v>
      </c>
      <c r="J675" t="inlineStr">
        <is>
          <t>Нежилое помещение</t>
        </is>
      </c>
      <c r="K675" s="5" t="n">
        <v>19.46</v>
      </c>
      <c r="L675" s="4" t="n">
        <v>8591.59</v>
      </c>
      <c r="M675" t="n">
        <v>11919</v>
      </c>
      <c r="N675" s="6" t="n">
        <v>12380664</v>
      </c>
      <c r="O675" t="n">
        <v>27</v>
      </c>
      <c r="Q675" t="inlineStr">
        <is>
          <t>EA</t>
        </is>
      </c>
      <c r="R675" t="inlineStr">
        <is>
          <t>М</t>
        </is>
      </c>
      <c r="S675" s="2">
        <f>HYPERLINK("https://yandex.ru/maps/?&amp;text=55.69008, 37.492006", "55.69008, 37.492006")</f>
        <v/>
      </c>
      <c r="T675" s="2">
        <f>HYPERLINK("D:\venv_torgi\env\cache\objs_in_district/55.69008_37.492006.json", "55.69008_37.492006.json")</f>
        <v/>
      </c>
      <c r="U675" t="inlineStr">
        <is>
          <t>77:07:0013005:12684</t>
        </is>
      </c>
      <c r="V675" t="n">
        <v>1</v>
      </c>
      <c r="Y675" t="n">
        <v>0</v>
      </c>
      <c r="AA675" t="n">
        <v>0</v>
      </c>
      <c r="AB675" t="n">
        <v>0</v>
      </c>
    </row>
    <row r="676">
      <c r="A676" s="7" t="n">
        <v>674</v>
      </c>
      <c r="B676" t="n">
        <v>77</v>
      </c>
      <c r="C676" s="1" t="n">
        <v>31.6</v>
      </c>
      <c r="D676" s="2">
        <f>HYPERLINK("https://torgi.gov.ru/new/public/lots/lot/21000005000000000195_1/(lotInfo:info)", "21000005000000000195_1")</f>
        <v/>
      </c>
      <c r="E676" t="inlineStr">
        <is>
          <t>Продажа имущества, находящегося в собственности города Москвы, нежилое помещение по адресу: г. Москва, ул. Воронежская, д. 56 площадью 31,6 кв. м (Этаж № 1), кадастровый номер: 77:05:0011009:14783</t>
        </is>
      </c>
      <c r="F676" s="3" t="inlineStr">
        <is>
          <t>21.03.22 12:00</t>
        </is>
      </c>
      <c r="G676" t="inlineStr">
        <is>
          <t>г Москва, ул Воронежская, д 56, помещ 1/1</t>
        </is>
      </c>
      <c r="H676" s="4" t="n">
        <v>7576800</v>
      </c>
      <c r="I676" s="4" t="n">
        <v>239772.1518987342</v>
      </c>
      <c r="J676" t="inlineStr">
        <is>
          <t>Нежилое помещение</t>
        </is>
      </c>
      <c r="K676" s="5" t="n">
        <v>23.23</v>
      </c>
      <c r="L676" s="4" t="n">
        <v>3330.17</v>
      </c>
      <c r="M676" t="n">
        <v>10321</v>
      </c>
      <c r="N676" s="6" t="n">
        <v>12380664</v>
      </c>
      <c r="O676" t="n">
        <v>72</v>
      </c>
      <c r="Q676" t="inlineStr">
        <is>
          <t>EA</t>
        </is>
      </c>
      <c r="R676" t="inlineStr">
        <is>
          <t>М</t>
        </is>
      </c>
      <c r="S676" s="2">
        <f>HYPERLINK("https://yandex.ru/maps/?&amp;text=55.61061, 37.760124", "55.61061, 37.760124")</f>
        <v/>
      </c>
      <c r="T676" s="2">
        <f>HYPERLINK("D:\venv_torgi\env\cache\objs_in_district/55.61061_37.760124.json", "55.61061_37.760124.json")</f>
        <v/>
      </c>
      <c r="U676" t="inlineStr">
        <is>
          <t>77:05:0011009:14783</t>
        </is>
      </c>
      <c r="V676" t="n">
        <v>1</v>
      </c>
      <c r="Y676" t="n">
        <v>0</v>
      </c>
      <c r="AA676" t="n">
        <v>0</v>
      </c>
      <c r="AB676" t="n">
        <v>0</v>
      </c>
    </row>
    <row r="677">
      <c r="A677" s="7" t="n">
        <v>675</v>
      </c>
      <c r="B677" t="n">
        <v>77</v>
      </c>
      <c r="C677" s="1" t="n">
        <v>31.5</v>
      </c>
      <c r="D677" s="2">
        <f>HYPERLINK("https://torgi.gov.ru/new/public/lots/lot/21000005000000000135_1/(lotInfo:info)", "21000005000000000135_1")</f>
        <v/>
      </c>
      <c r="E677" t="inlineStr">
        <is>
          <t>Продажа имущества, находящегося в собственности города Москвы, нежилое помещение по адресу: г. Москва, ул. Карачаровская 3-Я, д. 6, корп. 1, площадью 31,5 кв. м (Этаж № 1), кадастровый номер: 77:04:0002001:7376</t>
        </is>
      </c>
      <c r="F677" s="3" t="inlineStr">
        <is>
          <t>16.03.22 12:00</t>
        </is>
      </c>
      <c r="G677" t="inlineStr">
        <is>
          <t>г Москва, ул 3-я Карачаровская, д 6 к 1, помещ 1/Н</t>
        </is>
      </c>
      <c r="H677" s="4" t="n">
        <v>7632500</v>
      </c>
      <c r="I677" s="4" t="n">
        <v>242301.5873015873</v>
      </c>
      <c r="J677" t="inlineStr">
        <is>
          <t>Нежилое помещение</t>
        </is>
      </c>
      <c r="K677" s="5" t="n">
        <v>38.03</v>
      </c>
      <c r="L677" s="4" t="n">
        <v>7816.16</v>
      </c>
      <c r="M677" t="n">
        <v>6372</v>
      </c>
      <c r="N677" s="6" t="n">
        <v>12380664</v>
      </c>
      <c r="O677" t="n">
        <v>31</v>
      </c>
      <c r="Q677" t="inlineStr">
        <is>
          <t>EA</t>
        </is>
      </c>
      <c r="R677" t="inlineStr">
        <is>
          <t>М</t>
        </is>
      </c>
      <c r="S677" s="2">
        <f>HYPERLINK("https://yandex.ru/maps/?&amp;text=55.733788, 37.74567", "55.733788, 37.74567")</f>
        <v/>
      </c>
      <c r="T677" s="2">
        <f>HYPERLINK("D:\venv_torgi\env\cache\objs_in_district/55.733788_37.74567.json", "55.733788_37.74567.json")</f>
        <v/>
      </c>
      <c r="U677" t="inlineStr">
        <is>
          <t>77:04:0002001:7376</t>
        </is>
      </c>
      <c r="V677" t="n">
        <v>1</v>
      </c>
      <c r="Y677" t="n">
        <v>0</v>
      </c>
      <c r="AA677" t="n">
        <v>0</v>
      </c>
      <c r="AB677" t="n">
        <v>0</v>
      </c>
    </row>
    <row r="678">
      <c r="A678" s="7" t="n">
        <v>676</v>
      </c>
      <c r="B678" t="n">
        <v>77</v>
      </c>
      <c r="C678" s="1" t="n">
        <v>31.2</v>
      </c>
      <c r="D678" s="2">
        <f>HYPERLINK("https://torgi.gov.ru/new/public/lots/lot/21000005000000002218_1/(lotInfo:info)", "21000005000000002218_1")</f>
        <v/>
      </c>
      <c r="E678" t="inlineStr">
        <is>
          <t>Продажа имущества, находящегося в собственности города Москвы, нежилое помещение по адресу: г. Москва, ул. Кузнецова Генерала, д. 12 площадью 31,2 кв. м (Этаж № 1), кадастровый номер: 77:04:0005009:9697</t>
        </is>
      </c>
      <c r="F678" s="3" t="inlineStr">
        <is>
          <t>27.07.22 12:00</t>
        </is>
      </c>
      <c r="G678" t="inlineStr">
        <is>
          <t>г Москва, ул Генерала Кузнецова, д 12, помещ 5/1</t>
        </is>
      </c>
      <c r="H678" s="4" t="n">
        <v>8360000</v>
      </c>
      <c r="I678" s="4" t="n">
        <v>267948.7179487179</v>
      </c>
      <c r="J678" t="inlineStr">
        <is>
          <t>Нежилое помещение</t>
        </is>
      </c>
      <c r="K678" s="5" t="n">
        <v>20.78</v>
      </c>
      <c r="L678" s="4" t="n">
        <v>4321.74</v>
      </c>
      <c r="M678" t="n">
        <v>12893</v>
      </c>
      <c r="N678" s="6" t="n">
        <v>12380664</v>
      </c>
      <c r="O678" t="n">
        <v>62</v>
      </c>
      <c r="Q678" t="inlineStr">
        <is>
          <t>EA</t>
        </is>
      </c>
      <c r="R678" t="inlineStr">
        <is>
          <t>М</t>
        </is>
      </c>
      <c r="S678" s="2">
        <f>HYPERLINK("https://yandex.ru/maps/?&amp;text=55.690821, 37.858824", "55.690821, 37.858824")</f>
        <v/>
      </c>
      <c r="T678" s="2">
        <f>HYPERLINK("D:\venv_torgi\env\cache\objs_in_district/55.690821_37.858824.json", "55.690821_37.858824.json")</f>
        <v/>
      </c>
      <c r="U678" t="inlineStr">
        <is>
          <t>77:04:0005009:9697</t>
        </is>
      </c>
      <c r="V678" t="n">
        <v>1</v>
      </c>
      <c r="Y678" t="n">
        <v>0</v>
      </c>
      <c r="AA678" t="n">
        <v>0</v>
      </c>
      <c r="AB678" t="n">
        <v>0</v>
      </c>
    </row>
    <row r="679">
      <c r="A679" s="7" t="n">
        <v>677</v>
      </c>
      <c r="B679" t="n">
        <v>77</v>
      </c>
      <c r="C679" s="1" t="n">
        <v>27.5</v>
      </c>
      <c r="D679" s="2">
        <f>HYPERLINK("https://torgi.gov.ru/new/public/lots/lot/21000005000000001101_1/(lotInfo:info)", "21000005000000001101_1")</f>
        <v/>
      </c>
      <c r="E679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 г. Москва, Береговой проезд, д. 1А, помещение 39н, этаж 1, площадью 27,50 кв. м, кадастровый номер 77:07:0002003:13166</t>
        </is>
      </c>
      <c r="F679" s="3" t="inlineStr">
        <is>
          <t>23.05.22 12:00</t>
        </is>
      </c>
      <c r="G679" t="inlineStr">
        <is>
          <t>г Москва, Береговой пр-д, д 1А, помещ 39Н</t>
        </is>
      </c>
      <c r="H679" s="4" t="n">
        <v>8133054</v>
      </c>
      <c r="I679" s="4" t="n">
        <v>295747.4181818182</v>
      </c>
      <c r="J679" t="inlineStr">
        <is>
          <t>Нежилое помещение</t>
        </is>
      </c>
      <c r="K679" s="5" t="n">
        <v>32.06</v>
      </c>
      <c r="L679" s="4" t="n">
        <v>22749.77</v>
      </c>
      <c r="M679" t="n">
        <v>9224</v>
      </c>
      <c r="N679" s="6" t="n">
        <v>12380664</v>
      </c>
      <c r="O679" t="n">
        <v>13</v>
      </c>
      <c r="Q679" t="inlineStr">
        <is>
          <t>EA</t>
        </is>
      </c>
      <c r="R679" t="inlineStr">
        <is>
          <t>М</t>
        </is>
      </c>
      <c r="S679" s="2">
        <f>HYPERLINK("https://yandex.ru/maps/?&amp;text=55.7573443, 37.5119741", "55.7573443, 37.5119741")</f>
        <v/>
      </c>
      <c r="T679" s="2">
        <f>HYPERLINK("D:\venv_torgi\env\cache\objs_in_district/55.7573443_37.5119741.json", "55.7573443_37.5119741.json")</f>
        <v/>
      </c>
      <c r="U679" t="inlineStr">
        <is>
          <t>77:07:0002003:13166</t>
        </is>
      </c>
      <c r="V679" t="n">
        <v>1</v>
      </c>
      <c r="Y679" t="n">
        <v>0</v>
      </c>
      <c r="AA679" t="n">
        <v>0</v>
      </c>
      <c r="AB679" t="n">
        <v>0</v>
      </c>
    </row>
    <row r="680">
      <c r="A680" s="7" t="n">
        <v>678</v>
      </c>
      <c r="B680" t="n">
        <v>77</v>
      </c>
      <c r="C680" s="1" t="n">
        <v>16</v>
      </c>
      <c r="D680" s="2">
        <f>HYPERLINK("https://torgi.gov.ru/new/public/lots/lot/21000005000000000228_1/(lotInfo:info)", "21000005000000000228_1")</f>
        <v/>
      </c>
      <c r="E680" t="inlineStr">
        <is>
          <t>Продажа имущества, находящегося в собственности города Москвы, нежилое помещение по адресу: г. Москва, ул. Белова Генерала, д. 45, корп. 1, площадью 16 кв. м (Этаж № 1), кадастровый номер: 77:05:0011006:9472</t>
        </is>
      </c>
      <c r="F680" s="3" t="inlineStr">
        <is>
          <t>22.03.22 12:00</t>
        </is>
      </c>
      <c r="G680" t="inlineStr">
        <is>
          <t>г Москва, ул Генерала Белова, д 45 к 1, помещ 1Н</t>
        </is>
      </c>
      <c r="H680" s="4" t="n">
        <v>5187600</v>
      </c>
      <c r="I680" s="4" t="n">
        <v>324225</v>
      </c>
      <c r="J680" t="inlineStr">
        <is>
          <t>Нежилое помещение</t>
        </is>
      </c>
      <c r="K680" s="5" t="n">
        <v>15.58</v>
      </c>
      <c r="L680" s="4" t="n">
        <v>3342.53</v>
      </c>
      <c r="M680" t="n">
        <v>20809</v>
      </c>
      <c r="N680" s="6" t="n">
        <v>12380664</v>
      </c>
      <c r="O680" t="n">
        <v>97</v>
      </c>
      <c r="Q680" t="inlineStr">
        <is>
          <t>EA</t>
        </is>
      </c>
      <c r="R680" t="inlineStr">
        <is>
          <t>М</t>
        </is>
      </c>
      <c r="S680" s="2">
        <f>HYPERLINK("https://yandex.ru/maps/?&amp;text=55.606945, 37.72538", "55.606945, 37.72538")</f>
        <v/>
      </c>
      <c r="T680" s="2">
        <f>HYPERLINK("D:\venv_torgi\env\cache\objs_in_district/55.606945_37.72538.json", "55.606945_37.72538.json")</f>
        <v/>
      </c>
      <c r="U680" t="inlineStr">
        <is>
          <t>77:05:0011006:9472</t>
        </is>
      </c>
      <c r="V680" t="n">
        <v>1</v>
      </c>
      <c r="Y680" t="n">
        <v>0</v>
      </c>
      <c r="AA680" t="n">
        <v>0</v>
      </c>
      <c r="AB680" t="n">
        <v>0</v>
      </c>
    </row>
    <row r="681">
      <c r="A681" s="7" t="n">
        <v>679</v>
      </c>
      <c r="B681" t="n">
        <v>77</v>
      </c>
      <c r="C681" s="1" t="n">
        <v>23.4</v>
      </c>
      <c r="D681" s="2">
        <f>HYPERLINK("https://torgi.gov.ru/new/public/lots/lot/21000005000000000124_1/(lotInfo:info)", "21000005000000000124_1")</f>
        <v/>
      </c>
      <c r="E681" t="inlineStr">
        <is>
          <t>Продажа имущества, находящегося в собственности города Москвы, нежилое помещение по адресу: г. Москва, ул. Донецкая, д. 27 (Этаж № 1), площадью 23,4 кв. м, кадастровый номер: 77:04:0004019:30562</t>
        </is>
      </c>
      <c r="F681" s="3" t="inlineStr">
        <is>
          <t>15.03.22 12:00</t>
        </is>
      </c>
      <c r="G681" t="inlineStr">
        <is>
          <t>г Москва, ул Донецкая, д 27, помещ 1/1</t>
        </is>
      </c>
      <c r="H681" s="4" t="n">
        <v>8239050</v>
      </c>
      <c r="I681" s="4" t="n">
        <v>352096.1538461539</v>
      </c>
      <c r="J681" t="inlineStr">
        <is>
          <t>Нежилое помещение</t>
        </is>
      </c>
      <c r="K681" s="5" t="n">
        <v>23.19</v>
      </c>
      <c r="L681" s="4" t="n">
        <v>3667.67</v>
      </c>
      <c r="M681" t="n">
        <v>15180</v>
      </c>
      <c r="N681" s="6" t="n">
        <v>12380664</v>
      </c>
      <c r="O681" t="n">
        <v>96</v>
      </c>
      <c r="Q681" t="inlineStr">
        <is>
          <t>EA</t>
        </is>
      </c>
      <c r="R681" t="inlineStr">
        <is>
          <t>М</t>
        </is>
      </c>
      <c r="S681" s="2">
        <f>HYPERLINK("https://yandex.ru/maps/?&amp;text=55.645431, 37.71133", "55.645431, 37.71133")</f>
        <v/>
      </c>
      <c r="T681" s="2">
        <f>HYPERLINK("D:\venv_torgi\env\cache\objs_in_district/55.645431_37.71133.json", "55.645431_37.71133.json")</f>
        <v/>
      </c>
      <c r="U681" t="inlineStr">
        <is>
          <t>77:04:0004019:30562</t>
        </is>
      </c>
      <c r="V681" t="n">
        <v>1</v>
      </c>
      <c r="Y681" t="n">
        <v>0</v>
      </c>
      <c r="AA681" t="n">
        <v>0</v>
      </c>
      <c r="AB681" t="n">
        <v>0</v>
      </c>
    </row>
    <row r="682">
      <c r="A682" s="7" t="n">
        <v>680</v>
      </c>
      <c r="B682" t="n">
        <v>77</v>
      </c>
      <c r="C682" s="1" t="n">
        <v>13.7</v>
      </c>
      <c r="D682" s="2">
        <f>HYPERLINK("https://torgi.gov.ru/new/public/lots/lot/21000005000000001853_1/(lotInfo:info)", "21000005000000001853_1")</f>
        <v/>
      </c>
      <c r="E682" t="inlineStr">
        <is>
          <t>Продажа имущества, находящегося в хозяйственном ведении ГУП "ЦУГИ", расположенного по адресу: г. Москва, ул. 1905 года, д. 17, площадь 13,7 кв. м (кадастровый номер 77:01:0004026:3986)</t>
        </is>
      </c>
      <c r="F682" s="3" t="inlineStr">
        <is>
          <t>07.07.22 12:00</t>
        </is>
      </c>
      <c r="G682" t="inlineStr">
        <is>
          <t>г Москва, ул 1905 года, д 17</t>
        </is>
      </c>
      <c r="H682" s="4" t="n">
        <v>5280800</v>
      </c>
      <c r="I682" s="4" t="n">
        <v>385459.8540145985</v>
      </c>
      <c r="J682" t="inlineStr">
        <is>
          <t>Нежилое помещение</t>
        </is>
      </c>
      <c r="K682" s="5" t="n">
        <v>47.27</v>
      </c>
      <c r="L682" s="4" t="n">
        <v>4189.77</v>
      </c>
      <c r="M682" t="n">
        <v>8155</v>
      </c>
      <c r="N682" s="6" t="n">
        <v>12380664</v>
      </c>
      <c r="O682" t="n">
        <v>92</v>
      </c>
      <c r="Q682" t="inlineStr">
        <is>
          <t>EA</t>
        </is>
      </c>
      <c r="R682" t="inlineStr">
        <is>
          <t>М</t>
        </is>
      </c>
      <c r="S682" s="2">
        <f>HYPERLINK("https://yandex.ru/maps/?&amp;text=55.766106, 37.559245", "55.766106, 37.559245")</f>
        <v/>
      </c>
      <c r="T682" s="2">
        <f>HYPERLINK("D:\venv_torgi\env\cache\objs_in_district/55.766106_37.559245.json", "55.766106_37.559245.json")</f>
        <v/>
      </c>
      <c r="U682" t="inlineStr">
        <is>
          <t>77:01:0004026:3986</t>
        </is>
      </c>
      <c r="V682" t="n">
        <v>0</v>
      </c>
      <c r="Y682" t="n">
        <v>0</v>
      </c>
      <c r="AA682" t="n">
        <v>0</v>
      </c>
      <c r="AB682" t="n">
        <v>0</v>
      </c>
    </row>
    <row r="683">
      <c r="A683" s="7" t="n">
        <v>681</v>
      </c>
      <c r="B683" t="n">
        <v>77</v>
      </c>
      <c r="C683" s="1" t="n">
        <v>14.4</v>
      </c>
      <c r="D683" s="2">
        <f>HYPERLINK("https://torgi.gov.ru/new/public/lots/lot/21000005000000000327_1/(lotInfo:info)", "21000005000000000327_1")</f>
        <v/>
      </c>
      <c r="E683" t="inlineStr">
        <is>
          <t>Продажа имущества, находящегося в собственности города Москвы, нежилое помещение по адресу: г. Москва, просп. Мира, д. 38, площадью 14,4 кв. м (Этаж № 1), кадастровый номер: 77:01:0003050:2905</t>
        </is>
      </c>
      <c r="F683" s="3" t="inlineStr">
        <is>
          <t>21.03.22 12:00</t>
        </is>
      </c>
      <c r="G683" t="inlineStr">
        <is>
          <t>г Москва, пр-кт Мира, д 38, помещ 1/1</t>
        </is>
      </c>
      <c r="H683" s="4" t="n">
        <v>6828900</v>
      </c>
      <c r="I683" s="4" t="n">
        <v>474229.1666666666</v>
      </c>
      <c r="J683" t="inlineStr">
        <is>
          <t>Нежилое помещение</t>
        </is>
      </c>
      <c r="K683" s="5" t="n">
        <v>46.89</v>
      </c>
      <c r="L683" s="4" t="n">
        <v>2909.38</v>
      </c>
      <c r="M683" t="n">
        <v>10113</v>
      </c>
      <c r="N683" s="6" t="n">
        <v>12380664</v>
      </c>
      <c r="O683" t="n">
        <v>163</v>
      </c>
      <c r="Q683" t="inlineStr">
        <is>
          <t>EA</t>
        </is>
      </c>
      <c r="R683" t="inlineStr">
        <is>
          <t>М</t>
        </is>
      </c>
      <c r="S683" s="2">
        <f>HYPERLINK("https://yandex.ru/maps/?&amp;text=55.779606, 37.633706", "55.779606, 37.633706")</f>
        <v/>
      </c>
      <c r="T683" s="2">
        <f>HYPERLINK("D:\venv_torgi\env\cache\objs_in_district/55.779606_37.633706.json", "55.779606_37.633706.json")</f>
        <v/>
      </c>
      <c r="U683" t="inlineStr">
        <is>
          <t>77:01:0003050:2905</t>
        </is>
      </c>
      <c r="V683" t="n">
        <v>1</v>
      </c>
      <c r="Y683" t="n">
        <v>0</v>
      </c>
      <c r="AA683" t="n">
        <v>0</v>
      </c>
      <c r="AB683" t="n">
        <v>0</v>
      </c>
    </row>
    <row r="684">
      <c r="A684" s="7" t="n">
        <v>682</v>
      </c>
      <c r="B684" t="n">
        <v>78</v>
      </c>
      <c r="C684" s="1" t="n">
        <v>106.3</v>
      </c>
      <c r="D684" s="2">
        <f>HYPERLINK("https://torgi.gov.ru/new/public/lots/lot/21000002210000000602_1/(lotInfo:info)", "21000002210000000602_1")</f>
        <v/>
      </c>
      <c r="E684" t="inlineStr">
        <is>
          <t>Нежилое помещение, расположенное по адресу: Санкт-Петербург, Большая Морская ул., д. 46, литера А, пом. 2-Н, площадь 106.3 кв.м, назначение: нежилое помещение, этаж: цокольный, кадастровый номер 78:32:0001256:182</t>
        </is>
      </c>
      <c r="F684" s="3" t="inlineStr">
        <is>
          <t>12.07.22 20:00</t>
        </is>
      </c>
      <c r="G684" t="inlineStr">
        <is>
          <t>г Санкт-Петербург, ул Большая Морская, д 46 литера А, помещ 2-Н</t>
        </is>
      </c>
      <c r="H684" s="4" t="n">
        <v>5200000</v>
      </c>
      <c r="I684" s="4" t="n">
        <v>48918.15616180621</v>
      </c>
      <c r="J684" t="inlineStr">
        <is>
          <t>Нежилое помещение</t>
        </is>
      </c>
      <c r="K684" s="5" t="n">
        <v>6.08</v>
      </c>
      <c r="L684" s="4" t="n">
        <v>311.58</v>
      </c>
      <c r="M684" t="n">
        <v>8043</v>
      </c>
      <c r="N684" s="6" t="n">
        <v>5225690</v>
      </c>
      <c r="O684" t="n">
        <v>157</v>
      </c>
      <c r="Q684" t="inlineStr">
        <is>
          <t>EA</t>
        </is>
      </c>
      <c r="R684" t="inlineStr">
        <is>
          <t>М</t>
        </is>
      </c>
      <c r="S684" s="2">
        <f>HYPERLINK("https://yandex.ru/maps/?&amp;text=59.931783, 30.306256", "59.931783, 30.306256")</f>
        <v/>
      </c>
      <c r="T684" s="2">
        <f>HYPERLINK("D:\venv_torgi\env\cache\objs_in_district/59.931783_30.306256.json", "59.931783_30.306256.json")</f>
        <v/>
      </c>
      <c r="U684" t="inlineStr">
        <is>
          <t>78:32:0001256:182</t>
        </is>
      </c>
      <c r="V684" t="n">
        <v>0</v>
      </c>
      <c r="Y684" t="n">
        <v>0</v>
      </c>
      <c r="AA684" t="n">
        <v>0</v>
      </c>
      <c r="AB684" t="n">
        <v>0</v>
      </c>
    </row>
    <row r="685">
      <c r="A685" s="7" t="n">
        <v>683</v>
      </c>
      <c r="B685" t="n">
        <v>78</v>
      </c>
      <c r="C685" s="1" t="n">
        <v>148.1</v>
      </c>
      <c r="D685" s="2">
        <f>HYPERLINK("https://torgi.gov.ru/new/public/lots/lot/21000002210000000258_1/(lotInfo:info)", "21000002210000000258_1")</f>
        <v/>
      </c>
      <c r="E685" t="inlineStr">
        <is>
          <t>Нежилое помещение, расположенное по адресу: Санкт-Петербург, пер. Кузнечный, д. 19-21, литера П, пом. 5-Н, площадь 148.1 кв.м., наименование: нежилое помещение, назначение: нежилое помещение, этаж: цокольный, кадастровый номер 78:31:0001047:2742</t>
        </is>
      </c>
      <c r="F685" s="3" t="inlineStr">
        <is>
          <t>19.04.22 20:00</t>
        </is>
      </c>
      <c r="G685" t="inlineStr">
        <is>
          <t>г Санкт-Петербург, Кузнечный пер, д 19-21 литера П, помещ 5-Н</t>
        </is>
      </c>
      <c r="H685" s="4" t="n">
        <v>7800000</v>
      </c>
      <c r="I685" s="4" t="n">
        <v>52667.11681296422</v>
      </c>
      <c r="J685" t="inlineStr">
        <is>
          <t>Нежилое помещение</t>
        </is>
      </c>
      <c r="K685" s="5" t="n">
        <v>5.06</v>
      </c>
      <c r="L685" s="4" t="n">
        <v>160.08</v>
      </c>
      <c r="M685" t="n">
        <v>10406</v>
      </c>
      <c r="N685" s="6" t="n">
        <v>5225690</v>
      </c>
      <c r="O685" t="n">
        <v>329</v>
      </c>
      <c r="Q685" t="inlineStr">
        <is>
          <t>EA</t>
        </is>
      </c>
      <c r="R685" t="inlineStr">
        <is>
          <t>М</t>
        </is>
      </c>
      <c r="S685" s="2">
        <f>HYPERLINK("https://yandex.ru/maps/?&amp;text=59.926535, 30.357173", "59.926535, 30.357173")</f>
        <v/>
      </c>
      <c r="T685" s="2">
        <f>HYPERLINK("D:\venv_torgi\env\cache\objs_in_district/59.926535_30.357173.json", "59.926535_30.357173.json")</f>
        <v/>
      </c>
      <c r="U685" t="inlineStr">
        <is>
          <t>78:31:0001047:2742</t>
        </is>
      </c>
      <c r="V685" t="n">
        <v>0</v>
      </c>
      <c r="Y685" t="n">
        <v>0</v>
      </c>
      <c r="AA685" t="n">
        <v>0</v>
      </c>
      <c r="AB685" t="n">
        <v>0</v>
      </c>
    </row>
    <row r="686">
      <c r="A686" s="7" t="n">
        <v>684</v>
      </c>
      <c r="B686" t="n">
        <v>78</v>
      </c>
      <c r="C686" s="1" t="n">
        <v>130.5</v>
      </c>
      <c r="D686" s="2">
        <f>HYPERLINK("https://torgi.gov.ru/new/public/lots/lot/21000002210000000268_1/(lotInfo:info)", "21000002210000000268_1")</f>
        <v/>
      </c>
      <c r="E686" t="inlineStr">
        <is>
          <t>Нежилое помещение, расположенное по адресу: Санкт-Петербург, ул. Ковалевская, д. 14, литера А, пом. 1-Н, площадь 130.5 кв.м, назначение: нежилое помещение, наименование: помещение, этаж №1, кадастровый номер 78:11:0613501:1295</t>
        </is>
      </c>
      <c r="F686" s="3" t="inlineStr">
        <is>
          <t>20.04.22 20:00</t>
        </is>
      </c>
      <c r="G686" t="inlineStr">
        <is>
          <t>г Санкт-Петербург, ул Ковалёвская, д 14 литера А, помещ 1-Н</t>
        </is>
      </c>
      <c r="H686" s="4" t="n">
        <v>8262000</v>
      </c>
      <c r="I686" s="4" t="n">
        <v>63310.34482758621</v>
      </c>
      <c r="J686" t="inlineStr">
        <is>
          <t>Нежилое помещение</t>
        </is>
      </c>
      <c r="K686" s="5" t="n">
        <v>15.26</v>
      </c>
      <c r="L686" s="4" t="n">
        <v>3165.5</v>
      </c>
      <c r="M686" t="n">
        <v>4150</v>
      </c>
      <c r="N686" s="6" t="n">
        <v>5225690</v>
      </c>
      <c r="O686" t="n">
        <v>20</v>
      </c>
      <c r="Q686" t="inlineStr">
        <is>
          <t>EA</t>
        </is>
      </c>
      <c r="R686" t="inlineStr">
        <is>
          <t>М</t>
        </is>
      </c>
      <c r="S686" s="2">
        <f>HYPERLINK("https://yandex.ru/maps/?&amp;text=59.977008, 30.508539", "59.977008, 30.508539")</f>
        <v/>
      </c>
      <c r="T686" s="2">
        <f>HYPERLINK("D:\venv_torgi\env\cache\objs_in_district/59.977008_30.508539.json", "59.977008_30.508539.json")</f>
        <v/>
      </c>
      <c r="U686" t="inlineStr">
        <is>
          <t>78:11:0613501:1295</t>
        </is>
      </c>
      <c r="V686" t="n">
        <v>1</v>
      </c>
      <c r="Y686" t="n">
        <v>0</v>
      </c>
      <c r="AA686" t="n">
        <v>0</v>
      </c>
      <c r="AB686" t="n">
        <v>0</v>
      </c>
    </row>
    <row r="687">
      <c r="A687" s="7" t="n">
        <v>685</v>
      </c>
      <c r="B687" t="n">
        <v>78</v>
      </c>
      <c r="C687" s="1" t="n">
        <v>58.3</v>
      </c>
      <c r="D687" s="2">
        <f>HYPERLINK("https://torgi.gov.ru/new/public/lots/lot/21000002210000000357_1/(lotInfo:info)", "21000002210000000357_1")</f>
        <v/>
      </c>
      <c r="E687" t="inlineStr">
        <is>
          <t>Нежилое помещение, расположенное по адресу: Санкт-Петербург, Ленская ул., д. 16, корп. 3, литера Б, пом. 11-Н, площадь 58.3 кв.м, назначение: нежилое помещение, наименование: магазин, этаж: цокольный, кадастровый номер 78:11:0006105:8335</t>
        </is>
      </c>
      <c r="F687" s="3" t="inlineStr">
        <is>
          <t>23.05.22 20:00</t>
        </is>
      </c>
      <c r="G687" t="inlineStr">
        <is>
          <t>г Санкт-Петербург, ул Ленская, д 16 к 3 литера Б, помещ 11-Н</t>
        </is>
      </c>
      <c r="H687" s="4" t="n">
        <v>3756000</v>
      </c>
      <c r="I687" s="4" t="n">
        <v>64425.3859348199</v>
      </c>
      <c r="J687" t="inlineStr">
        <is>
          <t>магазин</t>
        </is>
      </c>
      <c r="K687" s="5" t="n">
        <v>8.380000000000001</v>
      </c>
      <c r="L687" s="4" t="n">
        <v>1039.11</v>
      </c>
      <c r="M687" t="n">
        <v>7686</v>
      </c>
      <c r="N687" s="6" t="n">
        <v>5225690</v>
      </c>
      <c r="O687" t="n">
        <v>62</v>
      </c>
      <c r="Q687" t="inlineStr">
        <is>
          <t>EA</t>
        </is>
      </c>
      <c r="R687" t="inlineStr">
        <is>
          <t>М</t>
        </is>
      </c>
      <c r="S687" s="2">
        <f>HYPERLINK("https://yandex.ru/maps/?&amp;text=59.941651, 30.497588", "59.941651, 30.497588")</f>
        <v/>
      </c>
      <c r="T687" s="2">
        <f>HYPERLINK("D:\venv_torgi\env\cache\objs_in_district/59.941651_30.497588.json", "59.941651_30.497588.json")</f>
        <v/>
      </c>
      <c r="U687" t="inlineStr">
        <is>
          <t>78:11:0006105:8335</t>
        </is>
      </c>
      <c r="V687" t="n">
        <v>0</v>
      </c>
      <c r="Y687" t="n">
        <v>0</v>
      </c>
      <c r="AA687" t="n">
        <v>0</v>
      </c>
      <c r="AB687" t="n">
        <v>0</v>
      </c>
    </row>
    <row r="688">
      <c r="A688" s="7" t="n">
        <v>686</v>
      </c>
      <c r="B688" t="n">
        <v>78</v>
      </c>
      <c r="C688" s="1" t="n">
        <v>75.09999999999999</v>
      </c>
      <c r="D688" s="2">
        <f>HYPERLINK("https://torgi.gov.ru/new/public/lots/lot/21000002210000000023_1/(lotInfo:info)", "21000002210000000023_1")</f>
        <v/>
      </c>
      <c r="E688" t="inlineStr">
        <is>
          <t>Нежилое помещение, расположенное по адресу: Санкт-Петербург, наб. Реки Пряжки, д. 48, литера А, пом. 4-Н, площадь 75.1 кв.м., этаж №1, назначение: нежилое помещение, наименование: контора, кадастровый номер 78:32:0001164:1183</t>
        </is>
      </c>
      <c r="F688" s="3" t="inlineStr">
        <is>
          <t>22.02.22 20:00</t>
        </is>
      </c>
      <c r="G688" t="inlineStr">
        <is>
          <t>г Санкт-Петербург, наб Реки Пряжки, д 48 литера А, помещ 4-Н</t>
        </is>
      </c>
      <c r="H688" s="4" t="n">
        <v>5200000</v>
      </c>
      <c r="I688" s="4" t="n">
        <v>69241.01198402132</v>
      </c>
      <c r="J688" t="inlineStr">
        <is>
          <t>Нежилое помещение</t>
        </is>
      </c>
      <c r="K688" s="5" t="n">
        <v>4.55</v>
      </c>
      <c r="L688" s="4" t="n">
        <v>1236.45</v>
      </c>
      <c r="M688" t="n">
        <v>15227</v>
      </c>
      <c r="N688" s="6" t="n">
        <v>5225690</v>
      </c>
      <c r="O688" t="n">
        <v>56</v>
      </c>
      <c r="Q688" t="inlineStr">
        <is>
          <t>EA</t>
        </is>
      </c>
      <c r="R688" t="inlineStr">
        <is>
          <t>М</t>
        </is>
      </c>
      <c r="S688" s="2">
        <f>HYPERLINK("https://yandex.ru/maps/?&amp;text=59.921209, 30.278525", "59.921209, 30.278525")</f>
        <v/>
      </c>
      <c r="T688" s="2">
        <f>HYPERLINK("D:\venv_torgi\env\cache\objs_in_district/59.921209_30.278525.json", "59.921209_30.278525.json")</f>
        <v/>
      </c>
      <c r="U688" t="inlineStr">
        <is>
          <t>78:32:0001164:1183</t>
        </is>
      </c>
      <c r="V688" t="n">
        <v>1</v>
      </c>
      <c r="Y688" t="n">
        <v>0</v>
      </c>
      <c r="AA688" t="n">
        <v>0</v>
      </c>
      <c r="AB688" t="n">
        <v>0</v>
      </c>
    </row>
    <row r="689">
      <c r="A689" s="7" t="n">
        <v>687</v>
      </c>
      <c r="B689" t="n">
        <v>78</v>
      </c>
      <c r="C689" s="1" t="n">
        <v>57.7</v>
      </c>
      <c r="D689" s="2">
        <f>HYPERLINK("https://torgi.gov.ru/new/public/lots/lot/21000002210000000212_1/(lotInfo:info)", "21000002210000000212_1")</f>
        <v/>
      </c>
      <c r="E689" t="inlineStr">
        <is>
          <t>Нежилое помещение, расположенное по адресу: Санкт-Петербург, Рижский проспект, д. 25, литера А, пом. 6-Н, площадь 57.7 кв.м., этаж: цокольный, назначение: нежилое, кадастровый номер 78:32:0001611:1079</t>
        </is>
      </c>
      <c r="F689" s="3" t="inlineStr">
        <is>
          <t>01.04.22 20:00</t>
        </is>
      </c>
      <c r="G689" t="inlineStr">
        <is>
          <t>г Санкт-Петербург, Рижский пр-кт, д 25 литера А, помещ 6-Н</t>
        </is>
      </c>
      <c r="H689" s="4" t="n">
        <v>4100000</v>
      </c>
      <c r="I689" s="4" t="n">
        <v>71057.19237435008</v>
      </c>
      <c r="J689" t="inlineStr">
        <is>
          <t>Нежилое помещение</t>
        </is>
      </c>
      <c r="K689" s="5" t="n">
        <v>10.51</v>
      </c>
      <c r="L689" s="4" t="n">
        <v>602.1799999999999</v>
      </c>
      <c r="M689" t="n">
        <v>6762</v>
      </c>
      <c r="N689" s="6" t="n">
        <v>5225690</v>
      </c>
      <c r="O689" t="n">
        <v>118</v>
      </c>
      <c r="Q689" t="inlineStr">
        <is>
          <t>EA</t>
        </is>
      </c>
      <c r="R689" t="inlineStr">
        <is>
          <t>М</t>
        </is>
      </c>
      <c r="S689" s="2">
        <f>HYPERLINK("https://yandex.ru/maps/?&amp;text=59.913618, 30.281301", "59.913618, 30.281301")</f>
        <v/>
      </c>
      <c r="T689" s="2">
        <f>HYPERLINK("D:\venv_torgi\env\cache\objs_in_district/59.913618_30.281301.json", "59.913618_30.281301.json")</f>
        <v/>
      </c>
      <c r="U689" t="inlineStr">
        <is>
          <t>78:32:0001611:1079</t>
        </is>
      </c>
      <c r="V689" t="n">
        <v>0</v>
      </c>
      <c r="Y689" t="n">
        <v>0</v>
      </c>
      <c r="AA689" t="n">
        <v>0</v>
      </c>
      <c r="AB689" t="n">
        <v>0</v>
      </c>
    </row>
    <row r="690">
      <c r="A690" s="7" t="n">
        <v>688</v>
      </c>
      <c r="B690" t="n">
        <v>78</v>
      </c>
      <c r="C690" s="1" t="n">
        <v>39.1</v>
      </c>
      <c r="D690" s="2">
        <f>HYPERLINK("https://torgi.gov.ru/new/public/lots/lot/21000002210000000649_1/(lotInfo:info)", "21000002210000000649_1")</f>
        <v/>
      </c>
      <c r="E690" t="inlineStr">
        <is>
          <t>Нежилое помещение, расположенное по адресу: Санкт-Петербург, Витебская ул., д. 23, литера Б, пом. 4-Н, площадь 39.1 кв.м, назначение: нежилое помещение, наименование: нежилое помещение, этаж: цокольный, кадастровый номер 78:32:0001079:1071</t>
        </is>
      </c>
      <c r="F690" s="3" t="inlineStr">
        <is>
          <t>19.07.22 20:00</t>
        </is>
      </c>
      <c r="G690" t="inlineStr">
        <is>
          <t>г Санкт-Петербург, ул Витебская, д 23 литера Б, помещ 4-Н</t>
        </is>
      </c>
      <c r="H690" s="4" t="n">
        <v>3000000</v>
      </c>
      <c r="I690" s="4" t="n">
        <v>76726.34271099744</v>
      </c>
      <c r="J690" t="inlineStr">
        <is>
          <t>Нежилое помещение</t>
        </is>
      </c>
      <c r="K690" s="5" t="n">
        <v>5.04</v>
      </c>
      <c r="L690" s="4" t="n">
        <v>1257.8</v>
      </c>
      <c r="M690" t="n">
        <v>15227</v>
      </c>
      <c r="N690" s="6" t="n">
        <v>5225690</v>
      </c>
      <c r="O690" t="n">
        <v>61</v>
      </c>
      <c r="Q690" t="inlineStr">
        <is>
          <t>EA</t>
        </is>
      </c>
      <c r="R690" t="inlineStr">
        <is>
          <t>М</t>
        </is>
      </c>
      <c r="S690" s="2">
        <f>HYPERLINK("https://yandex.ru/maps/?&amp;text=59.919712, 30.277555", "59.919712, 30.277555")</f>
        <v/>
      </c>
      <c r="T690" s="2">
        <f>HYPERLINK("D:\venv_torgi\env\cache\objs_in_district/59.919712_30.277555.json", "59.919712_30.277555.json")</f>
        <v/>
      </c>
      <c r="U690" t="inlineStr">
        <is>
          <t>78:32:0001079:1071</t>
        </is>
      </c>
      <c r="V690" t="n">
        <v>0</v>
      </c>
      <c r="Y690" t="n">
        <v>0</v>
      </c>
      <c r="AA690" t="n">
        <v>0</v>
      </c>
      <c r="AB690" t="n">
        <v>0</v>
      </c>
    </row>
    <row r="691">
      <c r="A691" s="7" t="n">
        <v>689</v>
      </c>
      <c r="B691" t="n">
        <v>78</v>
      </c>
      <c r="C691" s="1" t="n">
        <v>14</v>
      </c>
      <c r="D691" s="2">
        <f>HYPERLINK("https://torgi.gov.ru/new/public/lots/lot/21000002210000000271_1/(lotInfo:info)", "21000002210000000271_1")</f>
        <v/>
      </c>
      <c r="E691" t="inlineStr">
        <is>
          <t>Нежилое помещение, расположенное по адресу: Санкт-Петербург, Свердловская набережная, д. 60, литера А, пом. 7-Н, площадь 14 кв.м, назначение: нежилое помещение, наименование: нежилое помещение, этаж: цокольный, кадастровый номер 78:11:0006068:4755</t>
        </is>
      </c>
      <c r="F691" s="3" t="inlineStr">
        <is>
          <t>20.04.22 20:00</t>
        </is>
      </c>
      <c r="G691" t="inlineStr">
        <is>
          <t>г Санкт-Петербург, Свердловская наб, д 60 литера А, помещ 7-Н</t>
        </is>
      </c>
      <c r="H691" s="4" t="n">
        <v>1080000</v>
      </c>
      <c r="I691" s="4" t="n">
        <v>77142.85714285714</v>
      </c>
      <c r="J691" t="inlineStr">
        <is>
          <t>Нежилое помещение</t>
        </is>
      </c>
      <c r="K691" s="5" t="n">
        <v>12.38</v>
      </c>
      <c r="L691" s="4" t="n">
        <v>1285.7</v>
      </c>
      <c r="M691" t="n">
        <v>6233</v>
      </c>
      <c r="N691" s="6" t="n">
        <v>5225690</v>
      </c>
      <c r="O691" t="n">
        <v>60</v>
      </c>
      <c r="Q691" t="inlineStr">
        <is>
          <t>EA</t>
        </is>
      </c>
      <c r="R691" t="inlineStr">
        <is>
          <t>М</t>
        </is>
      </c>
      <c r="S691" s="2">
        <f>HYPERLINK("https://yandex.ru/maps/?&amp;text=59.954502, 30.409113", "59.954502, 30.409113")</f>
        <v/>
      </c>
      <c r="T691" s="2">
        <f>HYPERLINK("D:\venv_torgi\env\cache\objs_in_district/59.954502_30.409113.json", "59.954502_30.409113.json")</f>
        <v/>
      </c>
      <c r="U691" t="inlineStr">
        <is>
          <t>78:11:0006068:4755</t>
        </is>
      </c>
      <c r="V691" t="n">
        <v>0</v>
      </c>
      <c r="Y691" t="n">
        <v>0</v>
      </c>
      <c r="AA691" t="n">
        <v>0</v>
      </c>
      <c r="AB691" t="n">
        <v>0</v>
      </c>
    </row>
    <row r="692">
      <c r="A692" s="7" t="n">
        <v>690</v>
      </c>
      <c r="B692" t="n">
        <v>78</v>
      </c>
      <c r="C692" s="1" t="n">
        <v>10.7</v>
      </c>
      <c r="D692" s="2">
        <f>HYPERLINK("https://torgi.gov.ru/new/public/lots/lot/21000002210000000115_1/(lotInfo:info)", "21000002210000000115_1")</f>
        <v/>
      </c>
      <c r="E692" t="inlineStr">
        <is>
          <t>Помещение, расположенное по адресу: Санкт-Петербург, г. Ломоносов, Дворцовый проспект, д. 63, литера А, пом. 8-Н, площадь 10.7 кв.м, этаж № 2, назначение: нежилое помещение, наименование: нежилое помещение, кадастровый номер 78:40:2054701:1030</t>
        </is>
      </c>
      <c r="F692" s="3" t="inlineStr">
        <is>
          <t>15.03.22 20:00</t>
        </is>
      </c>
      <c r="G692" t="inlineStr">
        <is>
          <t>г Санкт-Петербург, г Ломоносов, Дворцовый пр-кт, д 63 литера А, помещ 8-Н</t>
        </is>
      </c>
      <c r="H692" s="4" t="n">
        <v>857013</v>
      </c>
      <c r="I692" s="4" t="n">
        <v>80094.67289719627</v>
      </c>
      <c r="J692" t="inlineStr">
        <is>
          <t>Нежилое помещение</t>
        </is>
      </c>
      <c r="K692" s="5" t="n">
        <v>29.5</v>
      </c>
      <c r="L692" s="4" t="n">
        <v>1291.84</v>
      </c>
      <c r="M692" t="n">
        <v>2715</v>
      </c>
      <c r="N692" s="6" t="n">
        <v>5225690</v>
      </c>
      <c r="O692" t="n">
        <v>62</v>
      </c>
      <c r="Q692" t="inlineStr">
        <is>
          <t>EK</t>
        </is>
      </c>
      <c r="R692" t="inlineStr">
        <is>
          <t>М</t>
        </is>
      </c>
      <c r="S692" s="2">
        <f>HYPERLINK("https://yandex.ru/maps/?&amp;text=59.91586, 29.764913", "59.91586, 29.764913")</f>
        <v/>
      </c>
      <c r="T692" s="2">
        <f>HYPERLINK("D:\venv_torgi\env\cache\objs_in_district/59.91586_29.764913.json", "59.91586_29.764913.json")</f>
        <v/>
      </c>
      <c r="U692" t="inlineStr">
        <is>
          <t>78:40:2054701:1030</t>
        </is>
      </c>
      <c r="V692" t="n">
        <v>2</v>
      </c>
      <c r="Y692" t="n">
        <v>0</v>
      </c>
      <c r="AA692" t="n">
        <v>0</v>
      </c>
      <c r="AB692" t="n">
        <v>0</v>
      </c>
    </row>
    <row r="693">
      <c r="A693" s="7" t="n">
        <v>691</v>
      </c>
      <c r="B693" t="n">
        <v>78</v>
      </c>
      <c r="C693" s="1" t="n">
        <v>43.7</v>
      </c>
      <c r="D693" s="2">
        <f>HYPERLINK("https://torgi.gov.ru/new/public/lots/lot/21000002210000000296_1/(lotInfo:info)", "21000002210000000296_1")</f>
        <v/>
      </c>
      <c r="E693" t="inlineStr">
        <is>
          <t>Нежилое помещение, расположенное по адресу: Санкт-Петербург, Петергоф, Прудовая ул, дом 3а, лит. Б, пом. 1-Н, площадь 20.4 кв.м., назначение: нежилое, этаж № 1, кадастровый номер 78:40:0019218:1283 (далее Объект 1); пом. 2-Н, площадь 23.3 кв.м, назначение: нежилое, этаж № 1, № 2, кадастровый номер 78:40:0019218:1282 (далее Объект 2).</t>
        </is>
      </c>
      <c r="F693" s="3" t="inlineStr">
        <is>
          <t>11.05.22 20:00</t>
        </is>
      </c>
      <c r="G693" t="inlineStr">
        <is>
          <t>г Санкт-Петербург, г Петергоф, ул Прудовая, д 3а</t>
        </is>
      </c>
      <c r="H693" s="4" t="n">
        <v>3584000</v>
      </c>
      <c r="I693" s="4" t="n">
        <v>82013.7299771167</v>
      </c>
      <c r="J693" t="inlineStr">
        <is>
          <t>Нежилое помещение</t>
        </is>
      </c>
      <c r="K693" s="5" t="n">
        <v>26.19</v>
      </c>
      <c r="L693" s="4" t="n">
        <v>2828.03</v>
      </c>
      <c r="M693" t="n">
        <v>3132</v>
      </c>
      <c r="N693" s="6" t="n">
        <v>5225690</v>
      </c>
      <c r="O693" t="n">
        <v>29</v>
      </c>
      <c r="Q693" t="inlineStr">
        <is>
          <t>EA</t>
        </is>
      </c>
      <c r="R693" t="inlineStr">
        <is>
          <t>М</t>
        </is>
      </c>
      <c r="S693" s="2">
        <f>HYPERLINK("https://yandex.ru/maps/?&amp;text=59.881886, 29.900828", "59.881886, 29.900828")</f>
        <v/>
      </c>
      <c r="T693" s="2">
        <f>HYPERLINK("D:\venv_torgi\env\cache\objs_in_district/59.881886_29.900828.json", "59.881886_29.900828.json")</f>
        <v/>
      </c>
      <c r="U693" t="inlineStr">
        <is>
          <t xml:space="preserve">78:40:0019218:1283 </t>
        </is>
      </c>
      <c r="V693" t="n">
        <v>1</v>
      </c>
      <c r="Y693" t="n">
        <v>0</v>
      </c>
      <c r="AA693" t="n">
        <v>0</v>
      </c>
      <c r="AB693" t="n">
        <v>0</v>
      </c>
    </row>
    <row r="694">
      <c r="A694" s="7" t="n">
        <v>692</v>
      </c>
      <c r="B694" t="n">
        <v>78</v>
      </c>
      <c r="C694" s="1" t="n">
        <v>89.40000000000001</v>
      </c>
      <c r="D694" s="2">
        <f>HYPERLINK("https://torgi.gov.ru/new/public/lots/lot/21000002210000000033_1/(lotInfo:info)", "21000002210000000033_1")</f>
        <v/>
      </c>
      <c r="E694" t="inlineStr">
        <is>
          <t>Нежилое помещение, расположенное по адресу: Санкт-Петербург, проспект Стачек, д. 38, литера А, пом. 4-Н, площадь 89.4 кв.м, назначение: нежилое помещение, наименование: нежилое помещение, этаж: цокольный, кадастровый номер 78:15:0008052:1865</t>
        </is>
      </c>
      <c r="F694" s="3" t="inlineStr">
        <is>
          <t>24.02.22 20:00</t>
        </is>
      </c>
      <c r="G694" t="inlineStr">
        <is>
          <t>г Санкт-Петербург, пр-кт Стачек, д 38 литера А, помещ 4-Н</t>
        </is>
      </c>
      <c r="H694" s="4" t="n">
        <v>7380000</v>
      </c>
      <c r="I694" s="4" t="n">
        <v>82550.33557046979</v>
      </c>
      <c r="J694" t="inlineStr">
        <is>
          <t>Нежилое помещение</t>
        </is>
      </c>
      <c r="K694" s="5" t="n">
        <v>10.11</v>
      </c>
      <c r="L694" s="4" t="n">
        <v>771.5</v>
      </c>
      <c r="M694" t="n">
        <v>8163</v>
      </c>
      <c r="N694" s="6" t="n">
        <v>5225690</v>
      </c>
      <c r="O694" t="n">
        <v>107</v>
      </c>
      <c r="Q694" t="inlineStr">
        <is>
          <t>EA</t>
        </is>
      </c>
      <c r="R694" t="inlineStr">
        <is>
          <t>М</t>
        </is>
      </c>
      <c r="S694" s="2">
        <f>HYPERLINK("https://yandex.ru/maps/?&amp;text=59.887747, 30.270261", "59.887747, 30.270261")</f>
        <v/>
      </c>
      <c r="T694" s="2">
        <f>HYPERLINK("D:\venv_torgi\env\cache\objs_in_district/59.887747_30.270261.json", "59.887747_30.270261.json")</f>
        <v/>
      </c>
      <c r="U694" t="inlineStr">
        <is>
          <t>78:15:0008052:1865</t>
        </is>
      </c>
      <c r="V694" t="n">
        <v>0</v>
      </c>
      <c r="Y694" t="n">
        <v>0</v>
      </c>
      <c r="AA694" t="n">
        <v>0</v>
      </c>
      <c r="AB694" t="n">
        <v>0</v>
      </c>
    </row>
    <row r="695">
      <c r="A695" s="7" t="n">
        <v>693</v>
      </c>
      <c r="B695" t="n">
        <v>78</v>
      </c>
      <c r="C695" s="1" t="n">
        <v>30.8</v>
      </c>
      <c r="D695" s="2">
        <f>HYPERLINK("https://torgi.gov.ru/new/public/lots/lot/21000002210000000015_1/(lotInfo:info)", "21000002210000000015_1")</f>
        <v/>
      </c>
      <c r="E695" t="inlineStr">
        <is>
          <t>Нежилое помещение, расположенное по адресу: Санкт-Петербург, Климов переулок, д. 3, литера А, пом. 3-Н, площадь 30.8 кв.м., назначение: нежилое, этаж: цокольный, кадастровый номер 78:32:0001070:3164</t>
        </is>
      </c>
      <c r="F695" s="3" t="inlineStr">
        <is>
          <t>21.02.22 20:00</t>
        </is>
      </c>
      <c r="G695" t="inlineStr">
        <is>
          <t>г Санкт-Петербург, Климов пер, д 3 литера А, помещ 3-Н</t>
        </is>
      </c>
      <c r="H695" s="4" t="n">
        <v>2640000</v>
      </c>
      <c r="I695" s="4" t="n">
        <v>85714.28571428571</v>
      </c>
      <c r="J695" t="inlineStr">
        <is>
          <t>Нежилое помещение</t>
        </is>
      </c>
      <c r="K695" s="5" t="n">
        <v>4.99</v>
      </c>
      <c r="L695" s="4" t="n">
        <v>468.38</v>
      </c>
      <c r="M695" t="n">
        <v>17188</v>
      </c>
      <c r="N695" s="6" t="n">
        <v>5225690</v>
      </c>
      <c r="O695" t="n">
        <v>183</v>
      </c>
      <c r="Q695" t="inlineStr">
        <is>
          <t>EA</t>
        </is>
      </c>
      <c r="R695" t="inlineStr">
        <is>
          <t>М</t>
        </is>
      </c>
      <c r="S695" s="2">
        <f>HYPERLINK("https://yandex.ru/maps/?&amp;text=59.917917, 30.294282", "59.917917, 30.294282")</f>
        <v/>
      </c>
      <c r="T695" s="2">
        <f>HYPERLINK("D:\venv_torgi\env\cache\objs_in_district/59.917917_30.294282.json", "59.917917_30.294282.json")</f>
        <v/>
      </c>
      <c r="U695" t="inlineStr">
        <is>
          <t>78:32:0001070:3164</t>
        </is>
      </c>
      <c r="V695" t="n">
        <v>0</v>
      </c>
      <c r="Y695" t="n">
        <v>0</v>
      </c>
      <c r="AA695" t="n">
        <v>0</v>
      </c>
      <c r="AB695" t="n">
        <v>0</v>
      </c>
    </row>
    <row r="696">
      <c r="A696" s="7" t="n">
        <v>694</v>
      </c>
      <c r="B696" t="n">
        <v>78</v>
      </c>
      <c r="C696" s="1" t="n">
        <v>19</v>
      </c>
      <c r="D696" s="2">
        <f>HYPERLINK("https://torgi.gov.ru/new/public/lots/lot/21000002210000000578_1/(lotInfo:info)", "21000002210000000578_1")</f>
        <v/>
      </c>
      <c r="E696" t="inlineStr">
        <is>
          <t>Нежилое помещение, расположенное по адресу: Санкт-Петербург, ул. Чайковского, д. 4, литера А, пом. 9-Н, площадь 19 кв.м., назначение: нежилое помещение, этаж № 1, кадастровый номер 78:31:0001108:2495</t>
        </is>
      </c>
      <c r="F696" s="3" t="inlineStr">
        <is>
          <t>29.06.22 20:00</t>
        </is>
      </c>
      <c r="G696" t="inlineStr">
        <is>
          <t>г Санкт-Петербург, ул Чайковского, д 4 литера А, помещ 9-Н</t>
        </is>
      </c>
      <c r="H696" s="4" t="n">
        <v>1704000</v>
      </c>
      <c r="I696" s="4" t="n">
        <v>89684.21052631579</v>
      </c>
      <c r="J696" t="inlineStr">
        <is>
          <t>Нежилое помещение</t>
        </is>
      </c>
      <c r="K696" s="5" t="n">
        <v>11.64</v>
      </c>
      <c r="L696" s="4" t="n">
        <v>800.75</v>
      </c>
      <c r="M696" t="n">
        <v>7708</v>
      </c>
      <c r="N696" s="6" t="n">
        <v>5225690</v>
      </c>
      <c r="O696" t="n">
        <v>112</v>
      </c>
      <c r="Q696" t="inlineStr">
        <is>
          <t>EA</t>
        </is>
      </c>
      <c r="R696" t="inlineStr">
        <is>
          <t>М</t>
        </is>
      </c>
      <c r="S696" s="2">
        <f>HYPERLINK("https://yandex.ru/maps/?&amp;text=59.946851, 30.343689", "59.946851, 30.343689")</f>
        <v/>
      </c>
      <c r="T696" s="2">
        <f>HYPERLINK("D:\venv_torgi\env\cache\objs_in_district/59.946851_30.343689.json", "59.946851_30.343689.json")</f>
        <v/>
      </c>
      <c r="U696" t="inlineStr">
        <is>
          <t>78:31:0001108:2495</t>
        </is>
      </c>
      <c r="V696" t="n">
        <v>1</v>
      </c>
      <c r="Y696" t="n">
        <v>0</v>
      </c>
      <c r="AA696" t="n">
        <v>0</v>
      </c>
      <c r="AB696" t="n">
        <v>0</v>
      </c>
    </row>
    <row r="697">
      <c r="A697" s="7" t="n">
        <v>695</v>
      </c>
      <c r="B697" t="n">
        <v>78</v>
      </c>
      <c r="C697" s="1" t="n">
        <v>19.4</v>
      </c>
      <c r="D697" s="2">
        <f>HYPERLINK("https://torgi.gov.ru/new/public/lots/lot/21000002210000000321_1/(lotInfo:info)", "21000002210000000321_1")</f>
        <v/>
      </c>
      <c r="E697" t="inlineStr">
        <is>
          <t>Нежилое помещение, расположенное по адресу: Санкт-Петербург, ул. Белы Куна, д. 16, литера В, пом. 5-Н, площадь 19.4 кв.м, назначение: нежилое помещение, этаж: цокольный, кадастровый номер 78:13:0007406:3526</t>
        </is>
      </c>
      <c r="F697" s="3" t="inlineStr">
        <is>
          <t>17.05.22 20:00</t>
        </is>
      </c>
      <c r="G697" t="inlineStr">
        <is>
          <t>г Санкт-Петербург, ул Белы Куна, д 16 литера В, помещ 5-Н</t>
        </is>
      </c>
      <c r="H697" s="4" t="n">
        <v>1745000</v>
      </c>
      <c r="I697" s="4" t="n">
        <v>89948.45360824742</v>
      </c>
      <c r="J697" t="inlineStr">
        <is>
          <t>Нежилое помещение</t>
        </is>
      </c>
      <c r="K697" s="5" t="n">
        <v>13.21</v>
      </c>
      <c r="L697" s="4" t="n">
        <v>1083.71</v>
      </c>
      <c r="M697" t="n">
        <v>6808</v>
      </c>
      <c r="N697" s="6" t="n">
        <v>5225690</v>
      </c>
      <c r="O697" t="n">
        <v>83</v>
      </c>
      <c r="Q697" t="inlineStr">
        <is>
          <t>EA</t>
        </is>
      </c>
      <c r="R697" t="inlineStr">
        <is>
          <t>М</t>
        </is>
      </c>
      <c r="S697" s="2">
        <f>HYPERLINK("https://yandex.ru/maps/?&amp;text=59.873451, 30.384005", "59.873451, 30.384005")</f>
        <v/>
      </c>
      <c r="T697" s="2">
        <f>HYPERLINK("D:\venv_torgi\env\cache\objs_in_district/59.873451_30.384005.json", "59.873451_30.384005.json")</f>
        <v/>
      </c>
      <c r="U697" t="inlineStr">
        <is>
          <t>78:13:0007406:3526</t>
        </is>
      </c>
      <c r="V697" t="n">
        <v>0</v>
      </c>
      <c r="Y697" t="n">
        <v>0</v>
      </c>
      <c r="AA697" t="n">
        <v>0</v>
      </c>
      <c r="AB697" t="n">
        <v>0</v>
      </c>
    </row>
    <row r="698">
      <c r="A698" s="7" t="n">
        <v>696</v>
      </c>
      <c r="B698" t="n">
        <v>78</v>
      </c>
      <c r="C698" s="1" t="n">
        <v>22.6</v>
      </c>
      <c r="D698" s="2">
        <f>HYPERLINK("https://torgi.gov.ru/new/public/lots/lot/21000002210000000346_1/(lotInfo:info)", "21000002210000000346_1")</f>
        <v/>
      </c>
      <c r="E698" t="inlineStr">
        <is>
          <t>Нежилое помещение, расположенное по адресу: Санкт-Петербург, наб. канала Грибоедова, д. 96, литера А, пом. 8-Н, площадь 22.6 кв.м, назначение: нежилое, этаж: цокольный, кадастровый номер 78:32:0001240:1493</t>
        </is>
      </c>
      <c r="F698" s="3" t="inlineStr">
        <is>
          <t>20.05.22 20:00</t>
        </is>
      </c>
      <c r="G698" t="inlineStr">
        <is>
          <t>г Санкт-Петербург, наб Канала Грибоедова, д 96 литера А, помещ 8-Н</t>
        </is>
      </c>
      <c r="H698" s="4" t="n">
        <v>2060000</v>
      </c>
      <c r="I698" s="4" t="n">
        <v>91150.4424778761</v>
      </c>
      <c r="J698" t="inlineStr">
        <is>
          <t>Нежилое помещение</t>
        </is>
      </c>
      <c r="K698" s="5" t="n">
        <v>8.359999999999999</v>
      </c>
      <c r="L698" s="4" t="n">
        <v>506.39</v>
      </c>
      <c r="M698" t="n">
        <v>10908</v>
      </c>
      <c r="N698" s="6" t="n">
        <v>5225690</v>
      </c>
      <c r="O698" t="n">
        <v>180</v>
      </c>
      <c r="Q698" t="inlineStr">
        <is>
          <t>EA</t>
        </is>
      </c>
      <c r="R698" t="inlineStr">
        <is>
          <t>М</t>
        </is>
      </c>
      <c r="S698" s="2">
        <f>HYPERLINK("https://yandex.ru/maps/?&amp;text=59.926715, 30.302447", "59.926715, 30.302447")</f>
        <v/>
      </c>
      <c r="T698" s="2">
        <f>HYPERLINK("D:\venv_torgi\env\cache\objs_in_district/59.926715_30.302447.json", "59.926715_30.302447.json")</f>
        <v/>
      </c>
      <c r="U698" t="inlineStr">
        <is>
          <t>78:32:0001240:1493</t>
        </is>
      </c>
      <c r="V698" t="n">
        <v>0</v>
      </c>
      <c r="Y698" t="n">
        <v>0</v>
      </c>
      <c r="AA698" t="n">
        <v>0</v>
      </c>
      <c r="AB698" t="n">
        <v>0</v>
      </c>
    </row>
    <row r="699">
      <c r="A699" s="7" t="n">
        <v>697</v>
      </c>
      <c r="B699" t="n">
        <v>78</v>
      </c>
      <c r="C699" s="1" t="n">
        <v>15.8</v>
      </c>
      <c r="D699" s="2">
        <f>HYPERLINK("https://torgi.gov.ru/new/public/lots/lot/21000002210000000077_1/(lotInfo:info)", "21000002210000000077_1")</f>
        <v/>
      </c>
      <c r="E699" t="inlineStr">
        <is>
          <t>Нежилое помещение, расположенное по адресу: Санкт-Петербург, Английский проспект, д. 17-19, литера С, пом. 13-Н, площадь 15.8 кв.м, назначение: нежилое помещение, этаж №1, кадастровый номер 78:32:0001083:2584</t>
        </is>
      </c>
      <c r="F699" s="3" t="inlineStr">
        <is>
          <t>09.03.22 20:00</t>
        </is>
      </c>
      <c r="G699" t="inlineStr">
        <is>
          <t>г Санкт-Петербург, Английский пр-кт, д 17-19 литера С, помещ 13-Н</t>
        </is>
      </c>
      <c r="H699" s="4" t="n">
        <v>1460000</v>
      </c>
      <c r="I699" s="4" t="n">
        <v>92405.06329113923</v>
      </c>
      <c r="J699" t="inlineStr">
        <is>
          <t>Нежилое помещение</t>
        </is>
      </c>
      <c r="K699" s="5" t="n">
        <v>6.33</v>
      </c>
      <c r="L699" s="4" t="n">
        <v>624.36</v>
      </c>
      <c r="M699" t="n">
        <v>14596</v>
      </c>
      <c r="N699" s="6" t="n">
        <v>5225690</v>
      </c>
      <c r="O699" t="n">
        <v>148</v>
      </c>
      <c r="Q699" t="inlineStr">
        <is>
          <t>EA</t>
        </is>
      </c>
      <c r="R699" t="inlineStr">
        <is>
          <t>М</t>
        </is>
      </c>
      <c r="S699" s="2">
        <f>HYPERLINK("https://yandex.ru/maps/?&amp;text=59.924149, 30.283708", "59.924149, 30.283708")</f>
        <v/>
      </c>
      <c r="T699" s="2">
        <f>HYPERLINK("D:\venv_torgi\env\cache\objs_in_district/59.924149_30.283708.json", "59.924149_30.283708.json")</f>
        <v/>
      </c>
      <c r="U699" t="inlineStr">
        <is>
          <t>78:32:0001083:2584</t>
        </is>
      </c>
      <c r="V699" t="n">
        <v>1</v>
      </c>
      <c r="Y699" t="n">
        <v>0</v>
      </c>
      <c r="AA699" t="n">
        <v>0</v>
      </c>
      <c r="AB699" t="n">
        <v>0</v>
      </c>
    </row>
    <row r="700">
      <c r="A700" s="7" t="n">
        <v>698</v>
      </c>
      <c r="B700" t="n">
        <v>78</v>
      </c>
      <c r="C700" s="1" t="n">
        <v>20.8</v>
      </c>
      <c r="D700" s="2">
        <f>HYPERLINK("https://torgi.gov.ru/new/public/lots/lot/21000002210000000016_1/(lotInfo:info)", "21000002210000000016_1")</f>
        <v/>
      </c>
      <c r="E700" t="inlineStr">
        <is>
          <t>Нежилое помещение, расположенное по адресу: Санкт-Петербург, Климов переулок, д. 3, литера А, пом. 4-Н, площадь 20.8 кв.м., назначение: нежилое помещение, этаж: цокольный, кадастровый номер 78:32:0001070:3166</t>
        </is>
      </c>
      <c r="F700" s="3" t="inlineStr">
        <is>
          <t>21.02.22 20:00</t>
        </is>
      </c>
      <c r="G700" t="inlineStr">
        <is>
          <t>г Санкт-Петербург, Климов пер, д 3 литера А, помещ 4-Н</t>
        </is>
      </c>
      <c r="H700" s="4" t="n">
        <v>2000000</v>
      </c>
      <c r="I700" s="4" t="n">
        <v>96153.84615384616</v>
      </c>
      <c r="J700" t="inlineStr">
        <is>
          <t>Нежилое помещение</t>
        </is>
      </c>
      <c r="K700" s="5" t="n">
        <v>5.59</v>
      </c>
      <c r="L700" s="4" t="n">
        <v>525.4299999999999</v>
      </c>
      <c r="M700" t="n">
        <v>17188</v>
      </c>
      <c r="N700" s="6" t="n">
        <v>5225690</v>
      </c>
      <c r="O700" t="n">
        <v>183</v>
      </c>
      <c r="Q700" t="inlineStr">
        <is>
          <t>EA</t>
        </is>
      </c>
      <c r="R700" t="inlineStr">
        <is>
          <t>М</t>
        </is>
      </c>
      <c r="S700" s="2">
        <f>HYPERLINK("https://yandex.ru/maps/?&amp;text=59.917917, 30.294282", "59.917917, 30.294282")</f>
        <v/>
      </c>
      <c r="T700" s="2">
        <f>HYPERLINK("D:\venv_torgi\env\cache\objs_in_district/59.917917_30.294282.json", "59.917917_30.294282.json")</f>
        <v/>
      </c>
      <c r="U700" t="inlineStr">
        <is>
          <t>78:32:0001070:3166</t>
        </is>
      </c>
      <c r="V700" t="n">
        <v>0</v>
      </c>
      <c r="Y700" t="n">
        <v>0</v>
      </c>
      <c r="AA700" t="n">
        <v>0</v>
      </c>
      <c r="AB700" t="n">
        <v>0</v>
      </c>
    </row>
    <row r="701">
      <c r="A701" s="7" t="n">
        <v>699</v>
      </c>
      <c r="B701" t="n">
        <v>78</v>
      </c>
      <c r="C701" s="1" t="n">
        <v>64.90000000000001</v>
      </c>
      <c r="D701" s="2">
        <f>HYPERLINK("https://torgi.gov.ru/new/public/lots/lot/21000002210000000173_1/(lotInfo:info)", "21000002210000000173_1")</f>
        <v/>
      </c>
      <c r="E701" t="inlineStr">
        <is>
          <t>Нежилое помещение, расположенное по адресу: Санкт-Петербург, Садовая ул., д. 101, литера А, пом. 5-Н, площадь 64.9 кв.м., назначение: нежилое помещение, наименование: салон красоты, этаж: цокольный, кадастровый номер 78:32:0001156:1320</t>
        </is>
      </c>
      <c r="F701" s="3" t="inlineStr">
        <is>
          <t>23.03.22 20:00</t>
        </is>
      </c>
      <c r="G701" t="inlineStr">
        <is>
          <t>г Санкт-Петербург, ул Садовая, д 101 литера А, помещ 5-Н</t>
        </is>
      </c>
      <c r="H701" s="4" t="n">
        <v>6320000</v>
      </c>
      <c r="I701" s="4" t="n">
        <v>97380.58551617873</v>
      </c>
      <c r="J701" t="inlineStr">
        <is>
          <t>Нежилое помещение</t>
        </is>
      </c>
      <c r="K701" s="5" t="n">
        <v>5.26</v>
      </c>
      <c r="L701" s="4" t="n">
        <v>475.02</v>
      </c>
      <c r="M701" t="n">
        <v>18515</v>
      </c>
      <c r="N701" s="6" t="n">
        <v>5225690</v>
      </c>
      <c r="O701" t="n">
        <v>205</v>
      </c>
      <c r="Q701" t="inlineStr">
        <is>
          <t>EA</t>
        </is>
      </c>
      <c r="R701" t="inlineStr">
        <is>
          <t>М</t>
        </is>
      </c>
      <c r="S701" s="2">
        <f>HYPERLINK("https://yandex.ru/maps/?&amp;text=59.91908, 30.289503", "59.91908, 30.289503")</f>
        <v/>
      </c>
      <c r="T701" s="2">
        <f>HYPERLINK("D:\venv_torgi\env\cache\objs_in_district/59.91908_30.289503.json", "59.91908_30.289503.json")</f>
        <v/>
      </c>
      <c r="U701" t="inlineStr">
        <is>
          <t>78:32:0001156:1320</t>
        </is>
      </c>
      <c r="V701" t="n">
        <v>0</v>
      </c>
      <c r="Y701" t="n">
        <v>0</v>
      </c>
      <c r="AA701" t="n">
        <v>0</v>
      </c>
      <c r="AB701" t="n">
        <v>0</v>
      </c>
    </row>
    <row r="702">
      <c r="A702" s="7" t="n">
        <v>700</v>
      </c>
      <c r="B702" t="n">
        <v>78</v>
      </c>
      <c r="C702" s="1" t="n">
        <v>79.7</v>
      </c>
      <c r="D702" s="2">
        <f>HYPERLINK("https://torgi.gov.ru/new/public/lots/lot/21000002210000000061_1/(lotInfo:info)", "21000002210000000061_1")</f>
        <v/>
      </c>
      <c r="E702" t="inlineStr">
        <is>
          <t>Нежилое помещение, расположенное по адресу: Санкт-Петербург, наб. Обводного канала, д. 142/16, литера А, пом. 7-Н, площадь 79.7 кв.м, назначение: нежилое помещение, этаж № 1, кадастровый номер 78:32:0008004:2838</t>
        </is>
      </c>
      <c r="F702" s="3" t="inlineStr">
        <is>
          <t>03.03.22 20:00</t>
        </is>
      </c>
      <c r="G702" t="inlineStr">
        <is>
          <t>г Санкт-Петербург, наб Обводного канала, д 142/16 литера А, помещ 7-Н</t>
        </is>
      </c>
      <c r="H702" s="4" t="n">
        <v>7800000</v>
      </c>
      <c r="I702" s="4" t="n">
        <v>97867.00125470514</v>
      </c>
      <c r="J702" t="inlineStr">
        <is>
          <t>Нежилое помещение</t>
        </is>
      </c>
      <c r="K702" s="5" t="n">
        <v>18.27</v>
      </c>
      <c r="L702" s="4" t="n">
        <v>1223.34</v>
      </c>
      <c r="M702" t="n">
        <v>5358</v>
      </c>
      <c r="N702" s="6" t="n">
        <v>5225690</v>
      </c>
      <c r="O702" t="n">
        <v>80</v>
      </c>
      <c r="Q702" t="inlineStr">
        <is>
          <t>EA</t>
        </is>
      </c>
      <c r="R702" t="inlineStr">
        <is>
          <t>М</t>
        </is>
      </c>
      <c r="S702" s="2">
        <f>HYPERLINK("https://yandex.ru/maps/?&amp;text=59.908678, 30.275938", "59.908678, 30.275938")</f>
        <v/>
      </c>
      <c r="T702" s="2">
        <f>HYPERLINK("D:\venv_torgi\env\cache\objs_in_district/59.908678_30.275938.json", "59.908678_30.275938.json")</f>
        <v/>
      </c>
      <c r="U702" t="inlineStr">
        <is>
          <t>78:32:0008004:2838</t>
        </is>
      </c>
      <c r="V702" t="n">
        <v>1</v>
      </c>
      <c r="Y702" t="n">
        <v>0</v>
      </c>
      <c r="AA702" t="n">
        <v>0</v>
      </c>
      <c r="AB702" t="n">
        <v>0</v>
      </c>
    </row>
    <row r="703">
      <c r="A703" s="7" t="n">
        <v>701</v>
      </c>
      <c r="B703" t="n">
        <v>78</v>
      </c>
      <c r="C703" s="1" t="n">
        <v>86.8</v>
      </c>
      <c r="D703" s="2">
        <f>HYPERLINK("https://torgi.gov.ru/new/public/lots/lot/21000002210000000274_1/(lotInfo:info)", "21000002210000000274_1")</f>
        <v/>
      </c>
      <c r="E703" t="inlineStr">
        <is>
          <t>Нежилое помещение, расположенное по адресу: Санкт-Петербург, наб. реки Фонтанки, д. 189, литера А, пом. 2-Н, площадь 86.8 кв.м., назначение: нежилое, этаж: цокольный, кадастровый номер 78:32:0001074:1432</t>
        </is>
      </c>
      <c r="F703" s="3" t="inlineStr">
        <is>
          <t>20.04.22 20:00</t>
        </is>
      </c>
      <c r="G703" t="inlineStr">
        <is>
          <t>г Санкт-Петербург, наб Реки Фонтанки, д 189 литера А, помещ 2-Н</t>
        </is>
      </c>
      <c r="H703" s="4" t="n">
        <v>8600000</v>
      </c>
      <c r="I703" s="4" t="n">
        <v>99078.34101382489</v>
      </c>
      <c r="J703" t="inlineStr">
        <is>
          <t>Нежилое помещение</t>
        </is>
      </c>
      <c r="K703" s="5" t="n">
        <v>11.34</v>
      </c>
      <c r="L703" s="4" t="n">
        <v>750.59</v>
      </c>
      <c r="M703" t="n">
        <v>8739</v>
      </c>
      <c r="N703" s="6" t="n">
        <v>5225690</v>
      </c>
      <c r="O703" t="n">
        <v>132</v>
      </c>
      <c r="Q703" t="inlineStr">
        <is>
          <t>EA</t>
        </is>
      </c>
      <c r="R703" t="inlineStr">
        <is>
          <t>М</t>
        </is>
      </c>
      <c r="S703" s="2">
        <f>HYPERLINK("https://yandex.ru/maps/?&amp;text=59.916649, 30.286098", "59.916649, 30.286098")</f>
        <v/>
      </c>
      <c r="T703" s="2">
        <f>HYPERLINK("D:\venv_torgi\env\cache\objs_in_district/59.916649_30.286098.json", "59.916649_30.286098.json")</f>
        <v/>
      </c>
      <c r="U703" t="inlineStr">
        <is>
          <t>78:32:0001074:1432</t>
        </is>
      </c>
      <c r="V703" t="n">
        <v>0</v>
      </c>
      <c r="Y703" t="n">
        <v>0</v>
      </c>
      <c r="AA703" t="n">
        <v>0</v>
      </c>
      <c r="AB703" t="n">
        <v>0</v>
      </c>
    </row>
    <row r="704">
      <c r="A704" s="7" t="n">
        <v>702</v>
      </c>
      <c r="B704" t="n">
        <v>78</v>
      </c>
      <c r="C704" s="1" t="n">
        <v>37.3</v>
      </c>
      <c r="D704" s="2">
        <f>HYPERLINK("https://torgi.gov.ru/new/public/lots/lot/21000002210000000636_1/(lotInfo:info)", "21000002210000000636_1")</f>
        <v/>
      </c>
      <c r="E704" t="inlineStr">
        <is>
          <t>Нежилое помещение, расположенное по адресу: Санкт-Петербург, Витебская ул., д. 31, литера А, пом. 1-Н, площадь 37.3 кв.м., назначение: нежилое помещение, наименование: нежилое помещение, этаж: цокольный, кадастровый номер 78:32:0001079:1067</t>
        </is>
      </c>
      <c r="F704" s="3" t="inlineStr">
        <is>
          <t>18.07.22 20:00</t>
        </is>
      </c>
      <c r="G704" t="inlineStr">
        <is>
          <t>г Санкт-Петербург, ул Витебская, д 31 литера А, помещ 1-Н</t>
        </is>
      </c>
      <c r="H704" s="4" t="n">
        <v>3720000</v>
      </c>
      <c r="I704" s="4" t="n">
        <v>99731.9034852547</v>
      </c>
      <c r="J704" t="inlineStr">
        <is>
          <t>Нежилое помещение</t>
        </is>
      </c>
      <c r="K704" s="5" t="n">
        <v>6.55</v>
      </c>
      <c r="L704" s="4" t="n">
        <v>1917.9</v>
      </c>
      <c r="M704" t="n">
        <v>15227</v>
      </c>
      <c r="N704" s="6" t="n">
        <v>5225690</v>
      </c>
      <c r="O704" t="n">
        <v>52</v>
      </c>
      <c r="Q704" t="inlineStr">
        <is>
          <t>EA</t>
        </is>
      </c>
      <c r="R704" t="inlineStr">
        <is>
          <t>М</t>
        </is>
      </c>
      <c r="S704" s="2">
        <f>HYPERLINK("https://yandex.ru/maps/?&amp;text=59.919193, 30.276378", "59.919193, 30.276378")</f>
        <v/>
      </c>
      <c r="T704" s="2">
        <f>HYPERLINK("D:\venv_torgi\env\cache\objs_in_district/59.919193_30.276378.json", "59.919193_30.276378.json")</f>
        <v/>
      </c>
      <c r="U704" t="inlineStr">
        <is>
          <t>78:32:0001079:1067</t>
        </is>
      </c>
      <c r="V704" t="n">
        <v>0</v>
      </c>
      <c r="Y704" t="n">
        <v>0</v>
      </c>
      <c r="AA704" t="n">
        <v>0</v>
      </c>
      <c r="AB704" t="n">
        <v>0</v>
      </c>
    </row>
    <row r="705">
      <c r="A705" s="7" t="n">
        <v>703</v>
      </c>
      <c r="B705" t="n">
        <v>78</v>
      </c>
      <c r="C705" s="1" t="n">
        <v>56.3</v>
      </c>
      <c r="D705" s="2">
        <f>HYPERLINK("https://torgi.gov.ru/new/public/lots/lot/21000002210000000043_1/(lotInfo:info)", "21000002210000000043_1")</f>
        <v/>
      </c>
      <c r="E705" t="inlineStr">
        <is>
          <t>Нежилое помещение, расположенное по адресу: Санкт-Петербург, наб. канала Грибоедова, д. 68, литера А, пом. 1-Н, площадь 56.3 кв.м, назначение: нежилое, этаж №1, кадастровый номер 78:32:0001149:3350</t>
        </is>
      </c>
      <c r="F705" s="3" t="inlineStr">
        <is>
          <t>01.03.22 20:00</t>
        </is>
      </c>
      <c r="G705" t="inlineStr">
        <is>
          <t>г Санкт-Петербург, наб Канала Грибоедова, д 68 литера А, помещ 1-Н</t>
        </is>
      </c>
      <c r="H705" s="4" t="n">
        <v>5700000</v>
      </c>
      <c r="I705" s="4" t="n">
        <v>101243.3392539965</v>
      </c>
      <c r="J705" t="inlineStr">
        <is>
          <t>Нежилое помещение</t>
        </is>
      </c>
      <c r="K705" s="5" t="n">
        <v>11.14</v>
      </c>
      <c r="L705" s="4" t="n">
        <v>252.48</v>
      </c>
      <c r="M705" t="n">
        <v>9090</v>
      </c>
      <c r="N705" s="6" t="n">
        <v>5225690</v>
      </c>
      <c r="O705" t="n">
        <v>401</v>
      </c>
      <c r="Q705" t="inlineStr">
        <is>
          <t>EA</t>
        </is>
      </c>
      <c r="R705" t="inlineStr">
        <is>
          <t>М</t>
        </is>
      </c>
      <c r="S705" s="2">
        <f>HYPERLINK("https://yandex.ru/maps/?&amp;text=59.925619, 30.312455", "59.925619, 30.312455")</f>
        <v/>
      </c>
      <c r="T705" s="2">
        <f>HYPERLINK("D:\venv_torgi\env\cache\objs_in_district/59.925619_30.312455.json", "59.925619_30.312455.json")</f>
        <v/>
      </c>
      <c r="U705" t="inlineStr">
        <is>
          <t>78:32:0001149:3350</t>
        </is>
      </c>
      <c r="V705" t="n">
        <v>1</v>
      </c>
      <c r="Y705" t="n">
        <v>0</v>
      </c>
      <c r="AA705" t="n">
        <v>0</v>
      </c>
      <c r="AB705" t="n">
        <v>0</v>
      </c>
    </row>
    <row r="706">
      <c r="A706" s="7" t="n">
        <v>704</v>
      </c>
      <c r="B706" t="n">
        <v>78</v>
      </c>
      <c r="C706" s="1" t="n">
        <v>24.7</v>
      </c>
      <c r="D706" s="2">
        <f>HYPERLINK("https://torgi.gov.ru/new/public/lots/lot/21000002210000000236_1/(lotInfo:info)", "21000002210000000236_1")</f>
        <v/>
      </c>
      <c r="E706" t="inlineStr">
        <is>
          <t>Нежилое помещение, расположенное по адресу: Санкт-Петербург, Большая Подьяческая ул., д. 5, литера А, пом. 7-Н, площадь 24.7 кв.м., назначение: нежилое помещение, этаж №1, кадастровый номер 78:32:0001239:2288</t>
        </is>
      </c>
      <c r="F706" s="3" t="inlineStr">
        <is>
          <t>13.04.22 20:00</t>
        </is>
      </c>
      <c r="G706" t="inlineStr">
        <is>
          <t>г Санкт-Петербург, ул Большая Подьяческая, д 5 литера А, помещ 7-Н</t>
        </is>
      </c>
      <c r="H706" s="4" t="n">
        <v>2660000</v>
      </c>
      <c r="I706" s="4" t="n">
        <v>107692.3076923077</v>
      </c>
      <c r="J706" t="inlineStr">
        <is>
          <t>Нежилое помещение</t>
        </is>
      </c>
      <c r="K706" s="5" t="n">
        <v>11.09</v>
      </c>
      <c r="L706" s="4" t="n">
        <v>527.9</v>
      </c>
      <c r="M706" t="n">
        <v>9714</v>
      </c>
      <c r="N706" s="6" t="n">
        <v>5225690</v>
      </c>
      <c r="O706" t="n">
        <v>204</v>
      </c>
      <c r="Q706" t="inlineStr">
        <is>
          <t>EA</t>
        </is>
      </c>
      <c r="R706" t="inlineStr">
        <is>
          <t>М</t>
        </is>
      </c>
      <c r="S706" s="2">
        <f>HYPERLINK("https://yandex.ru/maps/?&amp;text=59.925908, 30.305322", "59.925908, 30.305322")</f>
        <v/>
      </c>
      <c r="T706" s="2">
        <f>HYPERLINK("D:\venv_torgi\env\cache\objs_in_district/59.925908_30.305322.json", "59.925908_30.305322.json")</f>
        <v/>
      </c>
      <c r="U706" t="inlineStr">
        <is>
          <t>78:32:0001239:2288</t>
        </is>
      </c>
      <c r="V706" t="n">
        <v>1</v>
      </c>
      <c r="Y706" t="n">
        <v>0</v>
      </c>
      <c r="AA706" t="n">
        <v>0</v>
      </c>
      <c r="AB706" t="n">
        <v>0</v>
      </c>
    </row>
    <row r="707">
      <c r="A707" s="7" t="n">
        <v>705</v>
      </c>
      <c r="B707" t="n">
        <v>78</v>
      </c>
      <c r="C707" s="1" t="n">
        <v>26.1</v>
      </c>
      <c r="D707" s="2">
        <f>HYPERLINK("https://torgi.gov.ru/new/public/lots/lot/21000002210000000041_1/(lotInfo:info)", "21000002210000000041_1")</f>
        <v/>
      </c>
      <c r="E707" t="inlineStr">
        <is>
          <t>Нежилое помещение, расположенное по адресу: Санкт-Петербург, г. Колпино, Заводской проспект, д. 34, литера А, пом. 1-Н, площадь 26.1 кв.м, назначение: нежилое помещение, наименование: нежилое помещение, этаж № 1, кадастровый номер 78:37:1711202:1778</t>
        </is>
      </c>
      <c r="F707" s="3" t="inlineStr">
        <is>
          <t>01.03.22 20:00</t>
        </is>
      </c>
      <c r="G707" t="inlineStr">
        <is>
          <t>г Санкт-Петербург, г Колпино, Заводской пр-кт, д 34 литера А, помещ 1-Н</t>
        </is>
      </c>
      <c r="H707" s="4" t="n">
        <v>2898000</v>
      </c>
      <c r="I707" s="4" t="n">
        <v>111034.4827586207</v>
      </c>
      <c r="J707" t="inlineStr">
        <is>
          <t>Нежилое помещение</t>
        </is>
      </c>
      <c r="K707" s="5" t="n">
        <v>32.02</v>
      </c>
      <c r="L707" s="4" t="n">
        <v>3581.74</v>
      </c>
      <c r="M707" t="n">
        <v>3468</v>
      </c>
      <c r="N707" s="6" t="n">
        <v>5225690</v>
      </c>
      <c r="O707" t="n">
        <v>31</v>
      </c>
      <c r="Q707" t="inlineStr">
        <is>
          <t>EA</t>
        </is>
      </c>
      <c r="R707" t="inlineStr">
        <is>
          <t>М</t>
        </is>
      </c>
      <c r="S707" s="2">
        <f>HYPERLINK("https://yandex.ru/maps/?&amp;text=59.7308532, 30.5769343", "59.7308532, 30.5769343")</f>
        <v/>
      </c>
      <c r="T707" s="2">
        <f>HYPERLINK("D:\venv_torgi\env\cache\objs_in_district/59.7308532_30.5769343.json", "59.7308532_30.5769343.json")</f>
        <v/>
      </c>
      <c r="U707" t="inlineStr">
        <is>
          <t>78:37:1711202:1778</t>
        </is>
      </c>
      <c r="V707" t="n">
        <v>1</v>
      </c>
      <c r="Y707" t="n">
        <v>0</v>
      </c>
      <c r="AA707" t="n">
        <v>0</v>
      </c>
      <c r="AB707" t="n">
        <v>0</v>
      </c>
    </row>
    <row r="708">
      <c r="A708" s="7" t="n">
        <v>706</v>
      </c>
      <c r="B708" t="n">
        <v>78</v>
      </c>
      <c r="C708" s="1" t="n">
        <v>11.7</v>
      </c>
      <c r="D708" s="2">
        <f>HYPERLINK("https://torgi.gov.ru/new/public/lots/lot/21000002210000000707_1/(lotInfo:info)", "21000002210000000707_1")</f>
        <v/>
      </c>
      <c r="E708" t="inlineStr">
        <is>
          <t>Нежилое помещение, расположенное по адресу: Санкт-Петербург, Басков переулок, д. 21, литера А, пом. 12-Н, площадь 11.7 кв.м, назначение: нежилое помещение,  этаж № 1, кадастровый номер 78:31:0001216:2408</t>
        </is>
      </c>
      <c r="F708" s="3" t="inlineStr">
        <is>
          <t>26.07.22 20:00</t>
        </is>
      </c>
      <c r="G708" t="inlineStr">
        <is>
          <t>г Санкт-Петербург, Басков пер, д 21 литера А, помещ 12-Н</t>
        </is>
      </c>
      <c r="H708" s="4" t="n">
        <v>1300000</v>
      </c>
      <c r="I708" s="4" t="n">
        <v>111111.1111111111</v>
      </c>
      <c r="J708" t="inlineStr">
        <is>
          <t>Нежилое помещение</t>
        </is>
      </c>
      <c r="K708" s="5" t="n">
        <v>9.529999999999999</v>
      </c>
      <c r="L708" s="4" t="n">
        <v>472.81</v>
      </c>
      <c r="M708" t="n">
        <v>11664</v>
      </c>
      <c r="N708" s="6" t="n">
        <v>5225690</v>
      </c>
      <c r="O708" t="n">
        <v>235</v>
      </c>
      <c r="Q708" t="inlineStr">
        <is>
          <t>EA</t>
        </is>
      </c>
      <c r="R708" t="inlineStr">
        <is>
          <t>М</t>
        </is>
      </c>
      <c r="S708" s="2">
        <f>HYPERLINK("https://yandex.ru/maps/?&amp;text=59.939379, 30.357766", "59.939379, 30.357766")</f>
        <v/>
      </c>
      <c r="T708" s="2">
        <f>HYPERLINK("D:\venv_torgi\env\cache\objs_in_district/59.939379_30.357766.json", "59.939379_30.357766.json")</f>
        <v/>
      </c>
      <c r="U708" t="inlineStr">
        <is>
          <t>78:31:0001216:2408</t>
        </is>
      </c>
      <c r="V708" t="n">
        <v>1</v>
      </c>
      <c r="Y708" t="n">
        <v>0</v>
      </c>
      <c r="AA708" t="n">
        <v>0</v>
      </c>
      <c r="AB708" t="n">
        <v>0</v>
      </c>
    </row>
    <row r="709">
      <c r="A709" s="7" t="n">
        <v>707</v>
      </c>
      <c r="B709" t="n">
        <v>78</v>
      </c>
      <c r="C709" s="1" t="n">
        <v>25.9</v>
      </c>
      <c r="D709" s="2">
        <f>HYPERLINK("https://torgi.gov.ru/new/public/lots/lot/21000002210000000267_1/(lotInfo:info)", "21000002210000000267_1")</f>
        <v/>
      </c>
      <c r="E709" t="inlineStr">
        <is>
          <t>Нежилое помещение, расположенное по адресу: Санкт-Петербург, Конторская ул., д. 14, литера А, пом. 4-Н, площадь 25.9 кв.м, назначение: нежилое, наименование: нежилое помещение, этаж №1, кадастровый номер 78:11:0006065:3341</t>
        </is>
      </c>
      <c r="F709" s="3" t="inlineStr">
        <is>
          <t>20.04.22 20:00</t>
        </is>
      </c>
      <c r="G709" t="inlineStr">
        <is>
          <t>г Санкт-Петербург, ул Конторская, д 14 литера А, помещ 4-Н</t>
        </is>
      </c>
      <c r="H709" s="4" t="n">
        <v>2948000</v>
      </c>
      <c r="I709" s="4" t="n">
        <v>113822.3938223938</v>
      </c>
      <c r="J709" t="inlineStr">
        <is>
          <t>Нежилое помещение</t>
        </is>
      </c>
      <c r="K709" s="5" t="n">
        <v>13.96</v>
      </c>
      <c r="L709" s="4" t="n">
        <v>1084.02</v>
      </c>
      <c r="M709" t="n">
        <v>8155</v>
      </c>
      <c r="N709" s="6" t="n">
        <v>5225690</v>
      </c>
      <c r="O709" t="n">
        <v>105</v>
      </c>
      <c r="Q709" t="inlineStr">
        <is>
          <t>EA</t>
        </is>
      </c>
      <c r="R709" t="inlineStr">
        <is>
          <t>М</t>
        </is>
      </c>
      <c r="S709" s="2">
        <f>HYPERLINK("https://yandex.ru/maps/?&amp;text=59.947167, 30.412132", "59.947167, 30.412132")</f>
        <v/>
      </c>
      <c r="T709" s="2">
        <f>HYPERLINK("D:\venv_torgi\env\cache\objs_in_district/59.947167_30.412132.json", "59.947167_30.412132.json")</f>
        <v/>
      </c>
      <c r="U709" t="inlineStr">
        <is>
          <t>78:11:0006065:3341</t>
        </is>
      </c>
      <c r="V709" t="n">
        <v>1</v>
      </c>
      <c r="Y709" t="n">
        <v>0</v>
      </c>
      <c r="AA709" t="n">
        <v>0</v>
      </c>
      <c r="AB709" t="n">
        <v>0</v>
      </c>
    </row>
    <row r="710">
      <c r="A710" s="7" t="n">
        <v>708</v>
      </c>
      <c r="B710" t="n">
        <v>78</v>
      </c>
      <c r="C710" s="1" t="n">
        <v>49.8</v>
      </c>
      <c r="D710" s="2">
        <f>HYPERLINK("https://torgi.gov.ru/new/public/lots/lot/21000002210000000066_1/(lotInfo:info)", "21000002210000000066_1")</f>
        <v/>
      </c>
      <c r="E710" t="inlineStr">
        <is>
          <t>Нежилое помещение, расположенное по адресу: Санкт-Петербург, Кавалергардская ул., д. 10, литера А, пом. 3-Н, площадь 49.8 кв.м, назначение: нежилое, наименование: нежилое помещение, этаж: цокольный, кадастровый номер 78:31:0001209:3242</t>
        </is>
      </c>
      <c r="F710" s="3" t="inlineStr">
        <is>
          <t>05.03.22 20:00</t>
        </is>
      </c>
      <c r="G710" t="inlineStr">
        <is>
          <t>г Санкт-Петербург, ул Кавалергардская, д 10 литера А, помещ 3-Н</t>
        </is>
      </c>
      <c r="H710" s="4" t="n">
        <v>5810000</v>
      </c>
      <c r="I710" s="4" t="n">
        <v>116666.6666666667</v>
      </c>
      <c r="J710" t="inlineStr">
        <is>
          <t>Нежилое помещение</t>
        </is>
      </c>
      <c r="K710" s="5" t="n">
        <v>12.24</v>
      </c>
      <c r="L710" s="4" t="n">
        <v>1100.62</v>
      </c>
      <c r="M710" t="n">
        <v>9528</v>
      </c>
      <c r="N710" s="6" t="n">
        <v>5225690</v>
      </c>
      <c r="O710" t="n">
        <v>106</v>
      </c>
      <c r="Q710" t="inlineStr">
        <is>
          <t>EA</t>
        </is>
      </c>
      <c r="R710" t="inlineStr">
        <is>
          <t>М</t>
        </is>
      </c>
      <c r="S710" s="2">
        <f>HYPERLINK("https://yandex.ru/maps/?&amp;text=59.944256, 30.382388", "59.944256, 30.382388")</f>
        <v/>
      </c>
      <c r="T710" s="2">
        <f>HYPERLINK("D:\venv_torgi\env\cache\objs_in_district/59.944256_30.382388.json", "59.944256_30.382388.json")</f>
        <v/>
      </c>
      <c r="U710" t="inlineStr">
        <is>
          <t>78:31:0001209:3242</t>
        </is>
      </c>
      <c r="V710" t="n">
        <v>0</v>
      </c>
      <c r="Y710" t="n">
        <v>0</v>
      </c>
      <c r="AA710" t="n">
        <v>0</v>
      </c>
      <c r="AB710" t="n">
        <v>0</v>
      </c>
    </row>
    <row r="711">
      <c r="A711" s="7" t="n">
        <v>709</v>
      </c>
      <c r="B711" t="n">
        <v>78</v>
      </c>
      <c r="C711" s="1" t="n">
        <v>16.3</v>
      </c>
      <c r="D711" s="2">
        <f>HYPERLINK("https://torgi.gov.ru/new/public/lots/lot/21000002210000000419_1/(lotInfo:info)", "21000002210000000419_1")</f>
        <v/>
      </c>
      <c r="E711" t="inlineStr">
        <is>
          <t>Нежилое помещение, расположенное по адресу: Санкт-Петербург, ул. Марата, д. 31, литера А, пом. 6-Н, площадь 16.3 кв.м, назначение: нежилое, этаж №1, кадастровый номер 78:31:0001133:3737</t>
        </is>
      </c>
      <c r="F711" s="3" t="inlineStr">
        <is>
          <t>31.05.22 20:00</t>
        </is>
      </c>
      <c r="G711" t="inlineStr">
        <is>
          <t>г Санкт-Петербург, ул Марата, д 31 литера А, помещ 6-Н</t>
        </is>
      </c>
      <c r="H711" s="4" t="n">
        <v>1940000</v>
      </c>
      <c r="I711" s="4" t="n">
        <v>119018.4049079754</v>
      </c>
      <c r="J711" t="inlineStr">
        <is>
          <t>Нежилое помещение</t>
        </is>
      </c>
      <c r="K711" s="5" t="n">
        <v>6.35</v>
      </c>
      <c r="L711" s="4" t="n">
        <v>386.42</v>
      </c>
      <c r="M711" t="n">
        <v>18744</v>
      </c>
      <c r="N711" s="6" t="n">
        <v>5225690</v>
      </c>
      <c r="O711" t="n">
        <v>308</v>
      </c>
      <c r="Q711" t="inlineStr">
        <is>
          <t>EA</t>
        </is>
      </c>
      <c r="R711" t="inlineStr">
        <is>
          <t>М</t>
        </is>
      </c>
      <c r="S711" s="2">
        <f>HYPERLINK("https://yandex.ru/maps/?&amp;text=59.92649, 30.3519", "59.92649, 30.3519")</f>
        <v/>
      </c>
      <c r="T711" s="2">
        <f>HYPERLINK("D:\venv_torgi\env\cache\objs_in_district/59.92649_30.3519.json", "59.92649_30.3519.json")</f>
        <v/>
      </c>
      <c r="U711" t="inlineStr">
        <is>
          <t>78:31:0001133:3737</t>
        </is>
      </c>
      <c r="V711" t="n">
        <v>1</v>
      </c>
      <c r="Y711" t="n">
        <v>0</v>
      </c>
      <c r="AA711" t="n">
        <v>0</v>
      </c>
      <c r="AB711" t="n">
        <v>0</v>
      </c>
    </row>
    <row r="712">
      <c r="A712" s="7" t="n">
        <v>710</v>
      </c>
      <c r="B712" t="n">
        <v>78</v>
      </c>
      <c r="C712" s="1" t="n">
        <v>15.8</v>
      </c>
      <c r="D712" s="2">
        <f>HYPERLINK("https://torgi.gov.ru/new/public/lots/lot/21000002210000000075_1/(lotInfo:info)", "21000002210000000075_1")</f>
        <v/>
      </c>
      <c r="E712" t="inlineStr">
        <is>
          <t>Нежилое помещение, расположенное по адресу: Санкт-Петербург, Шлиссельбургский проспект, д. 23, литера А, пом. 5-Н, площадь 15.8 кв.м, назначение: нежилое помещение, наименование: служебное, этаж № 1, кадастровый номер 78:12:0007202:4512</t>
        </is>
      </c>
      <c r="F712" s="3" t="inlineStr">
        <is>
          <t>05.03.22 20:00</t>
        </is>
      </c>
      <c r="G712" t="inlineStr">
        <is>
          <t>г Санкт-Петербург, Шлиссельбургский пр-кт, д 23 литера А, помещ 5-Н</t>
        </is>
      </c>
      <c r="H712" s="4" t="n">
        <v>1890000</v>
      </c>
      <c r="I712" s="4" t="n">
        <v>119620.253164557</v>
      </c>
      <c r="J712" t="inlineStr">
        <is>
          <t>Нежилое помещение</t>
        </is>
      </c>
      <c r="K712" s="5" t="n">
        <v>17.29</v>
      </c>
      <c r="L712" s="4" t="n">
        <v>1898.73</v>
      </c>
      <c r="M712" t="n">
        <v>6918</v>
      </c>
      <c r="N712" s="6" t="n">
        <v>5225690</v>
      </c>
      <c r="O712" t="n">
        <v>63</v>
      </c>
      <c r="Q712" t="inlineStr">
        <is>
          <t>EA</t>
        </is>
      </c>
      <c r="R712" t="inlineStr">
        <is>
          <t>М</t>
        </is>
      </c>
      <c r="S712" s="2">
        <f>HYPERLINK("https://yandex.ru/maps/?&amp;text=59.838385, 30.498792", "59.838385, 30.498792")</f>
        <v/>
      </c>
      <c r="T712" s="2">
        <f>HYPERLINK("D:\venv_torgi\env\cache\objs_in_district/59.838385_30.498792.json", "59.838385_30.498792.json")</f>
        <v/>
      </c>
      <c r="U712" t="inlineStr">
        <is>
          <t>78:12:0007202:4512</t>
        </is>
      </c>
      <c r="V712" t="n">
        <v>1</v>
      </c>
      <c r="Y712" t="n">
        <v>0</v>
      </c>
      <c r="AA712" t="n">
        <v>0</v>
      </c>
      <c r="AB712" t="n">
        <v>0</v>
      </c>
    </row>
    <row r="713">
      <c r="A713" s="7" t="n">
        <v>711</v>
      </c>
      <c r="B713" t="n">
        <v>78</v>
      </c>
      <c r="C713" s="1" t="n">
        <v>77.5</v>
      </c>
      <c r="D713" s="2">
        <f>HYPERLINK("https://torgi.gov.ru/new/public/lots/lot/21000002210000000777_1/(lotInfo:info)", "21000002210000000777_1")</f>
        <v/>
      </c>
      <c r="E713" t="inlineStr">
        <is>
          <t>Нежилое помещение, расположенное по адресу: Санкт-Петербург, Кузнечный переулок, д. 19-21, литера Б, пом. 12-Н, площадь 77.5 кв.м, назначение: нежилое, этаж № 1, кадастровый номер 78:31:0001047:2738</t>
        </is>
      </c>
      <c r="F713" s="3" t="inlineStr">
        <is>
          <t>08.08.22 20:00</t>
        </is>
      </c>
      <c r="G713" t="inlineStr">
        <is>
          <t>г Санкт-Петербург, Кузнечный пер, д 19-21 литера Б, помещ 12-Н</t>
        </is>
      </c>
      <c r="H713" s="4" t="n">
        <v>9710000</v>
      </c>
      <c r="I713" s="4" t="n">
        <v>125290.3225806452</v>
      </c>
      <c r="J713" t="inlineStr">
        <is>
          <t>Нежилое помещение</t>
        </is>
      </c>
      <c r="K713" s="5" t="n">
        <v>12.04</v>
      </c>
      <c r="L713" s="4" t="n">
        <v>380.82</v>
      </c>
      <c r="M713" t="n">
        <v>10406</v>
      </c>
      <c r="N713" s="6" t="n">
        <v>5225690</v>
      </c>
      <c r="O713" t="n">
        <v>329</v>
      </c>
      <c r="Q713" t="inlineStr">
        <is>
          <t>EA</t>
        </is>
      </c>
      <c r="R713" t="inlineStr">
        <is>
          <t>М</t>
        </is>
      </c>
      <c r="S713" s="2">
        <f>HYPERLINK("https://yandex.ru/maps/?&amp;text=59.926535, 30.357173", "59.926535, 30.357173")</f>
        <v/>
      </c>
      <c r="T713" s="2">
        <f>HYPERLINK("D:\venv_torgi\env\cache\objs_in_district/59.926535_30.357173.json", "59.926535_30.357173.json")</f>
        <v/>
      </c>
      <c r="U713" t="inlineStr">
        <is>
          <t>78:31:0001047:2738</t>
        </is>
      </c>
      <c r="V713" t="n">
        <v>1</v>
      </c>
      <c r="Y713" t="n">
        <v>0</v>
      </c>
      <c r="AA713" t="n">
        <v>0</v>
      </c>
      <c r="AB713" t="n">
        <v>0</v>
      </c>
    </row>
    <row r="714">
      <c r="A714" s="7" t="n">
        <v>712</v>
      </c>
      <c r="B714" t="n">
        <v>78</v>
      </c>
      <c r="C714" s="1" t="n">
        <v>31.4</v>
      </c>
      <c r="D714" s="2">
        <f>HYPERLINK("https://torgi.gov.ru/new/public/lots/lot/21000002210000000211_1/(lotInfo:info)", "21000002210000000211_1")</f>
        <v/>
      </c>
      <c r="E714" t="inlineStr">
        <is>
          <t>Нежилое помещение, расположенное по адресу: Санкт-Петербург, ул. Олеко Дундича, д. 35, корп. 1, литера А, пом. 4-Н, площадь 31.4 кв.м, назначение: нежилое помещение, наименование: нежилое помещение, этаж №1, кадастровый номер 78:13:0007448:3519</t>
        </is>
      </c>
      <c r="F714" s="3" t="inlineStr">
        <is>
          <t>01.04.22 20:00</t>
        </is>
      </c>
      <c r="G714" t="inlineStr">
        <is>
          <t>г Санкт-Петербург, ул Олеко Дундича, д 35 к 1 литера А, помещ 4-Н</t>
        </is>
      </c>
      <c r="H714" s="4" t="n">
        <v>3960000</v>
      </c>
      <c r="I714" s="4" t="n">
        <v>126114.6496815287</v>
      </c>
      <c r="J714" t="inlineStr">
        <is>
          <t>Нежилое помещение</t>
        </is>
      </c>
      <c r="K714" s="5" t="n">
        <v>24.77</v>
      </c>
      <c r="L714" s="4" t="n">
        <v>793.17</v>
      </c>
      <c r="M714" t="n">
        <v>5092</v>
      </c>
      <c r="N714" s="6" t="n">
        <v>5225690</v>
      </c>
      <c r="O714" t="n">
        <v>159</v>
      </c>
      <c r="Q714" t="inlineStr">
        <is>
          <t>EA</t>
        </is>
      </c>
      <c r="R714" t="inlineStr">
        <is>
          <t>М</t>
        </is>
      </c>
      <c r="S714" s="2">
        <f>HYPERLINK("https://yandex.ru/maps/?&amp;text=59.833787, 30.42328", "59.833787, 30.42328")</f>
        <v/>
      </c>
      <c r="T714" s="2">
        <f>HYPERLINK("D:\venv_torgi\env\cache\objs_in_district/59.833787_30.42328.json", "59.833787_30.42328.json")</f>
        <v/>
      </c>
      <c r="U714" t="inlineStr">
        <is>
          <t>78:13:0007448:3519</t>
        </is>
      </c>
      <c r="V714" t="n">
        <v>1</v>
      </c>
      <c r="Y714" t="n">
        <v>0</v>
      </c>
      <c r="AA714" t="n">
        <v>0</v>
      </c>
      <c r="AB714" t="n">
        <v>0</v>
      </c>
    </row>
    <row r="715">
      <c r="A715" s="7" t="n">
        <v>713</v>
      </c>
      <c r="B715" t="n">
        <v>78</v>
      </c>
      <c r="C715" s="1" t="n">
        <v>23.8</v>
      </c>
      <c r="D715" s="2">
        <f>HYPERLINK("https://torgi.gov.ru/new/public/lots/lot/21000002210000000767_1/(lotInfo:info)", "21000002210000000767_1")</f>
        <v/>
      </c>
      <c r="E715" t="inlineStr">
        <is>
          <t>Нежилое помещение, расположенное по адресу: Санкт-Петербург, Соляной переулок, д. 14, литера А, пом. 8-Н, площадь 23.8 кв.м, назначение: нежилое помещение, этаж № 1, кадастровый номер   78:31:0001190:2156</t>
        </is>
      </c>
      <c r="F715" s="3" t="inlineStr">
        <is>
          <t>03.08.22 20:00</t>
        </is>
      </c>
      <c r="G715" t="inlineStr">
        <is>
          <t>г Санкт-Петербург, Соляной пер, д 14 литера А, помещ 8-Н</t>
        </is>
      </c>
      <c r="H715" s="4" t="n">
        <v>3010000</v>
      </c>
      <c r="I715" s="4" t="n">
        <v>126470.5882352941</v>
      </c>
      <c r="J715" t="inlineStr">
        <is>
          <t>Нежилое помещение</t>
        </is>
      </c>
      <c r="K715" s="5" t="n">
        <v>14.51</v>
      </c>
      <c r="L715" s="4" t="n">
        <v>805.54</v>
      </c>
      <c r="M715" t="n">
        <v>8716</v>
      </c>
      <c r="N715" s="6" t="n">
        <v>5225690</v>
      </c>
      <c r="O715" t="n">
        <v>157</v>
      </c>
      <c r="Q715" t="inlineStr">
        <is>
          <t>EA</t>
        </is>
      </c>
      <c r="R715" t="inlineStr">
        <is>
          <t>М</t>
        </is>
      </c>
      <c r="S715" s="2">
        <f>HYPERLINK("https://yandex.ru/maps/?&amp;text=59.943264, 30.341874", "59.943264, 30.341874")</f>
        <v/>
      </c>
      <c r="T715" s="2">
        <f>HYPERLINK("D:\venv_torgi\env\cache\objs_in_district/59.943264_30.341874.json", "59.943264_30.341874.json")</f>
        <v/>
      </c>
      <c r="U715" t="inlineStr">
        <is>
          <t>78:31:0001190:2156</t>
        </is>
      </c>
      <c r="V715" t="n">
        <v>1</v>
      </c>
      <c r="Y715" t="n">
        <v>0</v>
      </c>
      <c r="AA715" t="n">
        <v>0</v>
      </c>
      <c r="AB715" t="n">
        <v>0</v>
      </c>
    </row>
    <row r="716">
      <c r="A716" s="7" t="n">
        <v>714</v>
      </c>
      <c r="B716" t="n">
        <v>78</v>
      </c>
      <c r="C716" s="1" t="n">
        <v>12.9</v>
      </c>
      <c r="D716" s="2">
        <f>HYPERLINK("https://torgi.gov.ru/new/public/lots/lot/21000002210000000535_1/(lotInfo:info)", "21000002210000000535_1")</f>
        <v/>
      </c>
      <c r="E716" t="inlineStr">
        <is>
          <t>Нежилое помещение, расположенное по адресу: Санкт-Петербург, Кирочная ул., д. 11, литера А, пом. 3-Н, площадь 12.9 кв.м, назначение: нежилое помещение, наименование: нежилое помещение, этаж №1, кадастровый номер 78:31:0001271:2127</t>
        </is>
      </c>
      <c r="F716" s="3" t="inlineStr">
        <is>
          <t>15.06.22 20:00</t>
        </is>
      </c>
      <c r="G716" t="inlineStr">
        <is>
          <t>г Санкт-Петербург, ул Кирочная, д 11 литера А, помещ 3-Н</t>
        </is>
      </c>
      <c r="H716" s="4" t="n">
        <v>1680000</v>
      </c>
      <c r="I716" s="4" t="n">
        <v>130232.5581395349</v>
      </c>
      <c r="J716" t="inlineStr">
        <is>
          <t>Нежилое помещение</t>
        </is>
      </c>
      <c r="K716" s="5" t="n">
        <v>12.62</v>
      </c>
      <c r="L716" s="4" t="n">
        <v>424.21</v>
      </c>
      <c r="M716" t="n">
        <v>10320</v>
      </c>
      <c r="N716" s="6" t="n">
        <v>5225690</v>
      </c>
      <c r="O716" t="n">
        <v>307</v>
      </c>
      <c r="Q716" t="inlineStr">
        <is>
          <t>EA</t>
        </is>
      </c>
      <c r="R716" t="inlineStr">
        <is>
          <t>М</t>
        </is>
      </c>
      <c r="S716" s="2">
        <f>HYPERLINK("https://yandex.ru/maps/?&amp;text=59.943787, 30.354559", "59.943787, 30.354559")</f>
        <v/>
      </c>
      <c r="T716" s="2">
        <f>HYPERLINK("D:\venv_torgi\env\cache\objs_in_district/59.943787_30.354559.json", "59.943787_30.354559.json")</f>
        <v/>
      </c>
      <c r="U716" t="inlineStr">
        <is>
          <t>78:31:0001271:2127</t>
        </is>
      </c>
      <c r="V716" t="n">
        <v>1</v>
      </c>
      <c r="Y716" t="n">
        <v>0</v>
      </c>
      <c r="AA716" t="n">
        <v>0</v>
      </c>
      <c r="AB716" t="n">
        <v>0</v>
      </c>
    </row>
    <row r="717">
      <c r="A717" s="7" t="n">
        <v>715</v>
      </c>
      <c r="B717" t="n">
        <v>78</v>
      </c>
      <c r="C717" s="1" t="n">
        <v>23.8</v>
      </c>
      <c r="D717" s="2">
        <f>HYPERLINK("https://torgi.gov.ru/new/public/lots/lot/21000002210000000741_1/(lotInfo:info)", "21000002210000000741_1")</f>
        <v/>
      </c>
      <c r="E717" t="inlineStr">
        <is>
          <t>Нежилое помещение, расположенное по адресу: Санкт-Петербург, ул. Достоевского, д. 21, литера А, пом. 4-Н, площадь 23.8 кв.м, назначение: нежилое, этаж №1, кадастровый номер 78:31:0001692:2663</t>
        </is>
      </c>
      <c r="F717" s="3" t="inlineStr">
        <is>
          <t>29.07.22 20:00</t>
        </is>
      </c>
      <c r="G717" t="inlineStr">
        <is>
          <t>г Санкт-Петербург, ул Достоевского, д 21 литера А, помещ 4-Н</t>
        </is>
      </c>
      <c r="H717" s="4" t="n">
        <v>3100000</v>
      </c>
      <c r="I717" s="4" t="n">
        <v>130252.1008403361</v>
      </c>
      <c r="J717" t="inlineStr">
        <is>
          <t>Нежилое помещение</t>
        </is>
      </c>
      <c r="K717" s="5" t="n">
        <v>6.17</v>
      </c>
      <c r="L717" s="4" t="n">
        <v>387.65</v>
      </c>
      <c r="M717" t="n">
        <v>21127</v>
      </c>
      <c r="N717" s="6" t="n">
        <v>5225690</v>
      </c>
      <c r="O717" t="n">
        <v>336</v>
      </c>
      <c r="Q717" t="inlineStr">
        <is>
          <t>EA</t>
        </is>
      </c>
      <c r="R717" t="inlineStr">
        <is>
          <t>М</t>
        </is>
      </c>
      <c r="S717" s="2">
        <f>HYPERLINK("https://yandex.ru/maps/?&amp;text=59.923265, 30.346231", "59.923265, 30.346231")</f>
        <v/>
      </c>
      <c r="T717" s="2">
        <f>HYPERLINK("D:\venv_torgi\env\cache\objs_in_district/59.923265_30.346231.json", "59.923265_30.346231.json")</f>
        <v/>
      </c>
      <c r="U717" t="inlineStr">
        <is>
          <t>78:31:0001692:2663</t>
        </is>
      </c>
      <c r="V717" t="n">
        <v>1</v>
      </c>
      <c r="Y717" t="n">
        <v>0</v>
      </c>
      <c r="AA717" t="n">
        <v>0</v>
      </c>
      <c r="AB717" t="n">
        <v>0</v>
      </c>
    </row>
    <row r="718">
      <c r="A718" s="7" t="n">
        <v>716</v>
      </c>
      <c r="B718" t="n">
        <v>78</v>
      </c>
      <c r="C718" s="1" t="n">
        <v>10.1</v>
      </c>
      <c r="D718" s="2">
        <f>HYPERLINK("https://torgi.gov.ru/new/public/lots/lot/21000002210000000343_1/(lotInfo:info)", "21000002210000000343_1")</f>
        <v/>
      </c>
      <c r="E718" t="inlineStr">
        <is>
          <t>Нежилое помещение, расположенное по адресу: Санкт-Петербург, Витебская ул., д. 31, литера Б, пом. 2-Н, площадь 10.1 кв.м, назначение: нежилое, этаж №1, кадастровый номер 78:32:0001079:1293</t>
        </is>
      </c>
      <c r="F718" s="3" t="inlineStr">
        <is>
          <t>20.05.22 20:00</t>
        </is>
      </c>
      <c r="G718" t="inlineStr">
        <is>
          <t>г Санкт-Петербург, ул Витебская, д 31 литера Б</t>
        </is>
      </c>
      <c r="H718" s="4" t="n">
        <v>1350000</v>
      </c>
      <c r="I718" s="4" t="n">
        <v>133663.3663366337</v>
      </c>
      <c r="J718" t="inlineStr">
        <is>
          <t>Нежилое помещение</t>
        </is>
      </c>
      <c r="K718" s="5" t="n">
        <v>8.779999999999999</v>
      </c>
      <c r="L718" s="4" t="n">
        <v>2570.44</v>
      </c>
      <c r="M718" t="n">
        <v>15227</v>
      </c>
      <c r="N718" s="6" t="n">
        <v>5225690</v>
      </c>
      <c r="O718" t="n">
        <v>52</v>
      </c>
      <c r="Q718" t="inlineStr">
        <is>
          <t>EA</t>
        </is>
      </c>
      <c r="R718" t="inlineStr">
        <is>
          <t>М</t>
        </is>
      </c>
      <c r="S718" s="2">
        <f>HYPERLINK("https://yandex.ru/maps/?&amp;text=59.919193, 30.276378", "59.919193, 30.276378")</f>
        <v/>
      </c>
      <c r="T718" s="2">
        <f>HYPERLINK("D:\venv_torgi\env\cache\objs_in_district/59.919193_30.276378.json", "59.919193_30.276378.json")</f>
        <v/>
      </c>
      <c r="U718" t="inlineStr">
        <is>
          <t>78:32:0001079:1293</t>
        </is>
      </c>
      <c r="V718" t="n">
        <v>1</v>
      </c>
      <c r="Y718" t="n">
        <v>0</v>
      </c>
      <c r="AA718" t="n">
        <v>0</v>
      </c>
      <c r="AB718" t="n">
        <v>0</v>
      </c>
    </row>
    <row r="719">
      <c r="A719" s="7" t="n">
        <v>717</v>
      </c>
      <c r="B719" t="n">
        <v>78</v>
      </c>
      <c r="C719" s="1" t="n">
        <v>27.4</v>
      </c>
      <c r="D719" s="2">
        <f>HYPERLINK("https://torgi.gov.ru/new/public/lots/lot/21000002210000000161_1/(lotInfo:info)", "21000002210000000161_1")</f>
        <v/>
      </c>
      <c r="E719" t="inlineStr">
        <is>
          <t>Нежилое помещение, расположенное по адресу: Санкт-Петербург, 8-я Советская ул., д. 14, литера А, пом. 5-Н, площадь 27.4 кв.м., назначение: нежилое помещение, наименование: помещение, этаж № 1, кадастровый номер 78:31:0001422:1235</t>
        </is>
      </c>
      <c r="F719" s="3" t="inlineStr">
        <is>
          <t>22.03.22 20:00</t>
        </is>
      </c>
      <c r="G719" t="inlineStr">
        <is>
          <t>г Санкт-Петербург, ул 8-я Советская, д 14 литера А, помещ 5-Н</t>
        </is>
      </c>
      <c r="H719" s="4" t="n">
        <v>3720000</v>
      </c>
      <c r="I719" s="4" t="n">
        <v>135766.4233576642</v>
      </c>
      <c r="J719" t="inlineStr">
        <is>
          <t>Нежилое помещение</t>
        </is>
      </c>
      <c r="K719" s="5" t="n">
        <v>13.87</v>
      </c>
      <c r="L719" s="4" t="n">
        <v>767.04</v>
      </c>
      <c r="M719" t="n">
        <v>9788</v>
      </c>
      <c r="N719" s="6" t="n">
        <v>5225690</v>
      </c>
      <c r="O719" t="n">
        <v>177</v>
      </c>
      <c r="Q719" t="inlineStr">
        <is>
          <t>EA</t>
        </is>
      </c>
      <c r="R719" t="inlineStr">
        <is>
          <t>М</t>
        </is>
      </c>
      <c r="S719" s="2">
        <f>HYPERLINK("https://yandex.ru/maps/?&amp;text=59.937247, 30.372767", "59.937247, 30.372767")</f>
        <v/>
      </c>
      <c r="T719" s="2">
        <f>HYPERLINK("D:\venv_torgi\env\cache\objs_in_district/59.937247_30.372767.json", "59.937247_30.372767.json")</f>
        <v/>
      </c>
      <c r="U719" t="inlineStr">
        <is>
          <t>78:31:0001422:1235</t>
        </is>
      </c>
      <c r="V719" t="n">
        <v>1</v>
      </c>
      <c r="Y719" t="n">
        <v>0</v>
      </c>
      <c r="AA719" t="n">
        <v>0</v>
      </c>
      <c r="AB719" t="n">
        <v>0</v>
      </c>
    </row>
    <row r="720">
      <c r="A720" s="7" t="n">
        <v>718</v>
      </c>
      <c r="B720" t="n">
        <v>78</v>
      </c>
      <c r="C720" s="1" t="n">
        <v>20.1</v>
      </c>
      <c r="D720" s="2">
        <f>HYPERLINK("https://torgi.gov.ru/new/public/lots/lot/21000002210000000814_1/(lotInfo:info)", "21000002210000000814_1")</f>
        <v/>
      </c>
      <c r="E720" t="inlineStr">
        <is>
          <t>Нежилое помещение, расположенное по адресу: Санкт-Петербург, Лермонтовский проспект, д. 8а, литера А, пом. 17-Н, площадь 20.1 кв.м, назначение: нежилое помещение, наименование: 248/2,  этаж № 1, кадастровый номер 78:32:0001248:1569</t>
        </is>
      </c>
      <c r="F720" s="3" t="inlineStr">
        <is>
          <t>15.08.22 20:00</t>
        </is>
      </c>
      <c r="G720" t="inlineStr">
        <is>
          <t>г Санкт-Петербург, Лермонтовский пр-кт, д 8а</t>
        </is>
      </c>
      <c r="H720" s="4" t="n">
        <v>2740000</v>
      </c>
      <c r="I720" s="4" t="n">
        <v>136318.407960199</v>
      </c>
      <c r="J720" t="inlineStr">
        <is>
          <t>Нежилое помещение</t>
        </is>
      </c>
      <c r="K720" s="5" t="n">
        <v>12.33</v>
      </c>
      <c r="M720" t="n">
        <v>11056</v>
      </c>
      <c r="N720" s="6" t="n">
        <v>5225690</v>
      </c>
      <c r="Q720" t="inlineStr">
        <is>
          <t>EA</t>
        </is>
      </c>
      <c r="R720" t="inlineStr">
        <is>
          <t>М</t>
        </is>
      </c>
      <c r="S720" s="2">
        <f>HYPERLINK("https://yandex.ru/maps/?&amp;text=59.923126, 30.292458", "59.923126, 30.292458")</f>
        <v/>
      </c>
      <c r="U720" t="inlineStr">
        <is>
          <t>78:32:0001248:1569</t>
        </is>
      </c>
      <c r="V720" t="n">
        <v>1</v>
      </c>
      <c r="Y720" t="n">
        <v>0</v>
      </c>
      <c r="AA720" t="n">
        <v>0</v>
      </c>
      <c r="AB720" t="n">
        <v>0</v>
      </c>
    </row>
    <row r="721">
      <c r="A721" s="7" t="n">
        <v>719</v>
      </c>
      <c r="B721" t="n">
        <v>78</v>
      </c>
      <c r="C721" s="1" t="n">
        <v>13.2</v>
      </c>
      <c r="D721" s="2">
        <f>HYPERLINK("https://torgi.gov.ru/new/public/lots/lot/21000002210000000832_1/(lotInfo:info)", "21000002210000000832_1")</f>
        <v/>
      </c>
      <c r="E721" t="inlineStr">
        <is>
          <t>Нежилое помещение, расположенное по адресу: Санкт-Петербург, Спасский переулок, д. 7, литера А, пом. 4-Н, площадь 13.2 кв.м, назначение: нежилое помещение, этаж № 1, кадастровый номер 78:32:0001146:2303</t>
        </is>
      </c>
      <c r="F721" s="3" t="inlineStr">
        <is>
          <t>17.08.22 20:00</t>
        </is>
      </c>
      <c r="G721" t="inlineStr">
        <is>
          <t>г Санкт-Петербург, Спасский пер, д 7 литера А</t>
        </is>
      </c>
      <c r="H721" s="4" t="n">
        <v>1810000</v>
      </c>
      <c r="I721" s="4" t="n">
        <v>137121.2121212121</v>
      </c>
      <c r="J721" t="inlineStr">
        <is>
          <t>Нежилое помещение</t>
        </is>
      </c>
      <c r="K721" s="5" t="n">
        <v>17.64</v>
      </c>
      <c r="M721" t="n">
        <v>7773</v>
      </c>
      <c r="N721" s="6" t="n">
        <v>5225690</v>
      </c>
      <c r="Q721" t="inlineStr">
        <is>
          <t>EA</t>
        </is>
      </c>
      <c r="R721" t="inlineStr">
        <is>
          <t>М</t>
        </is>
      </c>
      <c r="S721" s="2">
        <f>HYPERLINK("https://yandex.ru/maps/?&amp;text=59.928681, 30.317943", "59.928681, 30.317943")</f>
        <v/>
      </c>
      <c r="U721" t="inlineStr">
        <is>
          <t>78:32:0001146:2303</t>
        </is>
      </c>
      <c r="V721" t="n">
        <v>1</v>
      </c>
      <c r="Y721" t="n">
        <v>0</v>
      </c>
      <c r="AA721" t="n">
        <v>0</v>
      </c>
      <c r="AB721" t="n">
        <v>0</v>
      </c>
    </row>
    <row r="722">
      <c r="A722" s="7" t="n">
        <v>720</v>
      </c>
      <c r="B722" t="n">
        <v>78</v>
      </c>
      <c r="C722" s="1" t="n">
        <v>37.9</v>
      </c>
      <c r="D722" s="2">
        <f>HYPERLINK("https://torgi.gov.ru/new/public/lots/lot/21000002210000000024_1/(lotInfo:info)", "21000002210000000024_1")</f>
        <v/>
      </c>
      <c r="E722" t="inlineStr">
        <is>
          <t>Нежилое помещение, расположенное по адресу: Санкт-Петербург, Поварской переулок, д. 14, литера А, пом. 4-Н, площадь 37.9 кв.м., этаж: цокольный, назначение: нежилое, наименование: нежилое помещение, кадастровый номер 78:31:0001221:2345</t>
        </is>
      </c>
      <c r="F722" s="3" t="inlineStr">
        <is>
          <t>22.02.22 20:00</t>
        </is>
      </c>
      <c r="G722" t="inlineStr">
        <is>
          <t>г Санкт-Петербург, Поварской пер, д 14 литера А, помещ 4-Н</t>
        </is>
      </c>
      <c r="H722" s="4" t="n">
        <v>5360000</v>
      </c>
      <c r="I722" s="4" t="n">
        <v>141424.802110818</v>
      </c>
      <c r="J722" t="inlineStr">
        <is>
          <t>Нежилое помещение</t>
        </is>
      </c>
      <c r="K722" s="5" t="n">
        <v>7.55</v>
      </c>
      <c r="L722" s="4" t="n">
        <v>369.25</v>
      </c>
      <c r="M722" t="n">
        <v>18744</v>
      </c>
      <c r="N722" s="6" t="n">
        <v>5225690</v>
      </c>
      <c r="O722" t="n">
        <v>383</v>
      </c>
      <c r="Q722" t="inlineStr">
        <is>
          <t>EA</t>
        </is>
      </c>
      <c r="R722" t="inlineStr">
        <is>
          <t>М</t>
        </is>
      </c>
      <c r="S722" s="2">
        <f>HYPERLINK("https://yandex.ru/maps/?&amp;text=59.928983, 30.351998", "59.928983, 30.351998")</f>
        <v/>
      </c>
      <c r="T722" s="2">
        <f>HYPERLINK("D:\venv_torgi\env\cache\objs_in_district/59.928983_30.351998.json", "59.928983_30.351998.json")</f>
        <v/>
      </c>
      <c r="U722" t="inlineStr">
        <is>
          <t>78:31:0001221:2345</t>
        </is>
      </c>
      <c r="V722" t="n">
        <v>0</v>
      </c>
      <c r="Y722" t="n">
        <v>0</v>
      </c>
      <c r="AA722" t="n">
        <v>0</v>
      </c>
      <c r="AB722" t="n">
        <v>0</v>
      </c>
    </row>
    <row r="723">
      <c r="A723" s="7" t="n">
        <v>721</v>
      </c>
      <c r="B723" t="n">
        <v>78</v>
      </c>
      <c r="C723" s="1" t="n">
        <v>62.4</v>
      </c>
      <c r="D723" s="2">
        <f>HYPERLINK("https://torgi.gov.ru/new/public/lots/lot/21000002210000000833_1/(lotInfo:info)", "21000002210000000833_1")</f>
        <v/>
      </c>
      <c r="E723" t="inlineStr">
        <is>
          <t>Нежилое помещение, расположенное по адресу: Санкт-Петербург, Столярный переулок, д. 9, литера А, пом. 3-Н, площадь 62.4 кв.м, назначение: нежилое, наименование: нежилое помещение, этаж № 1, кадастровый номер 78:32:0001236:2329</t>
        </is>
      </c>
      <c r="F723" s="3" t="inlineStr">
        <is>
          <t>17.08.22 20:00</t>
        </is>
      </c>
      <c r="G723" t="inlineStr">
        <is>
          <t>г Санкт-Петербург, Столярный пер, д 9 литера А</t>
        </is>
      </c>
      <c r="H723" s="4" t="n">
        <v>8860000</v>
      </c>
      <c r="I723" s="4" t="n">
        <v>141987.1794871795</v>
      </c>
      <c r="J723" t="inlineStr">
        <is>
          <t>Нежилое помещение</t>
        </is>
      </c>
      <c r="K723" s="5" t="n">
        <v>13.55</v>
      </c>
      <c r="M723" t="n">
        <v>10480</v>
      </c>
      <c r="N723" s="6" t="n">
        <v>5225690</v>
      </c>
      <c r="Q723" t="inlineStr">
        <is>
          <t>EA</t>
        </is>
      </c>
      <c r="R723" t="inlineStr">
        <is>
          <t>М</t>
        </is>
      </c>
      <c r="S723" s="2">
        <f>HYPERLINK("https://yandex.ru/maps/?&amp;text=59.927143, 30.311771", "59.927143, 30.311771")</f>
        <v/>
      </c>
      <c r="U723" t="inlineStr">
        <is>
          <t>78:32:0001236:2329</t>
        </is>
      </c>
      <c r="V723" t="n">
        <v>1</v>
      </c>
      <c r="Y723" t="n">
        <v>0</v>
      </c>
      <c r="AA723" t="n">
        <v>0</v>
      </c>
      <c r="AB723" t="n">
        <v>0</v>
      </c>
    </row>
    <row r="724">
      <c r="A724" s="7" t="n">
        <v>722</v>
      </c>
      <c r="B724" t="n">
        <v>78</v>
      </c>
      <c r="C724" s="1" t="n">
        <v>26.2</v>
      </c>
      <c r="D724" s="2">
        <f>HYPERLINK("https://torgi.gov.ru/new/public/lots/lot/21000002210000000495_1/(lotInfo:info)", "21000002210000000495_1")</f>
        <v/>
      </c>
      <c r="E724" t="inlineStr">
        <is>
          <t>Нежилое помещение, расположенное по адресу: Санкт-Петербург, Конторская ул., д. 14, литера А, пом. 3-Н, площадь 26.2 кв.м, назначение: нежилое, наименование: нежилое помещение, этаж №1, кадастровый номер 78:11:0006065:3340</t>
        </is>
      </c>
      <c r="F724" s="3" t="inlineStr">
        <is>
          <t>07.06.22 20:00</t>
        </is>
      </c>
      <c r="G724" t="inlineStr">
        <is>
          <t>г Санкт-Петербург, ул Конторская, д 14 литера А, помещ 3-Н</t>
        </is>
      </c>
      <c r="H724" s="4" t="n">
        <v>3740000</v>
      </c>
      <c r="I724" s="4" t="n">
        <v>142748.0916030534</v>
      </c>
      <c r="J724" t="inlineStr">
        <is>
          <t>Нежилое помещение</t>
        </is>
      </c>
      <c r="K724" s="5" t="n">
        <v>17.5</v>
      </c>
      <c r="L724" s="4" t="n">
        <v>1359.5</v>
      </c>
      <c r="M724" t="n">
        <v>8155</v>
      </c>
      <c r="N724" s="6" t="n">
        <v>5225690</v>
      </c>
      <c r="O724" t="n">
        <v>105</v>
      </c>
      <c r="Q724" t="inlineStr">
        <is>
          <t>EA</t>
        </is>
      </c>
      <c r="R724" t="inlineStr">
        <is>
          <t>М</t>
        </is>
      </c>
      <c r="S724" s="2">
        <f>HYPERLINK("https://yandex.ru/maps/?&amp;text=59.947167, 30.412132", "59.947167, 30.412132")</f>
        <v/>
      </c>
      <c r="T724" s="2">
        <f>HYPERLINK("D:\venv_torgi\env\cache\objs_in_district/59.947167_30.412132.json", "59.947167_30.412132.json")</f>
        <v/>
      </c>
      <c r="U724" t="inlineStr">
        <is>
          <t>78:11:0006065:3340</t>
        </is>
      </c>
      <c r="V724" t="n">
        <v>1</v>
      </c>
      <c r="Y724" t="n">
        <v>0</v>
      </c>
      <c r="AA724" t="n">
        <v>0</v>
      </c>
      <c r="AB724" t="n">
        <v>0</v>
      </c>
    </row>
    <row r="725">
      <c r="A725" s="7" t="n">
        <v>723</v>
      </c>
      <c r="B725" t="n">
        <v>78</v>
      </c>
      <c r="C725" s="1" t="n">
        <v>20.1</v>
      </c>
      <c r="D725" s="2">
        <f>HYPERLINK("https://torgi.gov.ru/new/public/lots/lot/21000002210000000342_1/(lotInfo:info)", "21000002210000000342_1")</f>
        <v/>
      </c>
      <c r="E725" t="inlineStr">
        <is>
          <t>Нежилое помещение, расположенное по адресу: Санкт-Петербург, Будапештская ул., д. 95, корп. 1, литера А, пом. 6-Н, площадь 20.1 кв.м, назначение: нежилое помещение, наименование: нежилое помещение, этаж №1, кадастровый номер 78:13:0007438:2355</t>
        </is>
      </c>
      <c r="F725" s="3" t="inlineStr">
        <is>
          <t>20.05.22 20:00</t>
        </is>
      </c>
      <c r="G725" t="inlineStr">
        <is>
          <t>г Санкт-Петербург, ул Будапештская, д 95 к 1 литера А, помещ 6-Н</t>
        </is>
      </c>
      <c r="H725" s="4" t="n">
        <v>2870000</v>
      </c>
      <c r="I725" s="4" t="n">
        <v>142786.0696517413</v>
      </c>
      <c r="J725" t="inlineStr">
        <is>
          <t>Нежилое помещение</t>
        </is>
      </c>
      <c r="K725" s="5" t="n">
        <v>14.49</v>
      </c>
      <c r="L725" s="4" t="n">
        <v>637.4400000000001</v>
      </c>
      <c r="M725" t="n">
        <v>9852</v>
      </c>
      <c r="N725" s="6" t="n">
        <v>5225690</v>
      </c>
      <c r="O725" t="n">
        <v>224</v>
      </c>
      <c r="Q725" t="inlineStr">
        <is>
          <t>EA</t>
        </is>
      </c>
      <c r="R725" t="inlineStr">
        <is>
          <t>М</t>
        </is>
      </c>
      <c r="S725" s="2">
        <f>HYPERLINK("https://yandex.ru/maps/?&amp;text=59.83049, 30.402933", "59.83049, 30.402933")</f>
        <v/>
      </c>
      <c r="T725" s="2">
        <f>HYPERLINK("D:\venv_torgi\env\cache\objs_in_district/59.83049_30.402933.json", "59.83049_30.402933.json")</f>
        <v/>
      </c>
      <c r="U725" t="inlineStr">
        <is>
          <t>78:13:0007438:2355</t>
        </is>
      </c>
      <c r="V725" t="n">
        <v>1</v>
      </c>
      <c r="Y725" t="n">
        <v>0</v>
      </c>
      <c r="AA725" t="n">
        <v>0</v>
      </c>
      <c r="AB725" t="n">
        <v>0</v>
      </c>
    </row>
    <row r="726">
      <c r="A726" s="7" t="n">
        <v>724</v>
      </c>
      <c r="B726" t="n">
        <v>78</v>
      </c>
      <c r="C726" s="1" t="n">
        <v>11.9</v>
      </c>
      <c r="D726" s="2">
        <f>HYPERLINK("https://torgi.gov.ru/new/public/lots/lot/21000002210000000183_1/(lotInfo:info)", "21000002210000000183_1")</f>
        <v/>
      </c>
      <c r="E726" t="inlineStr">
        <is>
          <t>Нежилое помещение, расположенное по адресу: Санкт-Петербург, Приморский проспект, д. 145, корп. 3, литера А, пом. 5-Н, площадью 11.9 кв.м, назначение: нежилое помещение, наименование: нежилое помещение, этаж №1, кадастровый номер 78:34:0004164:2662</t>
        </is>
      </c>
      <c r="F726" s="3" t="inlineStr">
        <is>
          <t>25.03.22 20:00</t>
        </is>
      </c>
      <c r="G726" t="inlineStr">
        <is>
          <t>г Санкт-Петербург, Приморский пр-кт, д 145 к 3 литера А, помещ 5-Н</t>
        </is>
      </c>
      <c r="H726" s="4" t="n">
        <v>1700000</v>
      </c>
      <c r="I726" s="4" t="n">
        <v>142857.1428571428</v>
      </c>
      <c r="J726" t="inlineStr">
        <is>
          <t>Нежилое помещение</t>
        </is>
      </c>
      <c r="K726" s="5" t="n">
        <v>28.25</v>
      </c>
      <c r="L726" s="4" t="n">
        <v>2070.39</v>
      </c>
      <c r="M726" t="n">
        <v>5057</v>
      </c>
      <c r="N726" s="6" t="n">
        <v>5225690</v>
      </c>
      <c r="O726" t="n">
        <v>69</v>
      </c>
      <c r="Q726" t="inlineStr">
        <is>
          <t>EA</t>
        </is>
      </c>
      <c r="R726" t="inlineStr">
        <is>
          <t>М</t>
        </is>
      </c>
      <c r="S726" s="2">
        <f>HYPERLINK("https://yandex.ru/maps/?&amp;text=59.98523, 30.207064", "59.98523, 30.207064")</f>
        <v/>
      </c>
      <c r="T726" s="2">
        <f>HYPERLINK("D:\venv_torgi\env\cache\objs_in_district/59.98523_30.207064.json", "59.98523_30.207064.json")</f>
        <v/>
      </c>
      <c r="U726" t="inlineStr">
        <is>
          <t>78:34:0004164:2662</t>
        </is>
      </c>
      <c r="V726" t="n">
        <v>1</v>
      </c>
      <c r="Y726" t="n">
        <v>0</v>
      </c>
      <c r="AA726" t="n">
        <v>0</v>
      </c>
      <c r="AB726" t="n">
        <v>0</v>
      </c>
    </row>
    <row r="727">
      <c r="A727" s="7" t="n">
        <v>725</v>
      </c>
      <c r="B727" t="n">
        <v>78</v>
      </c>
      <c r="C727" s="1" t="n">
        <v>25.4</v>
      </c>
      <c r="D727" s="2">
        <f>HYPERLINK("https://torgi.gov.ru/new/public/lots/lot/21000002210000000716_1/(lotInfo:info)", "21000002210000000716_1")</f>
        <v/>
      </c>
      <c r="E727" t="inlineStr">
        <is>
          <t>Нежилое помещение, расположенное по адресу: Санкт-Петербург, ул. Рубинштейна, д. 3, литера А, пом. 2-Н, площадь 25.4 кв.м, назначение: нежилое помещение, этаж №1, кадастровый номер 78:31:0001225:2268</t>
        </is>
      </c>
      <c r="F727" s="3" t="inlineStr">
        <is>
          <t>26.07.22 20:00</t>
        </is>
      </c>
      <c r="G727" t="inlineStr">
        <is>
          <t>г Санкт-Петербург, ул Рубинштейна, д 3 литера А, помещ 2-Н</t>
        </is>
      </c>
      <c r="H727" s="4" t="n">
        <v>3650000</v>
      </c>
      <c r="I727" s="4" t="n">
        <v>143700.7874015748</v>
      </c>
      <c r="J727" t="inlineStr">
        <is>
          <t>Нежилое помещение</t>
        </is>
      </c>
      <c r="K727" s="5" t="n">
        <v>9.24</v>
      </c>
      <c r="L727" s="4" t="n">
        <v>459.11</v>
      </c>
      <c r="M727" t="n">
        <v>15557</v>
      </c>
      <c r="N727" s="6" t="n">
        <v>5225690</v>
      </c>
      <c r="O727" t="n">
        <v>313</v>
      </c>
      <c r="Q727" t="inlineStr">
        <is>
          <t>EA</t>
        </is>
      </c>
      <c r="R727" t="inlineStr">
        <is>
          <t>М</t>
        </is>
      </c>
      <c r="S727" s="2">
        <f>HYPERLINK("https://yandex.ru/maps/?&amp;text=59.932103, 30.345369", "59.932103, 30.345369")</f>
        <v/>
      </c>
      <c r="T727" s="2">
        <f>HYPERLINK("D:\venv_torgi\env\cache\objs_in_district/59.932103_30.345369.json", "59.932103_30.345369.json")</f>
        <v/>
      </c>
      <c r="U727" t="inlineStr">
        <is>
          <t>78:31:0001225:2268</t>
        </is>
      </c>
      <c r="V727" t="n">
        <v>1</v>
      </c>
      <c r="Y727" t="n">
        <v>0</v>
      </c>
      <c r="AA727" t="n">
        <v>0</v>
      </c>
      <c r="AB727" t="n">
        <v>0</v>
      </c>
    </row>
    <row r="728">
      <c r="A728" s="7" t="n">
        <v>726</v>
      </c>
      <c r="B728" t="n">
        <v>78</v>
      </c>
      <c r="C728" s="1" t="n">
        <v>31.9</v>
      </c>
      <c r="D728" s="2">
        <f>HYPERLINK("https://torgi.gov.ru/new/public/lots/lot/21000002210000000451_1/(lotInfo:info)", "21000002210000000451_1")</f>
        <v/>
      </c>
      <c r="E728" t="inlineStr">
        <is>
          <t>Нежилое помещение, расположенное по адресу: Санкт-Петербург, Саперный переулок, д. 10, литера Б, пом. 78-Н, площадь 31.9 кв.м, назначение: нежилое помещение, наименование: нежилое помещение, этаж №1, кадастровый номер 78:31:0001278:2643</t>
        </is>
      </c>
      <c r="F728" s="3" t="inlineStr">
        <is>
          <t>01.06.22 20:00</t>
        </is>
      </c>
      <c r="G728" t="inlineStr">
        <is>
          <t>г Санкт-Петербург, Сапёрный пер, д 10 литера Б, помещ 78-Н</t>
        </is>
      </c>
      <c r="H728" s="4" t="n">
        <v>4640000</v>
      </c>
      <c r="I728" s="4" t="n">
        <v>145454.5454545455</v>
      </c>
      <c r="J728" t="inlineStr">
        <is>
          <t>Нежилое помещение</t>
        </is>
      </c>
      <c r="K728" s="5" t="n">
        <v>14.27</v>
      </c>
      <c r="L728" s="4" t="n">
        <v>542.74</v>
      </c>
      <c r="M728" t="n">
        <v>10194</v>
      </c>
      <c r="N728" s="6" t="n">
        <v>5225690</v>
      </c>
      <c r="O728" t="n">
        <v>268</v>
      </c>
      <c r="Q728" t="inlineStr">
        <is>
          <t>EA</t>
        </is>
      </c>
      <c r="R728" t="inlineStr">
        <is>
          <t>М</t>
        </is>
      </c>
      <c r="S728" s="2">
        <f>HYPERLINK("https://yandex.ru/maps/?&amp;text=59.941141, 30.358206", "59.941141, 30.358206")</f>
        <v/>
      </c>
      <c r="T728" s="2">
        <f>HYPERLINK("D:\venv_torgi\env\cache\objs_in_district/59.941141_30.358206.json", "59.941141_30.358206.json")</f>
        <v/>
      </c>
      <c r="U728" t="inlineStr">
        <is>
          <t>78:31:0001278:2643</t>
        </is>
      </c>
      <c r="V728" t="n">
        <v>1</v>
      </c>
      <c r="Y728" t="n">
        <v>0</v>
      </c>
      <c r="AA728" t="n">
        <v>0</v>
      </c>
      <c r="AB728" t="n">
        <v>0</v>
      </c>
    </row>
    <row r="729">
      <c r="A729" s="7" t="n">
        <v>727</v>
      </c>
      <c r="B729" t="n">
        <v>78</v>
      </c>
      <c r="C729" s="1" t="n">
        <v>11.7</v>
      </c>
      <c r="D729" s="2">
        <f>HYPERLINK("https://torgi.gov.ru/new/public/lots/lot/21000002210000000414_1/(lotInfo:info)", "21000002210000000414_1")</f>
        <v/>
      </c>
      <c r="E729" t="inlineStr">
        <is>
          <t>Нежилое помещение, расположенное по адресу: Санкт-Петербург, 12-я Красноармейская ул., д. 10, литера А, пом. 2-Н, площадь 11.7 кв.м, назначение: нежилое, наименование: нежилое помещение, этаж № 1, кадастровый номер 78:32:0001719:3395</t>
        </is>
      </c>
      <c r="F729" s="3" t="inlineStr">
        <is>
          <t>31.05.22 20:00</t>
        </is>
      </c>
      <c r="G729" t="inlineStr">
        <is>
          <t>г Санкт-Петербург, ул 12-я Красноармейская, д 10 литера А, помещ 2-Н</t>
        </is>
      </c>
      <c r="H729" s="4" t="n">
        <v>1720000</v>
      </c>
      <c r="I729" s="4" t="n">
        <v>147008.547008547</v>
      </c>
      <c r="J729" t="inlineStr">
        <is>
          <t>Нежилое помещение</t>
        </is>
      </c>
      <c r="K729" s="5" t="n">
        <v>19.67</v>
      </c>
      <c r="L729" s="4" t="n">
        <v>1455.52</v>
      </c>
      <c r="M729" t="n">
        <v>7474</v>
      </c>
      <c r="N729" s="6" t="n">
        <v>5225690</v>
      </c>
      <c r="O729" t="n">
        <v>101</v>
      </c>
      <c r="Q729" t="inlineStr">
        <is>
          <t>EA</t>
        </is>
      </c>
      <c r="R729" t="inlineStr">
        <is>
          <t>М</t>
        </is>
      </c>
      <c r="S729" s="2">
        <f>HYPERLINK("https://yandex.ru/maps/?&amp;text=59.911404, 30.304604", "59.911404, 30.304604")</f>
        <v/>
      </c>
      <c r="T729" s="2">
        <f>HYPERLINK("D:\venv_torgi\env\cache\objs_in_district/59.911404_30.304604.json", "59.911404_30.304604.json")</f>
        <v/>
      </c>
      <c r="U729" t="inlineStr">
        <is>
          <t>78:32:0001719:3395</t>
        </is>
      </c>
      <c r="V729" t="n">
        <v>1</v>
      </c>
      <c r="Y729" t="n">
        <v>0</v>
      </c>
      <c r="AA729" t="n">
        <v>0</v>
      </c>
      <c r="AB729" t="n">
        <v>0</v>
      </c>
    </row>
    <row r="730">
      <c r="A730" s="7" t="n">
        <v>728</v>
      </c>
      <c r="B730" t="n">
        <v>78</v>
      </c>
      <c r="C730" s="1" t="n">
        <v>19.7</v>
      </c>
      <c r="D730" s="2">
        <f>HYPERLINK("https://torgi.gov.ru/new/public/lots/lot/21000002210000000654_1/(lotInfo:info)", "21000002210000000654_1")</f>
        <v/>
      </c>
      <c r="E730" t="inlineStr">
        <is>
          <t>Нежилое помещение, расположенное по адресу: Санкт-Петербург, Псковская ул., д. 34, литера А, пом. 6-Н, площадь 19.7 кв.м, назначение: нежилое помещение, наименование: помещение, этаж №1, кадастровый номер 78:32:0001077:1207</t>
        </is>
      </c>
      <c r="F730" s="3" t="inlineStr">
        <is>
          <t>19.07.22 20:00</t>
        </is>
      </c>
      <c r="G730" t="inlineStr">
        <is>
          <t>г Санкт-Петербург, ул Псковская, д 34 литера А, помещ 6-Н</t>
        </is>
      </c>
      <c r="H730" s="4" t="n">
        <v>2910000</v>
      </c>
      <c r="I730" s="4" t="n">
        <v>147715.7360406091</v>
      </c>
      <c r="J730" t="inlineStr">
        <is>
          <t>Нежилое помещение</t>
        </is>
      </c>
      <c r="K730" s="5" t="n">
        <v>9.699999999999999</v>
      </c>
      <c r="L730" s="4" t="n">
        <v>2272.54</v>
      </c>
      <c r="M730" t="n">
        <v>15227</v>
      </c>
      <c r="N730" s="6" t="n">
        <v>5225690</v>
      </c>
      <c r="O730" t="n">
        <v>65</v>
      </c>
      <c r="Q730" t="inlineStr">
        <is>
          <t>EA</t>
        </is>
      </c>
      <c r="R730" t="inlineStr">
        <is>
          <t>М</t>
        </is>
      </c>
      <c r="S730" s="2">
        <f>HYPERLINK("https://yandex.ru/maps/?&amp;text=59.918214, 30.278166", "59.918214, 30.278166")</f>
        <v/>
      </c>
      <c r="T730" s="2">
        <f>HYPERLINK("D:\venv_torgi\env\cache\objs_in_district/59.918214_30.278166.json", "59.918214_30.278166.json")</f>
        <v/>
      </c>
      <c r="U730" t="inlineStr">
        <is>
          <t>78:32:0001077:1207</t>
        </is>
      </c>
      <c r="V730" t="n">
        <v>1</v>
      </c>
      <c r="Y730" t="n">
        <v>0</v>
      </c>
      <c r="AA730" t="n">
        <v>0</v>
      </c>
      <c r="AB730" t="n">
        <v>0</v>
      </c>
    </row>
    <row r="731">
      <c r="A731" s="7" t="n">
        <v>729</v>
      </c>
      <c r="B731" t="n">
        <v>78</v>
      </c>
      <c r="C731" s="1" t="n">
        <v>15.4</v>
      </c>
      <c r="D731" s="2">
        <f>HYPERLINK("https://torgi.gov.ru/new/public/lots/lot/21000002210000000603_1/(lotInfo:info)", "21000002210000000603_1")</f>
        <v/>
      </c>
      <c r="E731" t="inlineStr">
        <is>
          <t>Нежилое помещение, расположенное по адресу: Санкт-Петербург, Гражданская ул., д. 14, литера А, пом. 4-Н, площадь 15.4 кв.м, назначение: нежилое помещение, этаж №1, кадастровый номер 78:32:0001233:397</t>
        </is>
      </c>
      <c r="F731" s="3" t="inlineStr">
        <is>
          <t>12.07.22 20:00</t>
        </is>
      </c>
      <c r="G731" t="inlineStr">
        <is>
          <t>г Санкт-Петербург, ул Гражданская, д 14 литера А, помещ 4-Н</t>
        </is>
      </c>
      <c r="H731" s="4" t="n">
        <v>2280000</v>
      </c>
      <c r="I731" s="4" t="n">
        <v>148051.948051948</v>
      </c>
      <c r="J731" t="inlineStr">
        <is>
          <t>Нежилое помещение</t>
        </is>
      </c>
      <c r="K731" s="5" t="n">
        <v>14.13</v>
      </c>
      <c r="L731" s="4" t="n">
        <v>430.38</v>
      </c>
      <c r="M731" t="n">
        <v>10480</v>
      </c>
      <c r="N731" s="6" t="n">
        <v>5225690</v>
      </c>
      <c r="O731" t="n">
        <v>344</v>
      </c>
      <c r="Q731" t="inlineStr">
        <is>
          <t>EA</t>
        </is>
      </c>
      <c r="R731" t="inlineStr">
        <is>
          <t>М</t>
        </is>
      </c>
      <c r="S731" s="2">
        <f>HYPERLINK("https://yandex.ru/maps/?&amp;text=59.92784, 30.312534", "59.92784, 30.312534")</f>
        <v/>
      </c>
      <c r="T731" s="2">
        <f>HYPERLINK("D:\venv_torgi\env\cache\objs_in_district/59.92784_30.312534.json", "59.92784_30.312534.json")</f>
        <v/>
      </c>
      <c r="U731" t="inlineStr">
        <is>
          <t>78:32:0001233:397</t>
        </is>
      </c>
      <c r="V731" t="n">
        <v>1</v>
      </c>
      <c r="Y731" t="n">
        <v>0</v>
      </c>
      <c r="AA731" t="n">
        <v>0</v>
      </c>
      <c r="AB731" t="n">
        <v>0</v>
      </c>
    </row>
    <row r="732">
      <c r="A732" s="7" t="n">
        <v>730</v>
      </c>
      <c r="B732" t="n">
        <v>78</v>
      </c>
      <c r="C732" s="1" t="n">
        <v>17</v>
      </c>
      <c r="D732" s="2">
        <f>HYPERLINK("https://torgi.gov.ru/new/public/lots/lot/21000002210000000696_1/(lotInfo:info)", "21000002210000000696_1")</f>
        <v/>
      </c>
      <c r="E732" t="inlineStr">
        <is>
          <t>Нежилое помещение, расположенное по адресу: Санкт-Петербург, Большая Подьяческая ул., д. 7, литера А, пом. 6-Н, площадь 17 кв.м., назначение: нежилое помещение, этаж №1, кадастровый номер 78:32:0001239:2268</t>
        </is>
      </c>
      <c r="F732" s="3" t="inlineStr">
        <is>
          <t>25.07.22 20:00</t>
        </is>
      </c>
      <c r="G732" t="inlineStr">
        <is>
          <t>г Санкт-Петербург, ул Большая Подьяческая, д 7 литера А, помещ 6-Н</t>
        </is>
      </c>
      <c r="H732" s="4" t="n">
        <v>2530000</v>
      </c>
      <c r="I732" s="4" t="n">
        <v>148823.5294117647</v>
      </c>
      <c r="J732" t="inlineStr">
        <is>
          <t>Нежилое помещение</t>
        </is>
      </c>
      <c r="K732" s="5" t="n">
        <v>15.32</v>
      </c>
      <c r="L732" s="4" t="n">
        <v>747.85</v>
      </c>
      <c r="M732" t="n">
        <v>9714</v>
      </c>
      <c r="N732" s="6" t="n">
        <v>5225690</v>
      </c>
      <c r="O732" t="n">
        <v>199</v>
      </c>
      <c r="Q732" t="inlineStr">
        <is>
          <t>EA</t>
        </is>
      </c>
      <c r="R732" t="inlineStr">
        <is>
          <t>М</t>
        </is>
      </c>
      <c r="S732" s="2">
        <f>HYPERLINK("https://yandex.ru/maps/?&amp;text=59.925732, 30.305313", "59.925732, 30.305313")</f>
        <v/>
      </c>
      <c r="T732" s="2">
        <f>HYPERLINK("D:\venv_torgi\env\cache\objs_in_district/59.925732_30.305313.json", "59.925732_30.305313.json")</f>
        <v/>
      </c>
      <c r="U732" t="inlineStr">
        <is>
          <t>78:32:0001239:2268</t>
        </is>
      </c>
      <c r="V732" t="n">
        <v>1</v>
      </c>
      <c r="Y732" t="n">
        <v>0</v>
      </c>
      <c r="AA732" t="n">
        <v>0</v>
      </c>
      <c r="AB732" t="n">
        <v>0</v>
      </c>
    </row>
    <row r="733">
      <c r="A733" s="7" t="n">
        <v>731</v>
      </c>
      <c r="B733" t="n">
        <v>78</v>
      </c>
      <c r="C733" s="1" t="n">
        <v>15.1</v>
      </c>
      <c r="D733" s="2">
        <f>HYPERLINK("https://torgi.gov.ru/new/public/lots/lot/21000002210000000615_1/(lotInfo:info)", "21000002210000000615_1")</f>
        <v/>
      </c>
      <c r="E733" t="inlineStr">
        <is>
          <t>Нежилое помещение, расположенное по адресу: Санкт-Петербург, ул. Михайлова, д. 12, литера А, пом. 5-Н, площадь 15.1 кв.м, назначение: нежилое помещение, наименование: нежилое помещение, этаж №1, кадастровый номер 78:10:0511201:2810</t>
        </is>
      </c>
      <c r="F733" s="3" t="inlineStr">
        <is>
          <t>13.07.22 20:00</t>
        </is>
      </c>
      <c r="G733" t="inlineStr">
        <is>
          <t>г Санкт-Петербург, ул Михайлова, д 12 литера А, помещ 5-Н</t>
        </is>
      </c>
      <c r="H733" s="4" t="n">
        <v>2280000</v>
      </c>
      <c r="I733" s="4" t="n">
        <v>150993.3774834437</v>
      </c>
      <c r="J733" t="inlineStr">
        <is>
          <t>Нежилое помещение</t>
        </is>
      </c>
      <c r="K733" s="5" t="n">
        <v>23.4</v>
      </c>
      <c r="L733" s="4" t="n">
        <v>671.08</v>
      </c>
      <c r="M733" t="n">
        <v>6453</v>
      </c>
      <c r="N733" s="6" t="n">
        <v>5225690</v>
      </c>
      <c r="O733" t="n">
        <v>225</v>
      </c>
      <c r="Q733" t="inlineStr">
        <is>
          <t>EA</t>
        </is>
      </c>
      <c r="R733" t="inlineStr">
        <is>
          <t>М</t>
        </is>
      </c>
      <c r="S733" s="2">
        <f>HYPERLINK("https://yandex.ru/maps/?&amp;text=59.956566, 30.359769", "59.956566, 30.359769")</f>
        <v/>
      </c>
      <c r="T733" s="2">
        <f>HYPERLINK("D:\venv_torgi\env\cache\objs_in_district/59.956566_30.359769.json", "59.956566_30.359769.json")</f>
        <v/>
      </c>
      <c r="U733" t="inlineStr">
        <is>
          <t>78:10:0511201:2810</t>
        </is>
      </c>
      <c r="V733" t="n">
        <v>1</v>
      </c>
      <c r="Y733" t="n">
        <v>0</v>
      </c>
      <c r="AA733" t="n">
        <v>0</v>
      </c>
      <c r="AB733" t="n">
        <v>0</v>
      </c>
    </row>
    <row r="734">
      <c r="A734" s="7" t="n">
        <v>732</v>
      </c>
      <c r="B734" t="n">
        <v>78</v>
      </c>
      <c r="C734" s="1" t="n">
        <v>13.9</v>
      </c>
      <c r="D734" s="2">
        <f>HYPERLINK("https://torgi.gov.ru/new/public/lots/lot/21000002210000000700_1/(lotInfo:info)", "21000002210000000700_1")</f>
        <v/>
      </c>
      <c r="E734" t="inlineStr">
        <is>
          <t>Нежилое помещение, расположенное по адресу: Санкт-Петербург, площадь Островского, д. 9, литера А, пом. 5-Н, площадь 13.9 кв.м., назначение: нежилое помещение, этаж №1, кадастровый номер 78:31:0001139:3101</t>
        </is>
      </c>
      <c r="F734" s="3" t="inlineStr">
        <is>
          <t>25.07.22 20:00</t>
        </is>
      </c>
      <c r="G734" t="inlineStr">
        <is>
          <t>г Санкт-Петербург, пл Островского, д 9 литера А, помещ 5-Н</t>
        </is>
      </c>
      <c r="H734" s="4" t="n">
        <v>2100000</v>
      </c>
      <c r="I734" s="4" t="n">
        <v>151079.1366906475</v>
      </c>
      <c r="J734" t="inlineStr">
        <is>
          <t>Нежилое помещение</t>
        </is>
      </c>
      <c r="K734" s="5" t="n">
        <v>18.88</v>
      </c>
      <c r="L734" s="4" t="n">
        <v>782.79</v>
      </c>
      <c r="M734" t="n">
        <v>8000</v>
      </c>
      <c r="N734" s="6" t="n">
        <v>5225690</v>
      </c>
      <c r="O734" t="n">
        <v>193</v>
      </c>
      <c r="Q734" t="inlineStr">
        <is>
          <t>EA</t>
        </is>
      </c>
      <c r="R734" t="inlineStr">
        <is>
          <t>М</t>
        </is>
      </c>
      <c r="S734" s="2">
        <f>HYPERLINK("https://yandex.ru/maps/?&amp;text=59.931481, 30.334724", "59.931481, 30.334724")</f>
        <v/>
      </c>
      <c r="T734" s="2">
        <f>HYPERLINK("D:\venv_torgi\env\cache\objs_in_district/59.931481_30.334724.json", "59.931481_30.334724.json")</f>
        <v/>
      </c>
      <c r="U734" t="inlineStr">
        <is>
          <t>78:31:0001139:3101</t>
        </is>
      </c>
      <c r="V734" t="n">
        <v>1</v>
      </c>
      <c r="Y734" t="n">
        <v>0</v>
      </c>
      <c r="AA734" t="n">
        <v>0</v>
      </c>
      <c r="AB734" t="n">
        <v>0</v>
      </c>
    </row>
    <row r="735">
      <c r="A735" s="7" t="n">
        <v>733</v>
      </c>
      <c r="B735" t="n">
        <v>78</v>
      </c>
      <c r="C735" s="1" t="n">
        <v>19</v>
      </c>
      <c r="D735" s="2">
        <f>HYPERLINK("https://torgi.gov.ru/new/public/lots/lot/21000002210000000562_1/(lotInfo:info)", "21000002210000000562_1")</f>
        <v/>
      </c>
      <c r="E735" t="inlineStr">
        <is>
          <t>Нежилое помещение, расположенное по адресу: Санкт-Петербург, ул. Жени Егоровой, д. 10, корп. 1, литера А, пом. 2-Н, площадь 19 кв.м, назначение: нежилое помещение, наименование: нежилое помещение, этаж №1, кадастровый номер 78:36:0005502:2316</t>
        </is>
      </c>
      <c r="F735" s="3" t="inlineStr">
        <is>
          <t>27.06.22 20:00</t>
        </is>
      </c>
      <c r="G735" t="inlineStr">
        <is>
          <t>г Санкт-Петербург, ул Жени Егоровой, д 10 к 1 литера А, помещ 2-Н</t>
        </is>
      </c>
      <c r="H735" s="4" t="n">
        <v>2880000</v>
      </c>
      <c r="I735" s="4" t="n">
        <v>151578.947368421</v>
      </c>
      <c r="J735" t="inlineStr">
        <is>
          <t>Нежилое помещение</t>
        </is>
      </c>
      <c r="K735" s="5" t="n">
        <v>28.87</v>
      </c>
      <c r="L735" s="4" t="n">
        <v>4330.8</v>
      </c>
      <c r="M735" t="n">
        <v>5251</v>
      </c>
      <c r="N735" s="6" t="n">
        <v>5225690</v>
      </c>
      <c r="O735" t="n">
        <v>35</v>
      </c>
      <c r="Q735" t="inlineStr">
        <is>
          <t>EA</t>
        </is>
      </c>
      <c r="R735" t="inlineStr">
        <is>
          <t>М</t>
        </is>
      </c>
      <c r="S735" s="2">
        <f>HYPERLINK("https://yandex.ru/maps/?&amp;text=60.064953, 30.311377", "60.064953, 30.311377")</f>
        <v/>
      </c>
      <c r="T735" s="2">
        <f>HYPERLINK("D:\venv_torgi\env\cache\objs_in_district/60.064953_30.311377.json", "60.064953_30.311377.json")</f>
        <v/>
      </c>
      <c r="U735" t="inlineStr">
        <is>
          <t>78:36:0005502:2316</t>
        </is>
      </c>
      <c r="V735" t="n">
        <v>1</v>
      </c>
      <c r="Y735" t="n">
        <v>0</v>
      </c>
      <c r="AA735" t="n">
        <v>0</v>
      </c>
      <c r="AB735" t="n">
        <v>0</v>
      </c>
    </row>
    <row r="736">
      <c r="A736" s="7" t="n">
        <v>734</v>
      </c>
      <c r="B736" t="n">
        <v>78</v>
      </c>
      <c r="C736" s="1" t="n">
        <v>23.8</v>
      </c>
      <c r="D736" s="2">
        <f>HYPERLINK("https://torgi.gov.ru/new/public/lots/lot/21000002210000000398_1/(lotInfo:info)", "21000002210000000398_1")</f>
        <v/>
      </c>
      <c r="E736" t="inlineStr">
        <is>
          <t>Нежилое помещение, расположенное по адресу: Санкт-Петербург, Английский проспект, д. 17-19, литера А, пом. 40-Н, площадь 23.8 кв.м, назначение: нежилое помещение, этаж № 1, кадастровый номер 78:32:0001083:2524</t>
        </is>
      </c>
      <c r="F736" s="3" t="inlineStr">
        <is>
          <t>30.05.22 20:00</t>
        </is>
      </c>
      <c r="G736" t="inlineStr">
        <is>
          <t>г Санкт-Петербург, Английский пр-кт, д 17-19 литера А, помещ 40-Н</t>
        </is>
      </c>
      <c r="H736" s="4" t="n">
        <v>3680000</v>
      </c>
      <c r="I736" s="4" t="n">
        <v>154621.8487394958</v>
      </c>
      <c r="J736" t="inlineStr">
        <is>
          <t>Нежилое помещение</t>
        </is>
      </c>
      <c r="K736" s="5" t="n">
        <v>10.59</v>
      </c>
      <c r="L736" s="4" t="n">
        <v>1044.74</v>
      </c>
      <c r="M736" t="n">
        <v>14596</v>
      </c>
      <c r="N736" s="6" t="n">
        <v>5225690</v>
      </c>
      <c r="O736" t="n">
        <v>148</v>
      </c>
      <c r="Q736" t="inlineStr">
        <is>
          <t>EA</t>
        </is>
      </c>
      <c r="R736" t="inlineStr">
        <is>
          <t>М</t>
        </is>
      </c>
      <c r="S736" s="2">
        <f>HYPERLINK("https://yandex.ru/maps/?&amp;text=59.924149, 30.283708", "59.924149, 30.283708")</f>
        <v/>
      </c>
      <c r="T736" s="2">
        <f>HYPERLINK("D:\venv_torgi\env\cache\objs_in_district/59.924149_30.283708.json", "59.924149_30.283708.json")</f>
        <v/>
      </c>
      <c r="U736" t="inlineStr">
        <is>
          <t>78:32:0001083:2524</t>
        </is>
      </c>
      <c r="V736" t="n">
        <v>1</v>
      </c>
      <c r="Y736" t="n">
        <v>0</v>
      </c>
      <c r="AA736" t="n">
        <v>0</v>
      </c>
      <c r="AB736" t="n">
        <v>0</v>
      </c>
    </row>
    <row r="737">
      <c r="A737" s="7" t="n">
        <v>735</v>
      </c>
      <c r="B737" t="n">
        <v>78</v>
      </c>
      <c r="C737" s="1" t="n">
        <v>13</v>
      </c>
      <c r="D737" s="2">
        <f>HYPERLINK("https://torgi.gov.ru/new/public/lots/lot/21000002210000000298_1/(lotInfo:info)", "21000002210000000298_1")</f>
        <v/>
      </c>
      <c r="E737" t="inlineStr">
        <is>
          <t>Нежилое помещение, расположенное по адресу: Санкт-Петербург, Мясная ул., д. 19-21, литера А, пом. 17-Н, площадь 13 кв.м, назначение: нежилое помещение, этаж № 1, кадастровый номер 78:32:0001077:1223</t>
        </is>
      </c>
      <c r="F737" s="3" t="inlineStr">
        <is>
          <t>11.05.22 20:00</t>
        </is>
      </c>
      <c r="G737" t="inlineStr">
        <is>
          <t>г Санкт-Петербург, ул Мясная, д 19-21 литера А, помещ 17-Н</t>
        </is>
      </c>
      <c r="H737" s="4" t="n">
        <v>2070000</v>
      </c>
      <c r="I737" s="4" t="n">
        <v>159230.7692307692</v>
      </c>
      <c r="J737" t="inlineStr">
        <is>
          <t>Нежилое помещение</t>
        </is>
      </c>
      <c r="K737" s="5" t="n">
        <v>10.46</v>
      </c>
      <c r="L737" s="4" t="n">
        <v>1851.51</v>
      </c>
      <c r="M737" t="n">
        <v>15227</v>
      </c>
      <c r="N737" s="6" t="n">
        <v>5225690</v>
      </c>
      <c r="O737" t="n">
        <v>86</v>
      </c>
      <c r="Q737" t="inlineStr">
        <is>
          <t>EA</t>
        </is>
      </c>
      <c r="R737" t="inlineStr">
        <is>
          <t>М</t>
        </is>
      </c>
      <c r="S737" s="2">
        <f>HYPERLINK("https://yandex.ru/maps/?&amp;text=59.918751, 30.280825", "59.918751, 30.280825")</f>
        <v/>
      </c>
      <c r="T737" s="2">
        <f>HYPERLINK("D:\venv_torgi\env\cache\objs_in_district/59.918751_30.280825.json", "59.918751_30.280825.json")</f>
        <v/>
      </c>
      <c r="U737" t="inlineStr">
        <is>
          <t>78:32:0001077:1223</t>
        </is>
      </c>
      <c r="V737" t="n">
        <v>1</v>
      </c>
      <c r="Y737" t="n">
        <v>0</v>
      </c>
      <c r="AA737" t="n">
        <v>0</v>
      </c>
      <c r="AB737" t="n">
        <v>0</v>
      </c>
    </row>
    <row r="738">
      <c r="A738" s="7" t="n">
        <v>736</v>
      </c>
      <c r="B738" t="n">
        <v>78</v>
      </c>
      <c r="C738" s="1" t="n">
        <v>17.2</v>
      </c>
      <c r="D738" s="2">
        <f>HYPERLINK("https://torgi.gov.ru/new/public/lots/lot/21000002210000000038_1/(lotInfo:info)", "21000002210000000038_1")</f>
        <v/>
      </c>
      <c r="E738" t="inlineStr">
        <is>
          <t>Нежилое помещение, расположенное по адресу: Санкт-Петербург, 4-я Красноармейская ул., д. 14, литера А, пом. 2-Н, площадь 17.2 кв.м, назначение: нежилое помещение, наименование: нежилое помещение, этаж №1, кадастровый номер 78:32:0001669:225</t>
        </is>
      </c>
      <c r="F738" s="3" t="inlineStr">
        <is>
          <t>01.03.22 20:00</t>
        </is>
      </c>
      <c r="G738" t="inlineStr">
        <is>
          <t>г Санкт-Петербург, ул 4-я Красноармейская, д 14 литера А, помещ 2-Н</t>
        </is>
      </c>
      <c r="H738" s="4" t="n">
        <v>2750000</v>
      </c>
      <c r="I738" s="4" t="n">
        <v>159883.7209302326</v>
      </c>
      <c r="J738" t="inlineStr">
        <is>
          <t>Нежилое помещение</t>
        </is>
      </c>
      <c r="K738" s="5" t="n">
        <v>10.55</v>
      </c>
      <c r="L738" s="4" t="n">
        <v>549.4299999999999</v>
      </c>
      <c r="M738" t="n">
        <v>15154</v>
      </c>
      <c r="N738" s="6" t="n">
        <v>5225690</v>
      </c>
      <c r="O738" t="n">
        <v>291</v>
      </c>
      <c r="Q738" t="inlineStr">
        <is>
          <t>EA</t>
        </is>
      </c>
      <c r="R738" t="inlineStr">
        <is>
          <t>М</t>
        </is>
      </c>
      <c r="S738" s="2">
        <f>HYPERLINK("https://yandex.ru/maps/?&amp;text=59.91365, 30.313191", "59.91365, 30.313191")</f>
        <v/>
      </c>
      <c r="T738" s="2">
        <f>HYPERLINK("D:\venv_torgi\env\cache\objs_in_district/59.91365_30.313191.json", "59.91365_30.313191.json")</f>
        <v/>
      </c>
      <c r="U738" t="inlineStr">
        <is>
          <t>78:32:0001669:225</t>
        </is>
      </c>
      <c r="V738" t="n">
        <v>1</v>
      </c>
      <c r="Y738" t="n">
        <v>0</v>
      </c>
      <c r="AA738" t="n">
        <v>0</v>
      </c>
      <c r="AB738" t="n">
        <v>0</v>
      </c>
    </row>
    <row r="739">
      <c r="A739" s="7" t="n">
        <v>737</v>
      </c>
      <c r="B739" t="n">
        <v>78</v>
      </c>
      <c r="C739" s="1" t="n">
        <v>28</v>
      </c>
      <c r="D739" s="2">
        <f>HYPERLINK("https://torgi.gov.ru/new/public/lots/lot/21000002210000000124_1/(lotInfo:info)", "21000002210000000124_1")</f>
        <v/>
      </c>
      <c r="E739" t="inlineStr">
        <is>
          <t>Нежилое помещение, расположенное по адресу: Санкт-Петербург, Большая Конюшенная ул., д. 15, литера Б, пом. 4-Н, площадь 28 кв.м, назначение: нежилое помещение, наименование: нежилое помещение, этаж: цокольный, кадастровый номер 78:31:0001184:4148</t>
        </is>
      </c>
      <c r="F739" s="3" t="inlineStr">
        <is>
          <t>16.03.22 20:00</t>
        </is>
      </c>
      <c r="G739" t="inlineStr">
        <is>
          <t>г Санкт-Петербург, ул Большая Конюшенная, д 15 литера Б, помещ 4-Н</t>
        </is>
      </c>
      <c r="H739" s="4" t="n">
        <v>4500000</v>
      </c>
      <c r="I739" s="4" t="n">
        <v>160714.2857142857</v>
      </c>
      <c r="J739" t="inlineStr">
        <is>
          <t>Нежилое помещение</t>
        </is>
      </c>
      <c r="K739" s="5" t="n">
        <v>32.95</v>
      </c>
      <c r="L739" s="4" t="n">
        <v>539.3099999999999</v>
      </c>
      <c r="M739" t="n">
        <v>4878</v>
      </c>
      <c r="N739" s="6" t="n">
        <v>5225690</v>
      </c>
      <c r="O739" t="n">
        <v>298</v>
      </c>
      <c r="Q739" t="inlineStr">
        <is>
          <t>EA</t>
        </is>
      </c>
      <c r="R739" t="inlineStr">
        <is>
          <t>М</t>
        </is>
      </c>
      <c r="S739" s="2">
        <f>HYPERLINK("https://yandex.ru/maps/?&amp;text=59.939, 30.323234", "59.939, 30.323234")</f>
        <v/>
      </c>
      <c r="T739" s="2">
        <f>HYPERLINK("D:\venv_torgi\env\cache\objs_in_district/59.939_30.323234.json", "59.939_30.323234.json")</f>
        <v/>
      </c>
      <c r="U739" t="inlineStr">
        <is>
          <t>78:31:0001184:4148</t>
        </is>
      </c>
      <c r="V739" t="n">
        <v>0</v>
      </c>
      <c r="Y739" t="n">
        <v>0</v>
      </c>
      <c r="AA739" t="n">
        <v>0</v>
      </c>
      <c r="AB739" t="n">
        <v>0</v>
      </c>
    </row>
    <row r="740">
      <c r="A740" s="7" t="n">
        <v>738</v>
      </c>
      <c r="B740" t="n">
        <v>78</v>
      </c>
      <c r="C740" s="1" t="n">
        <v>24.9</v>
      </c>
      <c r="D740" s="2">
        <f>HYPERLINK("https://torgi.gov.ru/new/public/lots/lot/21000002210000000792_1/(lotInfo:info)", "21000002210000000792_1")</f>
        <v/>
      </c>
      <c r="E740" t="inlineStr">
        <is>
          <t>Нежилое помещение, расположенное по адресу: Санкт-Петербург, наб. реки Фонтанки, д. 24, литера В, пом. 75-Н, площадь 24.9 кв.м, назначение: нежилое помещение, этаж № 1, кадастровый номер 78:31:0001189:3187</t>
        </is>
      </c>
      <c r="F740" s="3" t="inlineStr">
        <is>
          <t>10.08.22 20:00</t>
        </is>
      </c>
      <c r="G740" t="inlineStr">
        <is>
          <t>г Санкт-Петербург, наб Реки Фонтанки, д 24 литера В, помещ 75-Н</t>
        </is>
      </c>
      <c r="H740" s="4" t="n">
        <v>4020000</v>
      </c>
      <c r="I740" s="4" t="n">
        <v>161445.7831325301</v>
      </c>
      <c r="J740" t="inlineStr">
        <is>
          <t>Нежилое помещение</t>
        </is>
      </c>
      <c r="K740" s="5" t="n">
        <v>13.45</v>
      </c>
      <c r="L740" s="4" t="n">
        <v>799.23</v>
      </c>
      <c r="M740" t="n">
        <v>12006</v>
      </c>
      <c r="N740" s="6" t="n">
        <v>5225690</v>
      </c>
      <c r="O740" t="n">
        <v>202</v>
      </c>
      <c r="Q740" t="inlineStr">
        <is>
          <t>EA</t>
        </is>
      </c>
      <c r="R740" t="inlineStr">
        <is>
          <t>М</t>
        </is>
      </c>
      <c r="S740" s="2">
        <f>HYPERLINK("https://yandex.ru/maps/?&amp;text=59.939915, 30.34209", "59.939915, 30.34209")</f>
        <v/>
      </c>
      <c r="T740" s="2">
        <f>HYPERLINK("D:\venv_torgi\env\cache\objs_in_district/59.939915_30.34209.json", "59.939915_30.34209.json")</f>
        <v/>
      </c>
      <c r="U740" t="inlineStr">
        <is>
          <t>78:31:0001189:3187</t>
        </is>
      </c>
      <c r="V740" t="n">
        <v>1</v>
      </c>
      <c r="Y740" t="n">
        <v>0</v>
      </c>
      <c r="AA740" t="n">
        <v>0</v>
      </c>
      <c r="AB740" t="n">
        <v>0</v>
      </c>
    </row>
    <row r="741">
      <c r="A741" s="7" t="n">
        <v>739</v>
      </c>
      <c r="B741" t="n">
        <v>78</v>
      </c>
      <c r="C741" s="1" t="n">
        <v>10.9</v>
      </c>
      <c r="D741" s="2">
        <f>HYPERLINK("https://torgi.gov.ru/new/public/lots/lot/21000002210000000477_1/(lotInfo:info)", "21000002210000000477_1")</f>
        <v/>
      </c>
      <c r="E741" t="inlineStr">
        <is>
          <t>Нежилое помещение, расположенное по адресу: Санкт-Петербург, проспект Обуховской Обороны, д. 89, литера Б, пом. 15-Н, площадь 10.9 кв.м, назначение: нежилое, наименование: офис, этаж №2, кадастровый номер 78:12:0007117:2692</t>
        </is>
      </c>
      <c r="F741" s="3" t="inlineStr">
        <is>
          <t>06.06.22 20:00</t>
        </is>
      </c>
      <c r="G741" t="inlineStr">
        <is>
          <t>г Санкт-Петербург, пр-кт Обуховской Обороны, д 89 литера Б, помещ 15-Н</t>
        </is>
      </c>
      <c r="H741" s="4" t="n">
        <v>1800000</v>
      </c>
      <c r="I741" s="4" t="n">
        <v>165137.6146788991</v>
      </c>
      <c r="J741" t="inlineStr">
        <is>
          <t>офис</t>
        </is>
      </c>
      <c r="K741" s="5" t="n">
        <v>26.19</v>
      </c>
      <c r="L741" s="4" t="n">
        <v>727.48</v>
      </c>
      <c r="M741" t="n">
        <v>6306</v>
      </c>
      <c r="N741" s="6" t="n">
        <v>5225690</v>
      </c>
      <c r="O741" t="n">
        <v>227</v>
      </c>
      <c r="Q741" t="inlineStr">
        <is>
          <t>EA</t>
        </is>
      </c>
      <c r="R741" t="inlineStr">
        <is>
          <t>М</t>
        </is>
      </c>
      <c r="S741" s="2">
        <f>HYPERLINK("https://yandex.ru/maps/?&amp;text=59.8989631, 30.4278453", "59.8989631, 30.4278453")</f>
        <v/>
      </c>
      <c r="T741" s="2">
        <f>HYPERLINK("D:\venv_torgi\env\cache\objs_in_district/59.8989631_30.4278453.json", "59.8989631_30.4278453.json")</f>
        <v/>
      </c>
      <c r="U741" t="inlineStr">
        <is>
          <t>78:12:0007117:2692</t>
        </is>
      </c>
      <c r="V741" t="n">
        <v>2</v>
      </c>
      <c r="Y741" t="n">
        <v>0</v>
      </c>
      <c r="AA741" t="n">
        <v>0</v>
      </c>
      <c r="AB741" t="n">
        <v>0</v>
      </c>
    </row>
    <row r="742">
      <c r="A742" s="7" t="n">
        <v>740</v>
      </c>
      <c r="B742" t="n">
        <v>78</v>
      </c>
      <c r="C742" s="1" t="n">
        <v>13</v>
      </c>
      <c r="D742" s="2">
        <f>HYPERLINK("https://torgi.gov.ru/new/public/lots/lot/21000002210000000505_1/(lotInfo:info)", "21000002210000000505_1")</f>
        <v/>
      </c>
      <c r="E742" t="inlineStr">
        <is>
          <t>Нежилое помещение, расположенное по адресу: Санкт-Петербург, 10-я линия В.О., д. 15б, литера А, пом. 2-Н, площадь 13 кв.м, назначение: нежилое помещение, наименование: нежилое помещение, этаж: цокольный, кадастровый номер 78:06:0002039:2704</t>
        </is>
      </c>
      <c r="F742" s="3" t="inlineStr">
        <is>
          <t>09.06.22 20:00</t>
        </is>
      </c>
      <c r="G742" t="inlineStr">
        <is>
          <t>г Санкт-Петербург, линия 10-я В.О., д 15б литера А, помещ 2-Н</t>
        </is>
      </c>
      <c r="H742" s="4" t="n">
        <v>2190000</v>
      </c>
      <c r="I742" s="4" t="n">
        <v>168461.5384615385</v>
      </c>
      <c r="J742" t="inlineStr">
        <is>
          <t>Нежилое помещение</t>
        </is>
      </c>
      <c r="K742" s="5" t="n">
        <v>19.43</v>
      </c>
      <c r="L742" s="4" t="n">
        <v>578.9</v>
      </c>
      <c r="M742" t="n">
        <v>8669</v>
      </c>
      <c r="N742" s="6" t="n">
        <v>5225690</v>
      </c>
      <c r="O742" t="n">
        <v>291</v>
      </c>
      <c r="Q742" t="inlineStr">
        <is>
          <t>EA</t>
        </is>
      </c>
      <c r="R742" t="inlineStr">
        <is>
          <t>М</t>
        </is>
      </c>
      <c r="S742" s="2">
        <f>HYPERLINK("https://yandex.ru/maps/?&amp;text=59.939753, 30.276163", "59.939753, 30.276163")</f>
        <v/>
      </c>
      <c r="T742" s="2">
        <f>HYPERLINK("D:\venv_torgi\env\cache\objs_in_district/59.939753_30.276163.json", "59.939753_30.276163.json")</f>
        <v/>
      </c>
      <c r="U742" t="inlineStr">
        <is>
          <t>78:06:0002039:2704</t>
        </is>
      </c>
      <c r="V742" t="n">
        <v>0</v>
      </c>
      <c r="Y742" t="n">
        <v>0</v>
      </c>
      <c r="AA742" t="n">
        <v>0</v>
      </c>
      <c r="AB742" t="n">
        <v>0</v>
      </c>
    </row>
    <row r="743">
      <c r="A743" s="7" t="n">
        <v>741</v>
      </c>
      <c r="B743" t="n">
        <v>78</v>
      </c>
      <c r="C743" s="1" t="n">
        <v>15</v>
      </c>
      <c r="D743" s="2">
        <f>HYPERLINK("https://torgi.gov.ru/new/public/lots/lot/21000002210000000060_1/(lotInfo:info)", "21000002210000000060_1")</f>
        <v/>
      </c>
      <c r="E743" t="inlineStr">
        <is>
          <t>Нежилое помещение, расположенное по адресу: Санкт-Петербург, наб. Обводного канала, д. 209, литера А, пом. 15-Н, площадь 15 кв.м, назначение: нежилое, этаж №1, кадастровый номер 78:32:0001663:3051</t>
        </is>
      </c>
      <c r="F743" s="3" t="inlineStr">
        <is>
          <t>03.03.22 20:00</t>
        </is>
      </c>
      <c r="G743" t="inlineStr">
        <is>
          <t>г Санкт-Петербург, наб Обводного канала, д 209 литера А, помещ 15-Н</t>
        </is>
      </c>
      <c r="H743" s="4" t="n">
        <v>2530000</v>
      </c>
      <c r="I743" s="4" t="n">
        <v>168666.6666666667</v>
      </c>
      <c r="J743" t="inlineStr">
        <is>
          <t>Нежилое помещение</t>
        </is>
      </c>
      <c r="K743" s="5" t="n">
        <v>36.48</v>
      </c>
      <c r="L743" s="4" t="n">
        <v>1519.51</v>
      </c>
      <c r="M743" t="n">
        <v>4623</v>
      </c>
      <c r="N743" s="6" t="n">
        <v>5225690</v>
      </c>
      <c r="O743" t="n">
        <v>111</v>
      </c>
      <c r="Q743" t="inlineStr">
        <is>
          <t>EA</t>
        </is>
      </c>
      <c r="R743" t="inlineStr">
        <is>
          <t>М</t>
        </is>
      </c>
      <c r="S743" s="2">
        <f>HYPERLINK("https://yandex.ru/maps/?&amp;text=59.909612, 30.278498", "59.909612, 30.278498")</f>
        <v/>
      </c>
      <c r="T743" s="2">
        <f>HYPERLINK("D:\venv_torgi\env\cache\objs_in_district/59.909612_30.278498.json", "59.909612_30.278498.json")</f>
        <v/>
      </c>
      <c r="U743" t="inlineStr">
        <is>
          <t>78:32:0001663:3051</t>
        </is>
      </c>
      <c r="V743" t="n">
        <v>1</v>
      </c>
      <c r="Y743" t="n">
        <v>0</v>
      </c>
      <c r="AA743" t="n">
        <v>0</v>
      </c>
      <c r="AB743" t="n">
        <v>0</v>
      </c>
    </row>
    <row r="744">
      <c r="A744" s="7" t="n">
        <v>742</v>
      </c>
      <c r="B744" t="n">
        <v>78</v>
      </c>
      <c r="C744" s="1" t="n">
        <v>14.9</v>
      </c>
      <c r="D744" s="2">
        <f>HYPERLINK("https://torgi.gov.ru/new/public/lots/lot/21000002210000000022_1/(lotInfo:info)", "21000002210000000022_1")</f>
        <v/>
      </c>
      <c r="E744" t="inlineStr">
        <is>
          <t>Нежилое помещение, расположенное по адресу: Санкт-Петербург, переулок Макаренко, д. 3, литера А, пом. 2-Н, площадь 14.9 кв.м, назначение: нежилое, этаж №1, кадастровый номер 78:32:0001068:1514</t>
        </is>
      </c>
      <c r="F744" s="3" t="inlineStr">
        <is>
          <t>22.02.22 20:00</t>
        </is>
      </c>
      <c r="G744" t="inlineStr">
        <is>
          <t>г Санкт-Петербург, пер Макаренко, д 3 литера А, помещ 2-Н</t>
        </is>
      </c>
      <c r="H744" s="4" t="n">
        <v>2520000</v>
      </c>
      <c r="I744" s="4" t="n">
        <v>169127.5167785235</v>
      </c>
      <c r="J744" t="inlineStr">
        <is>
          <t>Нежилое помещение</t>
        </is>
      </c>
      <c r="K744" s="5" t="n">
        <v>12.65</v>
      </c>
      <c r="L744" s="4" t="n">
        <v>1191.04</v>
      </c>
      <c r="M744" t="n">
        <v>13366</v>
      </c>
      <c r="N744" s="6" t="n">
        <v>5225690</v>
      </c>
      <c r="O744" t="n">
        <v>142</v>
      </c>
      <c r="Q744" t="inlineStr">
        <is>
          <t>EA</t>
        </is>
      </c>
      <c r="R744" t="inlineStr">
        <is>
          <t>М</t>
        </is>
      </c>
      <c r="S744" s="2">
        <f>HYPERLINK("https://yandex.ru/maps/?&amp;text=59.919491, 30.297363", "59.919491, 30.297363")</f>
        <v/>
      </c>
      <c r="T744" s="2">
        <f>HYPERLINK("D:\venv_torgi\env\cache\objs_in_district/59.919491_30.297363.json", "59.919491_30.297363.json")</f>
        <v/>
      </c>
      <c r="U744" t="inlineStr">
        <is>
          <t>78:32:0001068:1514</t>
        </is>
      </c>
      <c r="V744" t="n">
        <v>1</v>
      </c>
      <c r="Y744" t="n">
        <v>0</v>
      </c>
      <c r="AA744" t="n">
        <v>0</v>
      </c>
      <c r="AB744" t="n">
        <v>0</v>
      </c>
    </row>
    <row r="745">
      <c r="A745" s="7" t="n">
        <v>743</v>
      </c>
      <c r="B745" t="n">
        <v>78</v>
      </c>
      <c r="C745" s="1" t="n">
        <v>31.9</v>
      </c>
      <c r="D745" s="2">
        <f>HYPERLINK("https://torgi.gov.ru/new/public/lots/lot/21000002210000000383_1/(lotInfo:info)", "21000002210000000383_1")</f>
        <v/>
      </c>
      <c r="E745" t="inlineStr">
        <is>
          <t>Нежилое помещение, расположенное по адресу: Санкт-Петербург, Апраксин переулок, д. 9, литера А, пом. 3-Н, площадь 31.9 кв.м, назначение: нежилое, наименование: нежилое помещение, этаж: цокольный, кадастровый номер 78:31:0001057:3086</t>
        </is>
      </c>
      <c r="F745" s="3" t="inlineStr">
        <is>
          <t>25.05.22 20:00</t>
        </is>
      </c>
      <c r="G745" t="inlineStr">
        <is>
          <t>г Санкт-Петербург, Апраксин пер, д 9 литера А, помещ 3-Н</t>
        </is>
      </c>
      <c r="H745" s="4" t="n">
        <v>5400000</v>
      </c>
      <c r="I745" s="4" t="n">
        <v>169278.9968652038</v>
      </c>
      <c r="J745" t="inlineStr">
        <is>
          <t>Нежилое помещение</t>
        </is>
      </c>
      <c r="K745" s="5" t="n">
        <v>18.42</v>
      </c>
      <c r="L745" s="4" t="n">
        <v>461.25</v>
      </c>
      <c r="M745" t="n">
        <v>9189</v>
      </c>
      <c r="N745" s="6" t="n">
        <v>5225690</v>
      </c>
      <c r="O745" t="n">
        <v>367</v>
      </c>
      <c r="Q745" t="inlineStr">
        <is>
          <t>EA</t>
        </is>
      </c>
      <c r="R745" t="inlineStr">
        <is>
          <t>М</t>
        </is>
      </c>
      <c r="S745" s="2">
        <f>HYPERLINK("https://yandex.ru/maps/?&amp;text=59.928176, 30.326082", "59.928176, 30.326082")</f>
        <v/>
      </c>
      <c r="T745" s="2">
        <f>HYPERLINK("D:\venv_torgi\env\cache\objs_in_district/59.928176_30.326082.json", "59.928176_30.326082.json")</f>
        <v/>
      </c>
      <c r="U745" t="inlineStr">
        <is>
          <t>78:31:0001057:3086</t>
        </is>
      </c>
      <c r="V745" t="n">
        <v>0</v>
      </c>
      <c r="Y745" t="n">
        <v>0</v>
      </c>
      <c r="AA745" t="n">
        <v>0</v>
      </c>
      <c r="AB745" t="n">
        <v>0</v>
      </c>
    </row>
    <row r="746">
      <c r="A746" s="7" t="n">
        <v>744</v>
      </c>
      <c r="B746" t="n">
        <v>78</v>
      </c>
      <c r="C746" s="1" t="n">
        <v>42</v>
      </c>
      <c r="D746" s="2">
        <f>HYPERLINK("https://torgi.gov.ru/new/public/lots/lot/21000002210000000639_1/(lotInfo:info)", "21000002210000000639_1")</f>
        <v/>
      </c>
      <c r="E746" t="inlineStr">
        <is>
          <t>Нежилое помещение, расположенное по адресу: Санкт-Петербург, Невский проспект, д. 11/2, литера А, пом. 8-Н, площадь 42 кв.м., назначение: нежилое помещение, этаж №1, кадастровый номер 78:31:0001182:2183</t>
        </is>
      </c>
      <c r="F746" s="3" t="inlineStr">
        <is>
          <t>18.07.22 20:00</t>
        </is>
      </c>
      <c r="G746" t="inlineStr">
        <is>
          <t>г Санкт-Петербург, Невский пр-кт, д 11/2 литера А, помещ 8-Н</t>
        </is>
      </c>
      <c r="H746" s="4" t="n">
        <v>7300000</v>
      </c>
      <c r="I746" s="4" t="n">
        <v>173809.5238095238</v>
      </c>
      <c r="J746" t="inlineStr">
        <is>
          <t>Нежилое помещение</t>
        </is>
      </c>
      <c r="K746" s="5" t="n">
        <v>44.29</v>
      </c>
      <c r="L746" s="4" t="n">
        <v>700.84</v>
      </c>
      <c r="M746" t="n">
        <v>3924</v>
      </c>
      <c r="N746" s="6" t="n">
        <v>5225690</v>
      </c>
      <c r="O746" t="n">
        <v>248</v>
      </c>
      <c r="Q746" t="inlineStr">
        <is>
          <t>EA</t>
        </is>
      </c>
      <c r="R746" t="inlineStr">
        <is>
          <t>М</t>
        </is>
      </c>
      <c r="S746" s="2">
        <f>HYPERLINK("https://yandex.ru/maps/?&amp;text=59.9363379, 30.3159641", "59.9363379, 30.3159641")</f>
        <v/>
      </c>
      <c r="T746" s="2">
        <f>HYPERLINK("D:\venv_torgi\env\cache\objs_in_district/59.9363379_30.3159641.json", "59.9363379_30.3159641.json")</f>
        <v/>
      </c>
      <c r="U746" t="inlineStr">
        <is>
          <t>78:31:0001182:2183</t>
        </is>
      </c>
      <c r="V746" t="n">
        <v>1</v>
      </c>
      <c r="Y746" t="n">
        <v>0</v>
      </c>
      <c r="AA746" t="n">
        <v>0</v>
      </c>
      <c r="AB746" t="n">
        <v>0</v>
      </c>
    </row>
    <row r="747">
      <c r="A747" s="7" t="n">
        <v>745</v>
      </c>
      <c r="B747" t="n">
        <v>78</v>
      </c>
      <c r="C747" s="1" t="n">
        <v>17.8</v>
      </c>
      <c r="D747" s="2">
        <f>HYPERLINK("https://torgi.gov.ru/new/public/lots/lot/21000002210000000428_1/(lotInfo:info)", "21000002210000000428_1")</f>
        <v/>
      </c>
      <c r="E747" t="inlineStr">
        <is>
          <t>Нежилое помещение, расположенное по адресу: Санкт-Петербург, Итальянская ул., д. 12, литера Е, пом. 6-Н, площадь 17.8 кв.м, назначение: нежилое помещение, этаж № 2, кадастровый номер 78:31:0001264:1185</t>
        </is>
      </c>
      <c r="F747" s="3" t="inlineStr">
        <is>
          <t>18.05.22 20:00</t>
        </is>
      </c>
      <c r="G747" t="inlineStr">
        <is>
          <t>г Санкт-Петербург, ул Итальянская, д 12 литера Е, помещ 6-Н</t>
        </is>
      </c>
      <c r="H747" s="4" t="n">
        <v>3100000</v>
      </c>
      <c r="I747" s="4" t="n">
        <v>174157.3033707865</v>
      </c>
      <c r="J747" t="inlineStr">
        <is>
          <t>Нежилое помещение</t>
        </is>
      </c>
      <c r="K747" s="5" t="n">
        <v>28</v>
      </c>
      <c r="L747" s="4" t="n">
        <v>445.41</v>
      </c>
      <c r="M747" t="n">
        <v>6219</v>
      </c>
      <c r="N747" s="6" t="n">
        <v>5225690</v>
      </c>
      <c r="O747" t="n">
        <v>391</v>
      </c>
      <c r="Q747" t="inlineStr">
        <is>
          <t>EA</t>
        </is>
      </c>
      <c r="R747" t="inlineStr">
        <is>
          <t>М</t>
        </is>
      </c>
      <c r="S747" s="2">
        <f>HYPERLINK("https://yandex.ru/maps/?&amp;text=59.936079, 30.33776", "59.936079, 30.33776")</f>
        <v/>
      </c>
      <c r="T747" s="2">
        <f>HYPERLINK("D:\venv_torgi\env\cache\objs_in_district/59.936079_30.33776.json", "59.936079_30.33776.json")</f>
        <v/>
      </c>
      <c r="U747" t="inlineStr">
        <is>
          <t>78:31:0001264:1185</t>
        </is>
      </c>
      <c r="V747" t="n">
        <v>2</v>
      </c>
      <c r="Y747" t="n">
        <v>0</v>
      </c>
      <c r="AA747" t="n">
        <v>0</v>
      </c>
      <c r="AB747" t="n">
        <v>0</v>
      </c>
    </row>
    <row r="748">
      <c r="A748" s="7" t="n">
        <v>746</v>
      </c>
      <c r="B748" t="n">
        <v>78</v>
      </c>
      <c r="C748" s="1" t="n">
        <v>24.2</v>
      </c>
      <c r="D748" s="2">
        <f>HYPERLINK("https://torgi.gov.ru/new/public/lots/lot/21000002210000000072_1/(lotInfo:info)", "21000002210000000072_1")</f>
        <v/>
      </c>
      <c r="E748" t="inlineStr">
        <is>
          <t>Нежилое помещение, расположенное по адресу: Санкт-Петербург, Петергофское шоссе, д. 3, корп. 1, литера Д, пом. 5-Н, площадь 24.2 кв.м, назначение: нежилое помещение, наименование: нежилое помещение, этаж №1, кадастровый номер 78:40:0008309:5227</t>
        </is>
      </c>
      <c r="F748" s="3" t="inlineStr">
        <is>
          <t>05.03.22 20:00</t>
        </is>
      </c>
      <c r="G748" t="inlineStr">
        <is>
          <t>г Санкт-Петербург, Петергофское шоссе, д 3 к 1 литера Д, помещ 5-Н</t>
        </is>
      </c>
      <c r="H748" s="4" t="n">
        <v>4240000</v>
      </c>
      <c r="I748" s="4" t="n">
        <v>175206.6115702479</v>
      </c>
      <c r="J748" t="inlineStr">
        <is>
          <t>Нежилое помещение</t>
        </is>
      </c>
      <c r="K748" s="5" t="n">
        <v>12.14</v>
      </c>
      <c r="L748" s="4" t="n">
        <v>3650.12</v>
      </c>
      <c r="M748" t="n">
        <v>14430</v>
      </c>
      <c r="N748" s="6" t="n">
        <v>5225690</v>
      </c>
      <c r="O748" t="n">
        <v>48</v>
      </c>
      <c r="Q748" t="inlineStr">
        <is>
          <t>EA</t>
        </is>
      </c>
      <c r="R748" t="inlineStr">
        <is>
          <t>М</t>
        </is>
      </c>
      <c r="S748" s="2">
        <f>HYPERLINK("https://yandex.ru/maps/?&amp;text=59.847652, 30.205474", "59.847652, 30.205474")</f>
        <v/>
      </c>
      <c r="T748" s="2">
        <f>HYPERLINK("D:\venv_torgi\env\cache\objs_in_district/59.847652_30.205474.json", "59.847652_30.205474.json")</f>
        <v/>
      </c>
      <c r="U748" t="inlineStr">
        <is>
          <t>78:40:0008309:5227</t>
        </is>
      </c>
      <c r="V748" t="n">
        <v>1</v>
      </c>
      <c r="Y748" t="n">
        <v>0</v>
      </c>
      <c r="AA748" t="n">
        <v>0</v>
      </c>
      <c r="AB748" t="n">
        <v>0</v>
      </c>
    </row>
    <row r="749">
      <c r="A749" s="7" t="n">
        <v>747</v>
      </c>
      <c r="B749" t="n">
        <v>78</v>
      </c>
      <c r="C749" s="1" t="n">
        <v>20.2</v>
      </c>
      <c r="D749" s="2">
        <f>HYPERLINK("https://torgi.gov.ru/new/public/lots/lot/21000002210000000147_1/(lotInfo:info)", "21000002210000000147_1")</f>
        <v/>
      </c>
      <c r="E749" t="inlineStr">
        <is>
          <t>Нежилое помещение, расположенное по адресу: Санкт-Петербург, 8-я Красноармейская ул., д. 4/5, литера А, пом. 1-Н, площадь 20.2 кв.м, назначение: нежилое помещение, наименование: нежилое помещение, этаж №1, кадастровый номер 78:32:0001651:1077</t>
        </is>
      </c>
      <c r="F749" s="3" t="inlineStr">
        <is>
          <t>21.03.22 20:00</t>
        </is>
      </c>
      <c r="G749" t="inlineStr">
        <is>
          <t>г Санкт-Петербург, ул 8-я Красноармейская, д 4/5 литера А, помещ 1-Н</t>
        </is>
      </c>
      <c r="H749" s="4" t="n">
        <v>3540000</v>
      </c>
      <c r="I749" s="4" t="n">
        <v>175247.5247524753</v>
      </c>
      <c r="J749" t="inlineStr">
        <is>
          <t>Нежилое помещение</t>
        </is>
      </c>
      <c r="K749" s="5" t="n">
        <v>21.08</v>
      </c>
      <c r="L749" s="4" t="n">
        <v>1472.66</v>
      </c>
      <c r="M749" t="n">
        <v>8314</v>
      </c>
      <c r="N749" s="6" t="n">
        <v>5225690</v>
      </c>
      <c r="O749" t="n">
        <v>119</v>
      </c>
      <c r="Q749" t="inlineStr">
        <is>
          <t>EA</t>
        </is>
      </c>
      <c r="R749" t="inlineStr">
        <is>
          <t>М</t>
        </is>
      </c>
      <c r="S749" s="2">
        <f>HYPERLINK("https://yandex.ru/maps/?&amp;text=59.91432, 30.30535", "59.91432, 30.30535")</f>
        <v/>
      </c>
      <c r="T749" s="2">
        <f>HYPERLINK("D:\venv_torgi\env\cache\objs_in_district/59.91432_30.30535.json", "59.91432_30.30535.json")</f>
        <v/>
      </c>
      <c r="U749" t="inlineStr">
        <is>
          <t>78:32:0001651:1077</t>
        </is>
      </c>
      <c r="V749" t="n">
        <v>1</v>
      </c>
      <c r="Y749" t="n">
        <v>0</v>
      </c>
      <c r="AA749" t="n">
        <v>0</v>
      </c>
      <c r="AB749" t="n">
        <v>0</v>
      </c>
    </row>
    <row r="750">
      <c r="A750" s="7" t="n">
        <v>748</v>
      </c>
      <c r="B750" t="n">
        <v>78</v>
      </c>
      <c r="C750" s="1" t="n">
        <v>17.4</v>
      </c>
      <c r="D750" s="2">
        <f>HYPERLINK("https://torgi.gov.ru/new/public/lots/lot/21000002210000000045_1/(lotInfo:info)", "21000002210000000045_1")</f>
        <v/>
      </c>
      <c r="E750" t="inlineStr">
        <is>
          <t>Нежилое помещение, расположенное по адресу: Санкт-Петербург, Наличная ул., д. 44, корп. 2, литера А, пом. 24-Н, площадь 17.4 кв.м., назначение: нежилое помещение, наименование: нежилое помещение, этаж №1, кадастровый номер 78:06:0002202:12857</t>
        </is>
      </c>
      <c r="F750" s="3" t="inlineStr">
        <is>
          <t>01.03.22 20:00</t>
        </is>
      </c>
      <c r="G750" t="inlineStr">
        <is>
          <t>г Санкт-Петербург, ул Наличная, д 44 к 2 литера А, помещ 24-Н</t>
        </is>
      </c>
      <c r="H750" s="4" t="n">
        <v>3080000</v>
      </c>
      <c r="I750" s="4" t="n">
        <v>177011.4942528736</v>
      </c>
      <c r="J750" t="inlineStr">
        <is>
          <t>Нежилое помещение</t>
        </is>
      </c>
      <c r="K750" s="5" t="n">
        <v>18.32</v>
      </c>
      <c r="L750" s="4" t="n">
        <v>1945.18</v>
      </c>
      <c r="M750" t="n">
        <v>9662</v>
      </c>
      <c r="N750" s="6" t="n">
        <v>5225690</v>
      </c>
      <c r="O750" t="n">
        <v>91</v>
      </c>
      <c r="Q750" t="inlineStr">
        <is>
          <t>EA</t>
        </is>
      </c>
      <c r="R750" t="inlineStr">
        <is>
          <t>М</t>
        </is>
      </c>
      <c r="S750" s="2">
        <f>HYPERLINK("https://yandex.ru/maps/?&amp;text=59.952074, 30.232891", "59.952074, 30.232891")</f>
        <v/>
      </c>
      <c r="T750" s="2">
        <f>HYPERLINK("D:\venv_torgi\env\cache\objs_in_district/59.952074_30.232891.json", "59.952074_30.232891.json")</f>
        <v/>
      </c>
      <c r="U750" t="inlineStr">
        <is>
          <t>78:06:0002202:12857</t>
        </is>
      </c>
      <c r="V750" t="n">
        <v>1</v>
      </c>
      <c r="Y750" t="n">
        <v>0</v>
      </c>
      <c r="AA750" t="n">
        <v>0</v>
      </c>
      <c r="AB750" t="n">
        <v>0</v>
      </c>
    </row>
    <row r="751">
      <c r="A751" s="7" t="n">
        <v>749</v>
      </c>
      <c r="B751" t="n">
        <v>78</v>
      </c>
      <c r="C751" s="1" t="n">
        <v>13.3</v>
      </c>
      <c r="D751" s="2">
        <f>HYPERLINK("https://torgi.gov.ru/new/public/lots/lot/21000002210000000116_1/(lotInfo:info)", "21000002210000000116_1")</f>
        <v/>
      </c>
      <c r="E751" t="inlineStr">
        <is>
          <t>Нежилое помещение, расположенное по адресу: Санкт-Петербург, Ивановская ул., д. 15, литера А, пом. 3-Н, площадь 13.3 кв.м, назначение: нежилое помещение, наименование: офис, этаж № 1, кадастровый номер 78:12:0713901:3356</t>
        </is>
      </c>
      <c r="F751" s="3" t="inlineStr">
        <is>
          <t>15.03.22 20:00</t>
        </is>
      </c>
      <c r="G751" t="inlineStr">
        <is>
          <t>г Санкт-Петербург, ул Ивановская, д 15 литера А, помещ 3-Н</t>
        </is>
      </c>
      <c r="H751" s="4" t="n">
        <v>2370000</v>
      </c>
      <c r="I751" s="4" t="n">
        <v>178195.4887218045</v>
      </c>
      <c r="J751" t="inlineStr">
        <is>
          <t>офис</t>
        </is>
      </c>
      <c r="K751" s="5" t="n">
        <v>19.94</v>
      </c>
      <c r="L751" s="4" t="n">
        <v>565.7</v>
      </c>
      <c r="M751" t="n">
        <v>8937</v>
      </c>
      <c r="N751" s="6" t="n">
        <v>5225690</v>
      </c>
      <c r="O751" t="n">
        <v>315</v>
      </c>
      <c r="Q751" t="inlineStr">
        <is>
          <t>EA</t>
        </is>
      </c>
      <c r="R751" t="inlineStr">
        <is>
          <t>М</t>
        </is>
      </c>
      <c r="S751" s="2">
        <f>HYPERLINK("https://yandex.ru/maps/?&amp;text=59.875181, 30.440096", "59.875181, 30.440096")</f>
        <v/>
      </c>
      <c r="T751" s="2">
        <f>HYPERLINK("D:\venv_torgi\env\cache\objs_in_district/59.875181_30.440096.json", "59.875181_30.440096.json")</f>
        <v/>
      </c>
      <c r="U751" t="inlineStr">
        <is>
          <t>78:12:0713901:3356</t>
        </is>
      </c>
      <c r="V751" t="n">
        <v>1</v>
      </c>
      <c r="Y751" t="n">
        <v>0</v>
      </c>
      <c r="AA751" t="n">
        <v>0</v>
      </c>
      <c r="AB751" t="n">
        <v>0</v>
      </c>
    </row>
    <row r="752">
      <c r="A752" s="7" t="n">
        <v>750</v>
      </c>
      <c r="B752" t="n">
        <v>78</v>
      </c>
      <c r="C752" s="1" t="n">
        <v>17.2</v>
      </c>
      <c r="D752" s="2">
        <f>HYPERLINK("https://torgi.gov.ru/new/public/lots/lot/21000002210000000514_1/(lotInfo:info)", "21000002210000000514_1")</f>
        <v/>
      </c>
      <c r="E752" t="inlineStr">
        <is>
          <t>Нежилое помещение, расположенное по адресу: Санкт-Петербург, проспект Римского-Корсакова, д. 31, литера А, пом. 11-Н, площадь 17.2 кв.м, назначение: нежилое помещение, наименование: нежилое помещение, этаж №2, кадастровый номер 78:32:0001250:2312</t>
        </is>
      </c>
      <c r="F752" s="3" t="inlineStr">
        <is>
          <t>09.06.22 20:00</t>
        </is>
      </c>
      <c r="G752" t="inlineStr">
        <is>
          <t>г Санкт-Петербург, пр-кт Римского-Корсакова, д 31 литера А, помещ 11-Н</t>
        </is>
      </c>
      <c r="H752" s="4" t="n">
        <v>3100000</v>
      </c>
      <c r="I752" s="4" t="n">
        <v>180232.5581395349</v>
      </c>
      <c r="J752" t="inlineStr">
        <is>
          <t>Нежилое помещение</t>
        </is>
      </c>
      <c r="K752" s="5" t="n">
        <v>18.19</v>
      </c>
      <c r="L752" s="4" t="n">
        <v>1234.47</v>
      </c>
      <c r="M752" t="n">
        <v>9906</v>
      </c>
      <c r="N752" s="6" t="n">
        <v>5225690</v>
      </c>
      <c r="O752" t="n">
        <v>146</v>
      </c>
      <c r="Q752" t="inlineStr">
        <is>
          <t>EA</t>
        </is>
      </c>
      <c r="R752" t="inlineStr">
        <is>
          <t>М</t>
        </is>
      </c>
      <c r="S752" s="2">
        <f>HYPERLINK("https://yandex.ru/maps/?&amp;text=59.924055, 30.300794", "59.924055, 30.300794")</f>
        <v/>
      </c>
      <c r="T752" s="2">
        <f>HYPERLINK("D:\venv_torgi\env\cache\objs_in_district/59.924055_30.300794.json", "59.924055_30.300794.json")</f>
        <v/>
      </c>
      <c r="U752" t="inlineStr">
        <is>
          <t>78:32:0001250:2312</t>
        </is>
      </c>
      <c r="V752" t="n">
        <v>2</v>
      </c>
      <c r="Y752" t="n">
        <v>0</v>
      </c>
      <c r="AA752" t="n">
        <v>0</v>
      </c>
      <c r="AB752" t="n">
        <v>0</v>
      </c>
    </row>
    <row r="753">
      <c r="A753" s="7" t="n">
        <v>751</v>
      </c>
      <c r="B753" t="n">
        <v>78</v>
      </c>
      <c r="C753" s="1" t="n">
        <v>20.1</v>
      </c>
      <c r="D753" s="2">
        <f>HYPERLINK("https://torgi.gov.ru/new/public/lots/lot/21000002210000000610_1/(lotInfo:info)", "21000002210000000610_1")</f>
        <v/>
      </c>
      <c r="E753" t="inlineStr">
        <is>
          <t>Нежилое помещение, расположенное по адресу: Санкт-Петербург, ул. Декабристов, д. 17, литера А, пом. 5-Н, площадь 20.1 кв.м, назначение: нежилое помещение, этаж: цокольный, кадастровый номер  78:32:0001253:243</t>
        </is>
      </c>
      <c r="F753" s="3" t="inlineStr">
        <is>
          <t>12.07.22 20:00</t>
        </is>
      </c>
      <c r="G753" t="inlineStr">
        <is>
          <t>г Санкт-Петербург, ул Декабристов, д 17 литера А, помещ 5-Н</t>
        </is>
      </c>
      <c r="H753" s="4" t="n">
        <v>3790000</v>
      </c>
      <c r="I753" s="4" t="n">
        <v>188557.2139303483</v>
      </c>
      <c r="J753" t="inlineStr">
        <is>
          <t>Нежилое помещение</t>
        </is>
      </c>
      <c r="K753" s="5" t="n">
        <v>17.29</v>
      </c>
      <c r="L753" s="4" t="n">
        <v>1274.03</v>
      </c>
      <c r="M753" t="n">
        <v>10908</v>
      </c>
      <c r="N753" s="6" t="n">
        <v>5225690</v>
      </c>
      <c r="O753" t="n">
        <v>148</v>
      </c>
      <c r="Q753" t="inlineStr">
        <is>
          <t>EA</t>
        </is>
      </c>
      <c r="R753" t="inlineStr">
        <is>
          <t>М</t>
        </is>
      </c>
      <c r="S753" s="2">
        <f>HYPERLINK("https://yandex.ru/maps/?&amp;text=59.92796, 30.30163", "59.92796, 30.30163")</f>
        <v/>
      </c>
      <c r="T753" s="2">
        <f>HYPERLINK("D:\venv_torgi\env\cache\objs_in_district/59.92796_30.30163.json", "59.92796_30.30163.json")</f>
        <v/>
      </c>
      <c r="U753" t="inlineStr">
        <is>
          <t>78:32:0001253:243</t>
        </is>
      </c>
      <c r="V753" t="n">
        <v>0</v>
      </c>
      <c r="Y753" t="n">
        <v>0</v>
      </c>
      <c r="AA753" t="n">
        <v>0</v>
      </c>
      <c r="AB753" t="n">
        <v>0</v>
      </c>
    </row>
    <row r="754">
      <c r="A754" s="7" t="n">
        <v>752</v>
      </c>
      <c r="B754" t="n">
        <v>78</v>
      </c>
      <c r="C754" s="1" t="n">
        <v>11.3</v>
      </c>
      <c r="D754" s="2">
        <f>HYPERLINK("https://torgi.gov.ru/new/public/lots/lot/21000002210000000791_1/(lotInfo:info)", "21000002210000000791_1")</f>
        <v/>
      </c>
      <c r="E754" t="inlineStr">
        <is>
          <t>Нежилое помещение, расположенное по адресу: Санкт-Петербург, Митавский переулок, д. 10, литера А, пом. 3-Н, площадь 11.3 кв.м, назначение: нежилое помещение, наименование: нежилое помещение, этаж № 1, кадастровый номер 78:31:0001214:2160</t>
        </is>
      </c>
      <c r="F754" s="3" t="inlineStr">
        <is>
          <t>10.08.22 20:00</t>
        </is>
      </c>
      <c r="G754" t="inlineStr">
        <is>
          <t>г Санкт-Петербург, Митавский пер, д 10 литера А, помещ 3-Н</t>
        </is>
      </c>
      <c r="H754" s="4" t="n">
        <v>2176000</v>
      </c>
      <c r="I754" s="4" t="n">
        <v>192566.3716814159</v>
      </c>
      <c r="J754" t="inlineStr">
        <is>
          <t>Нежилое помещение</t>
        </is>
      </c>
      <c r="K754" s="5" t="n">
        <v>18.89</v>
      </c>
      <c r="L754" s="4" t="n">
        <v>623.1900000000001</v>
      </c>
      <c r="M754" t="n">
        <v>10194</v>
      </c>
      <c r="N754" s="6" t="n">
        <v>5225690</v>
      </c>
      <c r="O754" t="n">
        <v>309</v>
      </c>
      <c r="Q754" t="inlineStr">
        <is>
          <t>EA</t>
        </is>
      </c>
      <c r="R754" t="inlineStr">
        <is>
          <t>М</t>
        </is>
      </c>
      <c r="S754" s="2">
        <f>HYPERLINK("https://yandex.ru/maps/?&amp;text=59.940393, 30.359904", "59.940393, 30.359904")</f>
        <v/>
      </c>
      <c r="T754" s="2">
        <f>HYPERLINK("D:\venv_torgi\env\cache\objs_in_district/59.940393_30.359904.json", "59.940393_30.359904.json")</f>
        <v/>
      </c>
      <c r="U754" t="inlineStr">
        <is>
          <t>78:31:0001214:2160</t>
        </is>
      </c>
      <c r="V754" t="n">
        <v>1</v>
      </c>
      <c r="Y754" t="n">
        <v>0</v>
      </c>
      <c r="AA754" t="n">
        <v>0</v>
      </c>
      <c r="AB754" t="n">
        <v>0</v>
      </c>
    </row>
    <row r="755">
      <c r="A755" s="7" t="n">
        <v>753</v>
      </c>
      <c r="B755" t="n">
        <v>78</v>
      </c>
      <c r="C755" s="1" t="n">
        <v>37.5</v>
      </c>
      <c r="D755" s="2">
        <f>HYPERLINK("https://torgi.gov.ru/new/public/lots/lot/21000002210000000508_1/(lotInfo:info)", "21000002210000000508_1")</f>
        <v/>
      </c>
      <c r="E755" t="inlineStr">
        <is>
          <t>Нежилое помещение, расположенное по адресу: Санкт-Петербург, Каменноостровский проспект, д. 45, литера Г, пом. 6-Н, площадь 37.5 кв.м, назначение: нежилое помещение, наименование: нежилое помещение, этаж: цокольный, кадастровый номер 78:07:0003116:2244</t>
        </is>
      </c>
      <c r="F755" s="3" t="inlineStr">
        <is>
          <t>09.06.22 20:00</t>
        </is>
      </c>
      <c r="G755" t="inlineStr">
        <is>
          <t>г Санкт-Петербург, Каменноостровский пр-кт, д 45 литера Г</t>
        </is>
      </c>
      <c r="H755" s="4" t="n">
        <v>7320000</v>
      </c>
      <c r="I755" s="4" t="n">
        <v>195200</v>
      </c>
      <c r="J755" t="inlineStr">
        <is>
          <t>Нежилое помещение</t>
        </is>
      </c>
      <c r="K755" s="5" t="n">
        <v>26.17</v>
      </c>
      <c r="L755" s="4" t="n">
        <v>899.54</v>
      </c>
      <c r="M755" t="n">
        <v>7458</v>
      </c>
      <c r="N755" s="6" t="n">
        <v>5225690</v>
      </c>
      <c r="O755" t="n">
        <v>217</v>
      </c>
      <c r="Q755" t="inlineStr">
        <is>
          <t>EA</t>
        </is>
      </c>
      <c r="R755" t="inlineStr">
        <is>
          <t>М</t>
        </is>
      </c>
      <c r="S755" s="2">
        <f>HYPERLINK("https://yandex.ru/maps/?&amp;text=59.968871, 30.308996", "59.968871, 30.308996")</f>
        <v/>
      </c>
      <c r="T755" s="2">
        <f>HYPERLINK("D:\venv_torgi\env\cache\objs_in_district/59.968871_30.308996.json", "59.968871_30.308996.json")</f>
        <v/>
      </c>
      <c r="U755" t="inlineStr">
        <is>
          <t>78:07:0003116:2244</t>
        </is>
      </c>
      <c r="V755" t="n">
        <v>0</v>
      </c>
      <c r="Y755" t="n">
        <v>0</v>
      </c>
      <c r="AA755" t="n">
        <v>0</v>
      </c>
      <c r="AB755" t="n">
        <v>0</v>
      </c>
    </row>
    <row r="756">
      <c r="A756" s="7" t="n">
        <v>754</v>
      </c>
      <c r="B756" t="n">
        <v>78</v>
      </c>
      <c r="C756" s="1" t="n">
        <v>25.8</v>
      </c>
      <c r="D756" s="2">
        <f>HYPERLINK("https://torgi.gov.ru/new/public/lots/lot/21000002210000000097_1/(lotInfo:info)", "21000002210000000097_1")</f>
        <v/>
      </c>
      <c r="E756" t="inlineStr">
        <is>
          <t>Нежилое помещение, расположенное по адресу: Санкт-Петербург, Столярный переулок, д. 18/69, литера А, пом. 33-Н, площадь 25.8 кв.м, назначение: нежилое помещение, наименование: контора, этаж №1, кадастровый номер 78:32:0001234:1114</t>
        </is>
      </c>
      <c r="F756" s="3" t="inlineStr">
        <is>
          <t>11.03.22 20:00</t>
        </is>
      </c>
      <c r="G756" t="inlineStr">
        <is>
          <t>г Санкт-Петербург, Столярный пер, д 18/69 литера А, помещ 33-Н</t>
        </is>
      </c>
      <c r="H756" s="4" t="n">
        <v>5300000</v>
      </c>
      <c r="I756" s="4" t="n">
        <v>205426.3565891473</v>
      </c>
      <c r="J756" t="inlineStr">
        <is>
          <t>Нежилое помещение</t>
        </is>
      </c>
      <c r="K756" s="5" t="n">
        <v>19.6</v>
      </c>
      <c r="L756" s="4" t="n">
        <v>471.16</v>
      </c>
      <c r="M756" t="n">
        <v>10480</v>
      </c>
      <c r="N756" s="6" t="n">
        <v>5225690</v>
      </c>
      <c r="O756" t="n">
        <v>436</v>
      </c>
      <c r="Q756" t="inlineStr">
        <is>
          <t>EA</t>
        </is>
      </c>
      <c r="R756" t="inlineStr">
        <is>
          <t>М</t>
        </is>
      </c>
      <c r="S756" s="2">
        <f>HYPERLINK("https://yandex.ru/maps/?&amp;text=59.92639, 30.313281", "59.92639, 30.313281")</f>
        <v/>
      </c>
      <c r="T756" s="2">
        <f>HYPERLINK("D:\venv_torgi\env\cache\objs_in_district/59.92639_30.313281.json", "59.92639_30.313281.json")</f>
        <v/>
      </c>
      <c r="U756" t="inlineStr">
        <is>
          <t>78:32:0001234:1114</t>
        </is>
      </c>
      <c r="V756" t="n">
        <v>1</v>
      </c>
      <c r="Y756" t="n">
        <v>0</v>
      </c>
      <c r="AA756" t="n">
        <v>0</v>
      </c>
      <c r="AB756" t="n">
        <v>0</v>
      </c>
    </row>
    <row r="757">
      <c r="A757" s="7" t="n">
        <v>755</v>
      </c>
      <c r="B757" t="n">
        <v>78</v>
      </c>
      <c r="C757" s="1" t="n">
        <v>14.5</v>
      </c>
      <c r="D757" s="2">
        <f>HYPERLINK("https://torgi.gov.ru/new/public/lots/lot/21000002210000000560_1/(lotInfo:info)", "21000002210000000560_1")</f>
        <v/>
      </c>
      <c r="E757" t="inlineStr">
        <is>
          <t>Нежилое помещение, расположенное по адресу: Санкт-Петербург, Угловой переулок, д. 9, литера А, пом. 3-Н, площадь 14.5 кв.м, назначение: нежилое помещение, этаж №1, кадастровый номер 78:32:0001717:1810</t>
        </is>
      </c>
      <c r="F757" s="3" t="inlineStr">
        <is>
          <t>27.06.22 20:00</t>
        </is>
      </c>
      <c r="G757" t="inlineStr">
        <is>
          <t>г Санкт-Петербург, Угловой пер, д 9 литера А, помещ 3-Н</t>
        </is>
      </c>
      <c r="H757" s="4" t="n">
        <v>3010000</v>
      </c>
      <c r="I757" s="4" t="n">
        <v>207586.2068965517</v>
      </c>
      <c r="J757" t="inlineStr">
        <is>
          <t>Нежилое помещение</t>
        </is>
      </c>
      <c r="K757" s="5" t="n">
        <v>24.86</v>
      </c>
      <c r="L757" s="4" t="n">
        <v>1281.4</v>
      </c>
      <c r="M757" t="n">
        <v>8350</v>
      </c>
      <c r="N757" s="6" t="n">
        <v>5225690</v>
      </c>
      <c r="O757" t="n">
        <v>162</v>
      </c>
      <c r="Q757" t="inlineStr">
        <is>
          <t>EA</t>
        </is>
      </c>
      <c r="R757" t="inlineStr">
        <is>
          <t>М</t>
        </is>
      </c>
      <c r="S757" s="2">
        <f>HYPERLINK("https://yandex.ru/maps/?&amp;text=59.909815, 30.315787", "59.909815, 30.315787")</f>
        <v/>
      </c>
      <c r="T757" s="2">
        <f>HYPERLINK("D:\venv_torgi\env\cache\objs_in_district/59.909815_30.315787.json", "59.909815_30.315787.json")</f>
        <v/>
      </c>
      <c r="U757" t="inlineStr">
        <is>
          <t>78:32:0001717:1810</t>
        </is>
      </c>
      <c r="V757" t="n">
        <v>1</v>
      </c>
      <c r="Y757" t="n">
        <v>0</v>
      </c>
      <c r="AA757" t="n">
        <v>0</v>
      </c>
      <c r="AB757" t="n">
        <v>0</v>
      </c>
    </row>
    <row r="758">
      <c r="A758" s="7" t="n">
        <v>756</v>
      </c>
      <c r="B758" t="n">
        <v>78</v>
      </c>
      <c r="C758" s="1" t="n">
        <v>19.5</v>
      </c>
      <c r="D758" s="2">
        <f>HYPERLINK("https://torgi.gov.ru/new/public/lots/lot/21000002210000000273_1/(lotInfo:info)", "21000002210000000273_1")</f>
        <v/>
      </c>
      <c r="E758" t="inlineStr">
        <is>
          <t>Нежилое помещение, расположенное по адресу: Санкт-Петербург, Таллинская ул., д. 12/18, литера А, пом. 18-Н, площадь 19.5 кв.м, назначение: нежилое помещение, наименование: нежилое помещение, этаж №1, кадастровый номер 78:11:0006025:4808</t>
        </is>
      </c>
      <c r="F758" s="3" t="inlineStr">
        <is>
          <t>20.04.22 20:00</t>
        </is>
      </c>
      <c r="G758" t="inlineStr">
        <is>
          <t>г Санкт-Петербург, ул Таллинская, д 12/18 литера А, помещ 18-Н</t>
        </is>
      </c>
      <c r="H758" s="4" t="n">
        <v>4086000</v>
      </c>
      <c r="I758" s="4" t="n">
        <v>209538.4615384615</v>
      </c>
      <c r="J758" t="inlineStr">
        <is>
          <t>Нежилое помещение</t>
        </is>
      </c>
      <c r="K758" s="5" t="n">
        <v>33.03</v>
      </c>
      <c r="L758" s="4" t="n">
        <v>3127.43</v>
      </c>
      <c r="M758" t="n">
        <v>6343</v>
      </c>
      <c r="N758" s="6" t="n">
        <v>5225690</v>
      </c>
      <c r="O758" t="n">
        <v>67</v>
      </c>
      <c r="Q758" t="inlineStr">
        <is>
          <t>EA</t>
        </is>
      </c>
      <c r="R758" t="inlineStr">
        <is>
          <t>М</t>
        </is>
      </c>
      <c r="S758" s="2">
        <f>HYPERLINK("https://yandex.ru/maps/?&amp;text=59.923836, 30.412355", "59.923836, 30.412355")</f>
        <v/>
      </c>
      <c r="T758" s="2">
        <f>HYPERLINK("D:\venv_torgi\env\cache\objs_in_district/59.923836_30.412355.json", "59.923836_30.412355.json")</f>
        <v/>
      </c>
      <c r="U758" t="inlineStr">
        <is>
          <t>78:11:0006025:4808</t>
        </is>
      </c>
      <c r="V758" t="n">
        <v>1</v>
      </c>
      <c r="Y758" t="n">
        <v>0</v>
      </c>
      <c r="AA758" t="n">
        <v>0</v>
      </c>
      <c r="AB758" t="n">
        <v>0</v>
      </c>
    </row>
    <row r="759">
      <c r="A759" s="7" t="n">
        <v>757</v>
      </c>
      <c r="B759" t="n">
        <v>78</v>
      </c>
      <c r="C759" s="1" t="n">
        <v>20.9</v>
      </c>
      <c r="D759" s="2">
        <f>HYPERLINK("https://torgi.gov.ru/new/public/lots/lot/21000002210000000037_1/(lotInfo:info)", "21000002210000000037_1")</f>
        <v/>
      </c>
      <c r="E759" t="inlineStr">
        <is>
          <t>Нежилое помещение, расположенное по адресу: Санкт-Петербург, 16-я линия В.О., д. 97, литера А, пом. 7-Н, площадь 20.9 кв.м, назначение: нежилое помещение, наименование: нежилое помещение, этаж №1, кадастровый номер 78:06:0002057:2692</t>
        </is>
      </c>
      <c r="F759" s="3" t="inlineStr">
        <is>
          <t>01.03.22 20:00</t>
        </is>
      </c>
      <c r="G759" t="inlineStr">
        <is>
          <t>г Санкт-Петербург, линия 16-я В.О., д 97 литера А, помещ 7-Н</t>
        </is>
      </c>
      <c r="H759" s="4" t="n">
        <v>4420000</v>
      </c>
      <c r="I759" s="4" t="n">
        <v>211483.2535885168</v>
      </c>
      <c r="J759" t="inlineStr">
        <is>
          <t>Нежилое помещение</t>
        </is>
      </c>
      <c r="K759" s="5" t="n">
        <v>18.64</v>
      </c>
      <c r="L759" s="4" t="n">
        <v>5715.76</v>
      </c>
      <c r="M759" t="n">
        <v>11347</v>
      </c>
      <c r="N759" s="6" t="n">
        <v>5225690</v>
      </c>
      <c r="O759" t="n">
        <v>37</v>
      </c>
      <c r="Q759" t="inlineStr">
        <is>
          <t>EA</t>
        </is>
      </c>
      <c r="R759" t="inlineStr">
        <is>
          <t>М</t>
        </is>
      </c>
      <c r="S759" s="2">
        <f>HYPERLINK("https://yandex.ru/maps/?&amp;text=59.9465586, 30.2585423", "59.9465586, 30.2585423")</f>
        <v/>
      </c>
      <c r="T759" s="2">
        <f>HYPERLINK("D:\venv_torgi\env\cache\objs_in_district/59.9465586_30.2585423.json", "59.9465586_30.2585423.json")</f>
        <v/>
      </c>
      <c r="U759" t="inlineStr">
        <is>
          <t>78:06:0002057:2692</t>
        </is>
      </c>
      <c r="V759" t="n">
        <v>1</v>
      </c>
      <c r="Y759" t="n">
        <v>0</v>
      </c>
      <c r="AA759" t="n">
        <v>0</v>
      </c>
      <c r="AB759" t="n">
        <v>0</v>
      </c>
    </row>
    <row r="760">
      <c r="A760" s="7" t="n">
        <v>758</v>
      </c>
      <c r="B760" t="n">
        <v>78</v>
      </c>
      <c r="C760" s="1" t="n">
        <v>18.2</v>
      </c>
      <c r="D760" s="2">
        <f>HYPERLINK("https://torgi.gov.ru/new/public/lots/lot/21000002210000000404_1/(lotInfo:info)", "21000002210000000404_1")</f>
        <v/>
      </c>
      <c r="E760" t="inlineStr">
        <is>
          <t>Нежилое помещение, расположенное по адресу: Санкт-Петербург, Невский проспект, д. 11/2, литера А, пом. 7-Н, площадь 18.2 кв.м, назначение: нежилое помещение, наименование: нежилое помещение, этаж № 1, кадастровый номер 78:31:0001182:2180</t>
        </is>
      </c>
      <c r="F760" s="3" t="inlineStr">
        <is>
          <t>30.05.22 20:00</t>
        </is>
      </c>
      <c r="G760" t="inlineStr">
        <is>
          <t>г Санкт-Петербург, Невский пр-кт, д 11/2 литера А, помещ 7-Н</t>
        </is>
      </c>
      <c r="H760" s="4" t="n">
        <v>4100000</v>
      </c>
      <c r="I760" s="4" t="n">
        <v>225274.7252747253</v>
      </c>
      <c r="J760" t="inlineStr">
        <is>
          <t>Нежилое помещение</t>
        </is>
      </c>
      <c r="K760" s="5" t="n">
        <v>57.41</v>
      </c>
      <c r="L760" s="4" t="n">
        <v>908.36</v>
      </c>
      <c r="M760" t="n">
        <v>3924</v>
      </c>
      <c r="N760" s="6" t="n">
        <v>5225690</v>
      </c>
      <c r="O760" t="n">
        <v>248</v>
      </c>
      <c r="Q760" t="inlineStr">
        <is>
          <t>EA</t>
        </is>
      </c>
      <c r="R760" t="inlineStr">
        <is>
          <t>М</t>
        </is>
      </c>
      <c r="S760" s="2">
        <f>HYPERLINK("https://yandex.ru/maps/?&amp;text=59.9363379, 30.3159641", "59.9363379, 30.3159641")</f>
        <v/>
      </c>
      <c r="T760" s="2">
        <f>HYPERLINK("D:\venv_torgi\env\cache\objs_in_district/59.9363379_30.3159641.json", "59.9363379_30.3159641.json")</f>
        <v/>
      </c>
      <c r="U760" t="inlineStr">
        <is>
          <t>78:31:0001182:2180</t>
        </is>
      </c>
      <c r="V760" t="n">
        <v>1</v>
      </c>
      <c r="Y760" t="n">
        <v>0</v>
      </c>
      <c r="AA760" t="n">
        <v>0</v>
      </c>
      <c r="AB760" t="n">
        <v>0</v>
      </c>
    </row>
    <row r="761">
      <c r="A761" s="7" t="n">
        <v>759</v>
      </c>
      <c r="B761" t="n">
        <v>78</v>
      </c>
      <c r="C761" s="1" t="n">
        <v>19.7</v>
      </c>
      <c r="D761" s="2">
        <f>HYPERLINK("https://torgi.gov.ru/new/public/lots/lot/21000002210000000762_1/(lotInfo:info)", "21000002210000000762_1")</f>
        <v/>
      </c>
      <c r="E761" t="inlineStr">
        <is>
          <t>Нежилое помещение, расположенное по адресу: Санкт-Петербург, Невский проспект, д. 6, литера А, пом. 11-Н, площадь 19.7 кв.м, назначение: нежилое помещение, этаж № 1, кадастровый номер  78:31:0001096:1063</t>
        </is>
      </c>
      <c r="F761" s="3" t="inlineStr">
        <is>
          <t>03.08.22 20:00</t>
        </is>
      </c>
      <c r="G761" t="inlineStr">
        <is>
          <t>г Санкт-Петербург, Невский пр-кт, д 6 литера А, помещ 11-Н</t>
        </is>
      </c>
      <c r="H761" s="4" t="n">
        <v>4520000</v>
      </c>
      <c r="I761" s="4" t="n">
        <v>229441.6243654822</v>
      </c>
      <c r="J761" t="inlineStr">
        <is>
          <t>Нежилое помещение</t>
        </is>
      </c>
      <c r="K761" s="5" t="n">
        <v>56.32</v>
      </c>
      <c r="L761" s="4" t="n">
        <v>788.46</v>
      </c>
      <c r="M761" t="n">
        <v>4074</v>
      </c>
      <c r="N761" s="6" t="n">
        <v>5225690</v>
      </c>
      <c r="O761" t="n">
        <v>291</v>
      </c>
      <c r="Q761" t="inlineStr">
        <is>
          <t>EA</t>
        </is>
      </c>
      <c r="R761" t="inlineStr">
        <is>
          <t>М</t>
        </is>
      </c>
      <c r="S761" s="2">
        <f>HYPERLINK("https://yandex.ru/maps/?&amp;text=59.937012, 30.314476", "59.937012, 30.314476")</f>
        <v/>
      </c>
      <c r="T761" s="2">
        <f>HYPERLINK("D:\venv_torgi\env\cache\objs_in_district/59.937012_30.314476.json", "59.937012_30.314476.json")</f>
        <v/>
      </c>
      <c r="U761" t="inlineStr">
        <is>
          <t>78:31:0001096:1063</t>
        </is>
      </c>
      <c r="V761" t="n">
        <v>1</v>
      </c>
      <c r="Y761" t="n">
        <v>0</v>
      </c>
      <c r="AA761" t="n">
        <v>0</v>
      </c>
      <c r="AB761" t="n">
        <v>0</v>
      </c>
    </row>
    <row r="762">
      <c r="A762" s="7" t="n">
        <v>760</v>
      </c>
      <c r="B762" t="n">
        <v>78</v>
      </c>
      <c r="C762" s="1" t="n">
        <v>39.3</v>
      </c>
      <c r="D762" s="2">
        <f>HYPERLINK("https://torgi.gov.ru/new/public/lots/lot/21000002210000000068_1/(lotInfo:info)", "21000002210000000068_1")</f>
        <v/>
      </c>
      <c r="E762" t="inlineStr">
        <is>
          <t>Нежилое помещение, расположенное по адресу: Санкт-Петербург, Малая Морская ул., д. 19, литера А, пом. 19-Н, площадь 39.3 кв.м, назначение: нежилое помещение, наименование: нежилое помещение, этаж №1, кадастровый номер 78:32:0001094:1202</t>
        </is>
      </c>
      <c r="F762" s="3" t="inlineStr">
        <is>
          <t>05.03.22 20:00</t>
        </is>
      </c>
      <c r="G762" t="inlineStr">
        <is>
          <t>г Санкт-Петербург, ул Малая Морская, д 19 литера А, помещ 19-Н</t>
        </is>
      </c>
      <c r="H762" s="4" t="n">
        <v>9620000</v>
      </c>
      <c r="I762" s="4" t="n">
        <v>244783.7150127227</v>
      </c>
      <c r="J762" t="inlineStr">
        <is>
          <t>Нежилое помещение</t>
        </is>
      </c>
      <c r="K762" s="5" t="n">
        <v>33.03</v>
      </c>
      <c r="L762" s="4" t="n">
        <v>647.5700000000001</v>
      </c>
      <c r="M762" t="n">
        <v>7410</v>
      </c>
      <c r="N762" s="6" t="n">
        <v>5225690</v>
      </c>
      <c r="O762" t="n">
        <v>378</v>
      </c>
      <c r="Q762" t="inlineStr">
        <is>
          <t>EA</t>
        </is>
      </c>
      <c r="R762" t="inlineStr">
        <is>
          <t>М</t>
        </is>
      </c>
      <c r="S762" s="2">
        <f>HYPERLINK("https://yandex.ru/maps/?&amp;text=59.934853, 30.310245", "59.934853, 30.310245")</f>
        <v/>
      </c>
      <c r="T762" s="2">
        <f>HYPERLINK("D:\venv_torgi\env\cache\objs_in_district/59.934853_30.310245.json", "59.934853_30.310245.json")</f>
        <v/>
      </c>
      <c r="U762" t="inlineStr">
        <is>
          <t>78:32:0001094:1202</t>
        </is>
      </c>
      <c r="V762" t="n">
        <v>1</v>
      </c>
      <c r="Y762" t="n">
        <v>0</v>
      </c>
      <c r="AA762" t="n">
        <v>0</v>
      </c>
      <c r="AB762" t="n">
        <v>0</v>
      </c>
    </row>
    <row r="763">
      <c r="A763" s="7" t="n">
        <v>761</v>
      </c>
      <c r="B763" t="n">
        <v>78</v>
      </c>
      <c r="C763" s="1" t="n">
        <v>14.1</v>
      </c>
      <c r="D763" s="2">
        <f>HYPERLINK("https://torgi.gov.ru/new/public/lots/lot/21000002210000000029_1/(lotInfo:info)", "21000002210000000029_1")</f>
        <v/>
      </c>
      <c r="E763" t="inlineStr">
        <is>
          <t>Нежилое помещение, расположенное по адресу: Санкт-Петербург, Краснопутиловская ул., д. 14/12, литера А, пом. 18-Н, площадь 14.1 кв.м, назначение: нежилое помещение, наименование: нежилое помещение, этаж №1, кадастровый номер 78:15:0008205:2861</t>
        </is>
      </c>
      <c r="F763" s="3" t="inlineStr">
        <is>
          <t>24.02.22 20:00</t>
        </is>
      </c>
      <c r="G763" t="inlineStr">
        <is>
          <t>г Санкт-Петербург, ул Краснопутиловская, д 14/12 литера А, помещ 18-Н</t>
        </is>
      </c>
      <c r="H763" s="4" t="n">
        <v>3610000</v>
      </c>
      <c r="I763" s="4" t="n">
        <v>256028.3687943262</v>
      </c>
      <c r="J763" t="inlineStr">
        <is>
          <t>Нежилое помещение</t>
        </is>
      </c>
      <c r="K763" s="5" t="n">
        <v>32.25</v>
      </c>
      <c r="L763" s="4" t="n">
        <v>4197.18</v>
      </c>
      <c r="M763" t="n">
        <v>7938</v>
      </c>
      <c r="N763" s="6" t="n">
        <v>5225690</v>
      </c>
      <c r="O763" t="n">
        <v>61</v>
      </c>
      <c r="Q763" t="inlineStr">
        <is>
          <t>EA</t>
        </is>
      </c>
      <c r="R763" t="inlineStr">
        <is>
          <t>М</t>
        </is>
      </c>
      <c r="S763" s="2">
        <f>HYPERLINK("https://yandex.ru/maps/?&amp;text=59.872493, 30.26594", "59.872493, 30.26594")</f>
        <v/>
      </c>
      <c r="T763" s="2">
        <f>HYPERLINK("D:\venv_torgi\env\cache\objs_in_district/59.872493_30.26594.json", "59.872493_30.26594.json")</f>
        <v/>
      </c>
      <c r="U763" t="inlineStr">
        <is>
          <t>78:15:0008205:2861</t>
        </is>
      </c>
      <c r="V763" t="n">
        <v>1</v>
      </c>
      <c r="Y763" t="n">
        <v>0</v>
      </c>
      <c r="AA763" t="n">
        <v>0</v>
      </c>
      <c r="AB763" t="n">
        <v>0</v>
      </c>
    </row>
    <row r="764">
      <c r="A764" s="7" t="n">
        <v>762</v>
      </c>
      <c r="B764" t="n">
        <v>79</v>
      </c>
      <c r="C764" s="1" t="n">
        <v>310.2</v>
      </c>
      <c r="D764" s="2">
        <f>HYPERLINK("https://torgi.gov.ru/new/public/lots/lot/22000034760000000039_1/(lotInfo:info)", "22000034760000000039_1")</f>
        <v/>
      </c>
      <c r="E764" t="inlineStr">
        <is>
          <t>В соответствии с Извещением.</t>
        </is>
      </c>
      <c r="F764" s="3" t="inlineStr">
        <is>
          <t>23.05.22 14:30</t>
        </is>
      </c>
      <c r="G764" t="inlineStr">
        <is>
          <t>г Биробиджан, ул Шолом-Алейхема, д 39</t>
        </is>
      </c>
      <c r="H764" s="4" t="n">
        <v>4583300</v>
      </c>
      <c r="I764" s="4" t="n">
        <v>14775.30625402966</v>
      </c>
      <c r="J764" t="inlineStr">
        <is>
          <t>Нежилое помещение</t>
        </is>
      </c>
      <c r="K764" s="5" t="n">
        <v>2.05</v>
      </c>
      <c r="L764" s="4" t="n">
        <v>314.36</v>
      </c>
      <c r="M764" t="n">
        <v>7210</v>
      </c>
      <c r="N764" s="6" t="n">
        <v>74777</v>
      </c>
      <c r="O764" t="n">
        <v>47</v>
      </c>
      <c r="Q764" t="inlineStr">
        <is>
          <t>EA</t>
        </is>
      </c>
      <c r="R764" t="inlineStr">
        <is>
          <t>М</t>
        </is>
      </c>
      <c r="S764" s="2">
        <f>HYPERLINK("https://yandex.ru/maps/?&amp;text=48.79526, 132.91965", "48.79526, 132.91965")</f>
        <v/>
      </c>
      <c r="T764" s="2">
        <f>HYPERLINK("D:\venv_torgi\env\cache\objs_in_district/48.79526_132.91965.json", "48.79526_132.91965.json")</f>
        <v/>
      </c>
      <c r="U764" t="inlineStr">
        <is>
          <t>79:01:0200034:1064</t>
        </is>
      </c>
      <c r="V764" t="n">
        <v>0</v>
      </c>
      <c r="Y764" t="n">
        <v>0</v>
      </c>
      <c r="AA764" t="n">
        <v>0</v>
      </c>
      <c r="AB764" t="n">
        <v>0</v>
      </c>
    </row>
    <row r="765">
      <c r="A765" s="7" t="n">
        <v>763</v>
      </c>
      <c r="B765" t="n">
        <v>86</v>
      </c>
      <c r="C765" s="1" t="n">
        <v>59.5</v>
      </c>
      <c r="D765" s="2">
        <f>HYPERLINK("https://torgi.gov.ru/new/public/lots/lot/21000002210000000789_1/(lotInfo:info)", "21000002210000000789_1")</f>
        <v/>
      </c>
      <c r="E765" t="inlineStr">
        <is>
          <t>Нежилое помещение, общей площадью 59,5 кв. м, с кадастровым номером: 86:05:0204033:995, расположенное по адресу: Ханты-Мансийский автономный округ – Югра, Березовский р-н,п. Приполярный, мкр. 2-й, д. 11А</t>
        </is>
      </c>
      <c r="F765" s="3" t="inlineStr">
        <is>
          <t>08.08.22 20:59</t>
        </is>
      </c>
      <c r="G765" t="inlineStr">
        <is>
          <t>Ханты-Мансийский Автономный округ - Югра, Березовский р-н, поселок Приполярный, мкр 2-й, д 11а</t>
        </is>
      </c>
      <c r="H765" s="4" t="n">
        <v>102900</v>
      </c>
      <c r="I765" s="4" t="n">
        <v>1729.411764705882</v>
      </c>
      <c r="J765" t="inlineStr">
        <is>
          <t>Нежилое помещение</t>
        </is>
      </c>
      <c r="K765" s="5" t="n">
        <v>4.64</v>
      </c>
      <c r="L765" s="4" t="inlineStr"/>
      <c r="M765" t="n">
        <v>373</v>
      </c>
      <c r="O765" t="inlineStr"/>
      <c r="Q765" t="inlineStr">
        <is>
          <t>PP</t>
        </is>
      </c>
      <c r="R765" t="inlineStr">
        <is>
          <t>М</t>
        </is>
      </c>
      <c r="S765" s="2">
        <f>HYPERLINK("https://yandex.ru/maps/?&amp;text=63.206777, 59.750022", "63.206777, 59.750022")</f>
        <v/>
      </c>
      <c r="T765" s="8">
        <f>HYPERLINK("D:\venv_torgi\env\cache\objs_in_district/63.206777_59.750022.json", "63.206777_59.750022.json")</f>
        <v/>
      </c>
      <c r="U765" t="inlineStr">
        <is>
          <t xml:space="preserve">86:05:0204033:995, </t>
        </is>
      </c>
      <c r="V765" t="n">
        <v>0</v>
      </c>
      <c r="Y765" t="n">
        <v>0</v>
      </c>
      <c r="AA765" t="n">
        <v>0</v>
      </c>
      <c r="AB765" t="n">
        <v>0</v>
      </c>
    </row>
    <row r="766">
      <c r="A766" s="7" t="n">
        <v>764</v>
      </c>
      <c r="B766" t="n">
        <v>86</v>
      </c>
      <c r="C766" s="1" t="n">
        <v>519.6</v>
      </c>
      <c r="D766" s="2">
        <f>HYPERLINK("https://torgi.gov.ru/new/public/lots/lot/21000010520000000003_1/(lotInfo:info)", "21000010520000000003_1")</f>
        <v/>
      </c>
      <c r="E766" t="inlineStr">
        <is>
          <t>этажность -2, общая площадь помещения 519,6 кв.м.</t>
        </is>
      </c>
      <c r="F766" s="3" t="inlineStr">
        <is>
          <t>18.04.22 12:30</t>
        </is>
      </c>
      <c r="G766" t="inlineStr">
        <is>
          <t>Ханты-Мансийский автономный округ – Югра, г. Нефтеюганск, мкр-н 6, здание 47</t>
        </is>
      </c>
      <c r="H766" s="4" t="n">
        <v>2167200</v>
      </c>
      <c r="I766" s="4" t="n">
        <v>4170.900692840646</v>
      </c>
      <c r="J766" t="inlineStr">
        <is>
          <t>здание</t>
        </is>
      </c>
      <c r="K766" s="5" t="n">
        <v>0.46</v>
      </c>
      <c r="L766" s="4" t="n">
        <v>43.44</v>
      </c>
      <c r="M766" t="n">
        <v>9015</v>
      </c>
      <c r="N766" s="6" t="n">
        <v>127710</v>
      </c>
      <c r="O766" t="n">
        <v>96</v>
      </c>
      <c r="Q766" t="inlineStr">
        <is>
          <t>EA</t>
        </is>
      </c>
      <c r="R766" t="inlineStr">
        <is>
          <t>М</t>
        </is>
      </c>
      <c r="S766" s="2">
        <f>HYPERLINK("https://yandex.ru/maps/?&amp;text=61.094214, 72.61926", "61.094214, 72.61926")</f>
        <v/>
      </c>
      <c r="T766" s="2">
        <f>HYPERLINK("D:\venv_torgi\env\cache\objs_in_district/61.094214_72.61926.json", "61.094214_72.61926.json")</f>
        <v/>
      </c>
      <c r="U766" t="inlineStr">
        <is>
          <t>86:10:0000000:19032</t>
        </is>
      </c>
      <c r="V766" t="n">
        <v>0</v>
      </c>
      <c r="Y766" t="n">
        <v>0</v>
      </c>
      <c r="AA766" t="n">
        <v>0</v>
      </c>
      <c r="AB766" t="n">
        <v>0</v>
      </c>
    </row>
    <row r="767">
      <c r="A767" s="7" t="n">
        <v>765</v>
      </c>
      <c r="B767" t="n">
        <v>86</v>
      </c>
      <c r="C767" s="1" t="n">
        <v>310</v>
      </c>
      <c r="D767" s="2">
        <f>HYPERLINK("https://torgi.gov.ru/new/public/lots/lot/21000027580000000002_1/(lotInfo:info)", "21000027580000000002_1")</f>
        <v/>
      </c>
      <c r="E767" t="inlineStr">
        <is>
          <t>кадастровый номер: 86:11:0000000:75741, площадь 310 кв. м, этаж 1, адрес: Ханты-Мансийский автономный округ – Югра, г. Нижневартовск, ул. Ленина, 5/п, строение 4, помещение 1003</t>
        </is>
      </c>
      <c r="F767" s="3" t="inlineStr">
        <is>
          <t>25.03.22 14:00</t>
        </is>
      </c>
      <c r="G767" t="inlineStr">
        <is>
          <t>Ханты-Мансийский Автономный округ - Югра, г Нижневартовск, ул Ленина, зд 5/П стр 4</t>
        </is>
      </c>
      <c r="H767" s="4" t="n">
        <v>1377000</v>
      </c>
      <c r="I767" s="4" t="n">
        <v>4441.935483870968</v>
      </c>
      <c r="J767" t="inlineStr">
        <is>
          <t>Нежилое помещение</t>
        </is>
      </c>
      <c r="K767" s="5" t="n">
        <v>0.64</v>
      </c>
      <c r="L767" s="4" t="n">
        <v>130.62</v>
      </c>
      <c r="M767" t="n">
        <v>6906</v>
      </c>
      <c r="N767" s="6" t="n">
        <v>276503</v>
      </c>
      <c r="O767" t="n">
        <v>34</v>
      </c>
      <c r="Q767" t="inlineStr">
        <is>
          <t>EA</t>
        </is>
      </c>
      <c r="R767" t="inlineStr">
        <is>
          <t>М</t>
        </is>
      </c>
      <c r="S767" s="2">
        <f>HYPERLINK("https://yandex.ru/maps/?&amp;text=60.933199, 76.59558", "60.933199, 76.59558")</f>
        <v/>
      </c>
      <c r="T767" s="2">
        <f>HYPERLINK("D:\venv_torgi\env\cache\objs_in_district/60.933199_76.59558.json", "60.933199_76.59558.json")</f>
        <v/>
      </c>
      <c r="U767" t="inlineStr">
        <is>
          <t xml:space="preserve">86:11:0000000:75741, </t>
        </is>
      </c>
      <c r="V767" t="n">
        <v>1</v>
      </c>
      <c r="Y767" t="n">
        <v>0</v>
      </c>
      <c r="AA767" t="n">
        <v>0</v>
      </c>
      <c r="AB767" t="n">
        <v>0</v>
      </c>
    </row>
    <row r="768">
      <c r="A768" s="7" t="n">
        <v>766</v>
      </c>
      <c r="B768" t="n">
        <v>86</v>
      </c>
      <c r="C768" s="1" t="n">
        <v>579.5</v>
      </c>
      <c r="D768" s="2">
        <f>HYPERLINK("https://torgi.gov.ru/new/public/lots/lot/21000014930000000003_1/(lotInfo:info)", "21000014930000000003_1")</f>
        <v/>
      </c>
      <c r="E768" t="inlineStr">
        <is>
          <t>Нежилое помещение №1, назначение: нежилое, общая площадь 579,5 кв.м., этаж 1, этаж 2, кадастровый номер 86:19:0010412:1435, адрес (местонахождение) объекта: Ханты-Мансийский автономный округ – Югра, город Мегион, ул. Советская, д.19, пом.1</t>
        </is>
      </c>
      <c r="F768" s="3" t="inlineStr">
        <is>
          <t>28.08.22 07:00</t>
        </is>
      </c>
      <c r="G768" t="inlineStr">
        <is>
          <t>Ханты-Мансийский Автономный округ - Югра, г Мегион, ул Советская, д 19, помещ 1</t>
        </is>
      </c>
      <c r="H768" s="4" t="n">
        <v>3274175</v>
      </c>
      <c r="I768" s="4" t="n">
        <v>5650</v>
      </c>
      <c r="J768" t="inlineStr">
        <is>
          <t>Нежилое помещение</t>
        </is>
      </c>
      <c r="K768" s="5" t="n">
        <v>1.11</v>
      </c>
      <c r="L768" s="4" t="n">
        <v>245.65</v>
      </c>
      <c r="M768" t="n">
        <v>5088</v>
      </c>
      <c r="N768" s="6" t="n">
        <v>54958</v>
      </c>
      <c r="O768" t="n">
        <v>23</v>
      </c>
      <c r="Q768" t="inlineStr">
        <is>
          <t>PP</t>
        </is>
      </c>
      <c r="R768" t="inlineStr">
        <is>
          <t>М</t>
        </is>
      </c>
      <c r="S768" s="2">
        <f>HYPERLINK("https://yandex.ru/maps/?&amp;text=61.03284, 76.11834", "61.03284, 76.11834")</f>
        <v/>
      </c>
      <c r="T768" s="2">
        <f>HYPERLINK("D:\venv_torgi\env\cache\objs_in_district/61.03284_76.11834.json", "61.03284_76.11834.json")</f>
        <v/>
      </c>
      <c r="U768" t="inlineStr">
        <is>
          <t xml:space="preserve">86:19:0010412:1435, </t>
        </is>
      </c>
      <c r="V768" t="n">
        <v>1</v>
      </c>
      <c r="Y768" t="n">
        <v>0</v>
      </c>
      <c r="AA768" t="n">
        <v>0</v>
      </c>
      <c r="AB768" t="n">
        <v>0</v>
      </c>
    </row>
    <row r="769">
      <c r="A769" s="7" t="n">
        <v>767</v>
      </c>
      <c r="B769" t="n">
        <v>86</v>
      </c>
      <c r="C769" s="1" t="n">
        <v>315.2</v>
      </c>
      <c r="D769" s="2">
        <f>HYPERLINK("https://torgi.gov.ru/new/public/lots/lot/21000034510000000092_1/(lotInfo:info)", "21000034510000000092_1")</f>
        <v/>
      </c>
      <c r="E769" t="inlineStr">
        <is>
          <t>Проведение продажи на аукционе нежилого помещения, расположенного по адресу: Ханты-Мансийский автономный округ - Югра, г. Нижневартовск, ул. Маршала Жукова, д. 5, помещение 1008, площадью 315,2 кв.м., кадастровый номер 86:11:0000000:61003, РНФИ П13840000100</t>
        </is>
      </c>
      <c r="F769" s="3" t="inlineStr">
        <is>
          <t>23.08.22 13:00</t>
        </is>
      </c>
      <c r="G769" t="inlineStr">
        <is>
          <t>Ханты-Мансийский автономный округ - Югра, г. Нижневартовск, ул. Маршала Жукова, д. 5, помещение 1008</t>
        </is>
      </c>
      <c r="H769" s="4" t="n">
        <v>7961000</v>
      </c>
      <c r="I769" s="4" t="n">
        <v>25256.97969543147</v>
      </c>
      <c r="J769" t="inlineStr">
        <is>
          <t>Нежилое помещение</t>
        </is>
      </c>
      <c r="K769" s="5" t="n">
        <v>3.63</v>
      </c>
      <c r="L769" s="4" t="n">
        <v>631.4</v>
      </c>
      <c r="M769" t="n">
        <v>6951</v>
      </c>
      <c r="N769" s="6" t="n">
        <v>276503</v>
      </c>
      <c r="O769" t="n">
        <v>40</v>
      </c>
      <c r="Q769" t="inlineStr">
        <is>
          <t>EA</t>
        </is>
      </c>
      <c r="R769" t="inlineStr">
        <is>
          <t>М</t>
        </is>
      </c>
      <c r="S769" s="2">
        <f>HYPERLINK("https://yandex.ru/maps/?&amp;text=60.942072, 76.56758", "60.942072, 76.56758")</f>
        <v/>
      </c>
      <c r="T769" s="2">
        <f>HYPERLINK("D:\venv_torgi\env\cache\objs_in_district/60.942072_76.56758.json", "60.942072_76.56758.json")</f>
        <v/>
      </c>
      <c r="U769" t="inlineStr">
        <is>
          <t xml:space="preserve">86:11:0000000:61003, </t>
        </is>
      </c>
      <c r="V769" t="n">
        <v>0</v>
      </c>
      <c r="Y769" t="n">
        <v>0</v>
      </c>
      <c r="AA769" t="n">
        <v>0</v>
      </c>
      <c r="AB769" t="n">
        <v>0</v>
      </c>
    </row>
    <row r="770">
      <c r="A770" s="7" t="n">
        <v>768</v>
      </c>
      <c r="B770" t="n">
        <v>89</v>
      </c>
      <c r="C770" s="1" t="n">
        <v>294.7</v>
      </c>
      <c r="D770" s="2">
        <f>HYPERLINK("https://torgi.gov.ru/new/public/lots/lot/21000034510000000014_1/(lotInfo:info)", "21000034510000000014_1")</f>
        <v/>
      </c>
      <c r="E770" t="inlineStr">
        <is>
          <t>Недвижимое имущество – нежилое помещение, общей площадью 294,7 кв.м., кадастровый номер 89:08:030201:936, РНФИ П13460001325, расположенное по адресу: Ямало-Ненецкий автономный округ, г Салехард, ул. Чапаева, д 22, пом. 1</t>
        </is>
      </c>
      <c r="F770" s="3" t="inlineStr">
        <is>
          <t>09.03.22 09:00</t>
        </is>
      </c>
      <c r="G770" t="inlineStr">
        <is>
          <t>г Салехард, ул Чапаева, д 22, помещ 1</t>
        </is>
      </c>
      <c r="H770" s="4" t="n">
        <v>3550000</v>
      </c>
      <c r="I770" s="4" t="n">
        <v>12046.14862572107</v>
      </c>
      <c r="J770" t="inlineStr">
        <is>
          <t>Нежилое помещение</t>
        </is>
      </c>
      <c r="K770" s="5" t="n">
        <v>13.25</v>
      </c>
      <c r="L770" s="4" t="n">
        <v>1095.09</v>
      </c>
      <c r="M770" t="n">
        <v>909</v>
      </c>
      <c r="N770" s="6" t="n">
        <v>50350</v>
      </c>
      <c r="O770" t="n">
        <v>11</v>
      </c>
      <c r="Q770" t="inlineStr">
        <is>
          <t>BOC</t>
        </is>
      </c>
      <c r="R770" t="inlineStr">
        <is>
          <t>М</t>
        </is>
      </c>
      <c r="S770" s="2">
        <f>HYPERLINK("https://yandex.ru/maps/?&amp;text=66.557754, 66.56545", "66.557754, 66.56545")</f>
        <v/>
      </c>
      <c r="T770" s="2">
        <f>HYPERLINK("D:\venv_torgi\env\cache\objs_in_district/66.557754_66.56545.json", "66.557754_66.56545.json")</f>
        <v/>
      </c>
      <c r="U770" t="inlineStr">
        <is>
          <t xml:space="preserve">89:08:030201:936, </t>
        </is>
      </c>
      <c r="V770" t="n">
        <v>0</v>
      </c>
      <c r="Y770" t="n">
        <v>0</v>
      </c>
      <c r="AA770" t="n">
        <v>0</v>
      </c>
      <c r="AB770" t="n">
        <v>0</v>
      </c>
    </row>
    <row r="771">
      <c r="A771" s="7" t="n">
        <v>769</v>
      </c>
      <c r="B771" t="n">
        <v>91</v>
      </c>
      <c r="C771" s="1" t="n">
        <v>102.6</v>
      </c>
      <c r="D771" s="2">
        <f>HYPERLINK("https://torgi.gov.ru/new/public/lots/lot/22000099670000000001_1/(lotInfo:info)", "22000099670000000001_1")</f>
        <v/>
      </c>
      <c r="E771" t="inlineStr">
        <is>
          <t>Кадастровый номер помещения 90:05:030301:1281, площадь 102,6 кв.м, адрес расположения: Республика Крым, Красногвардейский район, с. Тимашовка, ул. Садовая,27а</t>
        </is>
      </c>
      <c r="F771" s="3" t="inlineStr">
        <is>
          <t>20.06.22 13:00</t>
        </is>
      </c>
      <c r="G771" t="inlineStr">
        <is>
          <t>Респ Крым, Красногвардейский р-н, село Тимашовка, ул Садовая, д 27а</t>
        </is>
      </c>
      <c r="H771" s="4" t="n">
        <v>181650</v>
      </c>
      <c r="I771" s="4" t="n">
        <v>1770.46783625731</v>
      </c>
      <c r="J771" t="inlineStr">
        <is>
          <t>Нежилое помещение</t>
        </is>
      </c>
      <c r="K771" s="5" t="inlineStr"/>
      <c r="M771" t="n">
        <v>0</v>
      </c>
      <c r="N771" s="6" t="n">
        <v>482</v>
      </c>
      <c r="Q771" t="inlineStr">
        <is>
          <t>EA</t>
        </is>
      </c>
      <c r="R771" t="inlineStr">
        <is>
          <t>М</t>
        </is>
      </c>
      <c r="S771" s="2">
        <f>HYPERLINK("https://yandex.ru/maps/?&amp;text=45.551487, 34.131031", "45.551487, 34.131031")</f>
        <v/>
      </c>
      <c r="U771" t="inlineStr">
        <is>
          <t xml:space="preserve">90:05:030301:1281, </t>
        </is>
      </c>
      <c r="V771" t="n">
        <v>1</v>
      </c>
      <c r="Y771" t="n">
        <v>0</v>
      </c>
      <c r="AA771" t="n">
        <v>0</v>
      </c>
      <c r="AB771" t="n">
        <v>0</v>
      </c>
    </row>
    <row r="772">
      <c r="A772" s="7" t="n">
        <v>770</v>
      </c>
      <c r="B772" t="n">
        <v>91</v>
      </c>
      <c r="C772" s="1" t="n">
        <v>28.9</v>
      </c>
      <c r="D772" s="2">
        <f>HYPERLINK("https://torgi.gov.ru/new/public/lots/lot/22000084990000000003_1/(lotInfo:info)", "22000084990000000003_1")</f>
        <v/>
      </c>
      <c r="E772" t="inlineStr">
        <is>
          <t>Нежилое здание (Уборная), Республика Крым, р-н Симферопольский, с Перово, ул Таврическая.Площадь 28,9 . Коммуникации и инженерное обеспечение: отсутствуют.Кадастровый номер 90:12:130101:188.</t>
        </is>
      </c>
      <c r="F772" s="3" t="inlineStr">
        <is>
          <t>09.08.22 05:00</t>
        </is>
      </c>
      <c r="G772" t="inlineStr">
        <is>
          <t>Респ Крым, Симферопольский р-н, село Перово, ул Таврическая</t>
        </is>
      </c>
      <c r="H772" s="4" t="n">
        <v>303700</v>
      </c>
      <c r="I772" s="4" t="n">
        <v>10508.65051903114</v>
      </c>
      <c r="J772" t="inlineStr">
        <is>
          <t>жилое здание</t>
        </is>
      </c>
      <c r="K772" s="5" t="inlineStr"/>
      <c r="M772" t="n">
        <v>0</v>
      </c>
      <c r="N772" s="6" t="n">
        <v>3890</v>
      </c>
      <c r="Q772" t="inlineStr">
        <is>
          <t>EA</t>
        </is>
      </c>
      <c r="R772" t="inlineStr">
        <is>
          <t>М</t>
        </is>
      </c>
      <c r="S772" s="2">
        <f>HYPERLINK("https://yandex.ru/maps/?&amp;text=44.928867, 34.060531", "44.928867, 34.060531")</f>
        <v/>
      </c>
      <c r="U772" t="inlineStr">
        <is>
          <t>90:12:130101:188</t>
        </is>
      </c>
      <c r="V772" t="n">
        <v>0</v>
      </c>
      <c r="Y772" t="n">
        <v>0</v>
      </c>
      <c r="AA772" t="n">
        <v>0</v>
      </c>
      <c r="AB772" t="n">
        <v>0</v>
      </c>
    </row>
  </sheetData>
  <autoFilter ref="B1:AA1000"/>
  <conditionalFormatting sqref="A1:AA1000">
    <cfRule type="notContainsBlanks" priority="9" dxfId="2">
      <formula>LEN(TRIM(A1))&gt;0</formula>
    </cfRule>
  </conditionalFormatting>
  <conditionalFormatting sqref="F1:F1000">
    <cfRule type="timePeriod" priority="4" dxfId="1" timePeriod="nextWeek">
      <formula>AND(ROUNDDOWN(F1,0)-TODAY()&gt;(7-WEEKDAY(TODAY())),ROUNDDOWN(F1,0)-TODAY()&lt;(15-WEEKDAY(TODAY())))</formula>
    </cfRule>
  </conditionalFormatting>
  <conditionalFormatting sqref="I1:I1000">
    <cfRule type="cellIs" priority="2" operator="between" dxfId="0">
      <formula>1</formula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M1:M1000">
    <cfRule type="cellIs" priority="6" operator="between" dxfId="1">
      <formula>0.1</formula>
      <formula>999</formula>
    </cfRule>
  </conditionalFormatting>
  <conditionalFormatting sqref="N1:N1000">
    <cfRule type="cellIs" priority="5" operator="between" dxfId="1">
      <formula>0.1</formula>
      <formula>2999</formula>
    </cfRule>
  </conditionalFormatting>
  <conditionalFormatting sqref="P1:P1000">
    <cfRule type="cellIs" priority="10" operator="between" dxfId="0">
      <formula>1</formula>
      <formula>100000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conditionalFormatting sqref="X1:X1000">
    <cfRule type="cellIs" priority="7" operator="between" dxfId="1">
      <formula>-100000</formula>
      <formula>-100</formula>
    </cfRule>
    <cfRule type="cellIs" priority="8" operator="between" dxfId="0">
      <formula>100</formula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2022-09-04T07:20:42Z</dcterms:created>
  <dcterms:modified xsi:type="dcterms:W3CDTF">2022-09-04T07:20:42Z</dcterms:modified>
</cp:coreProperties>
</file>