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6095" windowHeight="9660"/>
  </bookViews>
  <sheets>
    <sheet name="Sheet1" sheetId="1" r:id="rId1"/>
    <sheet name="Лист1" sheetId="2" r:id="rId2"/>
  </sheets>
  <definedNames>
    <definedName name="_xlnm._FilterDatabase" localSheetId="0" hidden="1">Sheet1!$A$1:$T$1000</definedName>
  </definedNames>
  <calcPr calcId="125725"/>
</workbook>
</file>

<file path=xl/calcChain.xml><?xml version="1.0" encoding="utf-8"?>
<calcChain xmlns="http://schemas.openxmlformats.org/spreadsheetml/2006/main">
  <c r="Q405" i="1"/>
  <c r="N405"/>
  <c r="D405"/>
  <c r="D443"/>
  <c r="Q6"/>
  <c r="N6"/>
  <c r="D6"/>
  <c r="Q37"/>
  <c r="N37"/>
  <c r="D37"/>
  <c r="Q122"/>
  <c r="N122"/>
  <c r="D122"/>
  <c r="Q138"/>
  <c r="N138"/>
  <c r="D138"/>
  <c r="Q243"/>
  <c r="N243"/>
  <c r="D243"/>
  <c r="Q127"/>
  <c r="N127"/>
  <c r="D127"/>
  <c r="Q373"/>
  <c r="N373"/>
  <c r="D373"/>
  <c r="Q367"/>
  <c r="N367"/>
  <c r="D367"/>
  <c r="Q202"/>
  <c r="N202"/>
  <c r="D202"/>
  <c r="Q213"/>
  <c r="N213"/>
  <c r="D213"/>
  <c r="Q416"/>
  <c r="N416"/>
  <c r="D416"/>
  <c r="Q366"/>
  <c r="N366"/>
  <c r="D366"/>
  <c r="Q329"/>
  <c r="N329"/>
  <c r="D329"/>
  <c r="Q351"/>
  <c r="N351"/>
  <c r="D351"/>
  <c r="Q390"/>
  <c r="N390"/>
  <c r="D390"/>
  <c r="Q360"/>
  <c r="N360"/>
  <c r="D360"/>
  <c r="Q290"/>
  <c r="N290"/>
  <c r="D290"/>
  <c r="Q417"/>
  <c r="N417"/>
  <c r="D417"/>
  <c r="Q376"/>
  <c r="N376"/>
  <c r="D376"/>
  <c r="Q300"/>
  <c r="N300"/>
  <c r="D300"/>
  <c r="Q152"/>
  <c r="N152"/>
  <c r="D152"/>
  <c r="Q380"/>
  <c r="N380"/>
  <c r="D380"/>
  <c r="Q418"/>
  <c r="N418"/>
  <c r="D418"/>
  <c r="Q326"/>
  <c r="N326"/>
  <c r="D326"/>
  <c r="Q372"/>
  <c r="N372"/>
  <c r="D372"/>
  <c r="Q333"/>
  <c r="N333"/>
  <c r="D333"/>
  <c r="Q334"/>
  <c r="N334"/>
  <c r="D334"/>
  <c r="Q131"/>
  <c r="N131"/>
  <c r="D131"/>
  <c r="Q384"/>
  <c r="N384"/>
  <c r="D384"/>
  <c r="Q345"/>
  <c r="N345"/>
  <c r="D345"/>
  <c r="Q209"/>
  <c r="N209"/>
  <c r="D209"/>
  <c r="Q229"/>
  <c r="N229"/>
  <c r="D229"/>
  <c r="Q204"/>
  <c r="N204"/>
  <c r="D204"/>
  <c r="Q269"/>
  <c r="N269"/>
  <c r="D269"/>
  <c r="Q299"/>
  <c r="N299"/>
  <c r="D299"/>
  <c r="Q245"/>
  <c r="N245"/>
  <c r="D245"/>
  <c r="Q374"/>
  <c r="N374"/>
  <c r="D374"/>
  <c r="Q223"/>
  <c r="N223"/>
  <c r="D223"/>
  <c r="Q430"/>
  <c r="N430"/>
  <c r="D430"/>
  <c r="Q226"/>
  <c r="N226"/>
  <c r="D226"/>
  <c r="Q251"/>
  <c r="N251"/>
  <c r="D251"/>
  <c r="Q365"/>
  <c r="N365"/>
  <c r="D365"/>
  <c r="Q287"/>
  <c r="N287"/>
  <c r="D287"/>
  <c r="Q183"/>
  <c r="N183"/>
  <c r="D183"/>
  <c r="Q180"/>
  <c r="N180"/>
  <c r="D180"/>
  <c r="Q354"/>
  <c r="N354"/>
  <c r="D354"/>
  <c r="Q215"/>
  <c r="N215"/>
  <c r="D215"/>
  <c r="Q411"/>
  <c r="N411"/>
  <c r="D411"/>
  <c r="Q324"/>
  <c r="N324"/>
  <c r="D324"/>
  <c r="Q293"/>
  <c r="N293"/>
  <c r="D293"/>
  <c r="Q403"/>
  <c r="N403"/>
  <c r="D403"/>
  <c r="Q267"/>
  <c r="N267"/>
  <c r="D267"/>
  <c r="Q350"/>
  <c r="N350"/>
  <c r="D350"/>
  <c r="Q336"/>
  <c r="N336"/>
  <c r="D336"/>
  <c r="Q320"/>
  <c r="N320"/>
  <c r="D320"/>
  <c r="Q349"/>
  <c r="N349"/>
  <c r="D349"/>
  <c r="Q347"/>
  <c r="N347"/>
  <c r="D347"/>
  <c r="Q282"/>
  <c r="N282"/>
  <c r="D282"/>
  <c r="Q346"/>
  <c r="N346"/>
  <c r="D346"/>
  <c r="Q383"/>
  <c r="N383"/>
  <c r="D383"/>
  <c r="Q318"/>
  <c r="N318"/>
  <c r="D318"/>
  <c r="Q264"/>
  <c r="N264"/>
  <c r="D264"/>
  <c r="Q341"/>
  <c r="N341"/>
  <c r="D341"/>
  <c r="Q339"/>
  <c r="N339"/>
  <c r="D339"/>
  <c r="Q375"/>
  <c r="N375"/>
  <c r="D375"/>
  <c r="Q232"/>
  <c r="N232"/>
  <c r="D232"/>
  <c r="Q398"/>
  <c r="N398"/>
  <c r="D398"/>
  <c r="Q171"/>
  <c r="N171"/>
  <c r="D171"/>
  <c r="Q275"/>
  <c r="N275"/>
  <c r="D275"/>
  <c r="Q291"/>
  <c r="N291"/>
  <c r="D291"/>
  <c r="Q420"/>
  <c r="N420"/>
  <c r="D420"/>
  <c r="Q253"/>
  <c r="N253"/>
  <c r="D253"/>
  <c r="Q358"/>
  <c r="N358"/>
  <c r="D358"/>
  <c r="Q266"/>
  <c r="N266"/>
  <c r="D266"/>
  <c r="Q407"/>
  <c r="N407"/>
  <c r="D407"/>
  <c r="Q280"/>
  <c r="N280"/>
  <c r="D280"/>
  <c r="Q255"/>
  <c r="N255"/>
  <c r="D255"/>
  <c r="Q387"/>
  <c r="N387"/>
  <c r="D387"/>
  <c r="Q391"/>
  <c r="N391"/>
  <c r="D391"/>
  <c r="Q240"/>
  <c r="N240"/>
  <c r="D240"/>
  <c r="Q208"/>
  <c r="N208"/>
  <c r="D208"/>
  <c r="Q389"/>
  <c r="N389"/>
  <c r="D389"/>
  <c r="Q401"/>
  <c r="N401"/>
  <c r="D401"/>
  <c r="Q359"/>
  <c r="N359"/>
  <c r="D359"/>
  <c r="Q259"/>
  <c r="N259"/>
  <c r="D259"/>
  <c r="Q402"/>
  <c r="N402"/>
  <c r="D402"/>
  <c r="Q179"/>
  <c r="N179"/>
  <c r="D179"/>
  <c r="Q84"/>
  <c r="N84"/>
  <c r="D84"/>
  <c r="Q24"/>
  <c r="N24"/>
  <c r="D24"/>
  <c r="Q145"/>
  <c r="N145"/>
  <c r="D145"/>
  <c r="Q228"/>
  <c r="N228"/>
  <c r="D228"/>
  <c r="Q195"/>
  <c r="N195"/>
  <c r="D195"/>
  <c r="Q393"/>
  <c r="N393"/>
  <c r="D393"/>
  <c r="Q361"/>
  <c r="N361"/>
  <c r="D361"/>
  <c r="Q65"/>
  <c r="N65"/>
  <c r="D65"/>
  <c r="Q169"/>
  <c r="N169"/>
  <c r="D169"/>
  <c r="Q165"/>
  <c r="N165"/>
  <c r="D165"/>
  <c r="Q252"/>
  <c r="N252"/>
  <c r="D252"/>
  <c r="Q422"/>
  <c r="N422"/>
  <c r="D422"/>
  <c r="Q125"/>
  <c r="N125"/>
  <c r="D125"/>
  <c r="Q192"/>
  <c r="N192"/>
  <c r="D192"/>
  <c r="Q218"/>
  <c r="N218"/>
  <c r="D218"/>
  <c r="Q242"/>
  <c r="N242"/>
  <c r="D242"/>
  <c r="Q322"/>
  <c r="N322"/>
  <c r="D322"/>
  <c r="Q241"/>
  <c r="N241"/>
  <c r="D241"/>
  <c r="Q317"/>
  <c r="N317"/>
  <c r="D317"/>
  <c r="Q392"/>
  <c r="N392"/>
  <c r="D392"/>
  <c r="Q327"/>
  <c r="N327"/>
  <c r="D327"/>
  <c r="Q274"/>
  <c r="N274"/>
  <c r="D274"/>
  <c r="Q404"/>
  <c r="N404"/>
  <c r="D404"/>
  <c r="Q357"/>
  <c r="N357"/>
  <c r="D357"/>
  <c r="Q315"/>
  <c r="N315"/>
  <c r="D315"/>
  <c r="Q337"/>
  <c r="N337"/>
  <c r="D337"/>
  <c r="Q305"/>
  <c r="N305"/>
  <c r="D305"/>
  <c r="Q344"/>
  <c r="N344"/>
  <c r="D344"/>
  <c r="Q211"/>
  <c r="N211"/>
  <c r="D211"/>
  <c r="Q72"/>
  <c r="N72"/>
  <c r="D72"/>
  <c r="Q35"/>
  <c r="N35"/>
  <c r="D35"/>
  <c r="Q233"/>
  <c r="N233"/>
  <c r="D233"/>
  <c r="Q187"/>
  <c r="N187"/>
  <c r="D187"/>
  <c r="Q4"/>
  <c r="N4"/>
  <c r="D4"/>
  <c r="Q190"/>
  <c r="N190"/>
  <c r="D190"/>
  <c r="Q160"/>
  <c r="N160"/>
  <c r="D160"/>
  <c r="Q25"/>
  <c r="N25"/>
  <c r="D25"/>
  <c r="Q427"/>
  <c r="N427"/>
  <c r="D427"/>
  <c r="Q58"/>
  <c r="N58"/>
  <c r="D58"/>
  <c r="Q8"/>
  <c r="N8"/>
  <c r="D8"/>
  <c r="Q128"/>
  <c r="N128"/>
  <c r="D128"/>
  <c r="Q19"/>
  <c r="N19"/>
  <c r="D19"/>
  <c r="D313"/>
  <c r="Q18"/>
  <c r="N18"/>
  <c r="D18"/>
  <c r="Q20"/>
  <c r="N20"/>
  <c r="D20"/>
  <c r="D310"/>
  <c r="D309"/>
  <c r="D308"/>
  <c r="Q11"/>
  <c r="N11"/>
  <c r="D11"/>
  <c r="D306"/>
  <c r="Q437"/>
  <c r="N437"/>
  <c r="D437"/>
  <c r="Q5"/>
  <c r="N5"/>
  <c r="D5"/>
  <c r="D303"/>
  <c r="D302"/>
  <c r="Q285"/>
  <c r="N285"/>
  <c r="D285"/>
  <c r="Q7"/>
  <c r="N7"/>
  <c r="D7"/>
  <c r="Q258"/>
  <c r="N258"/>
  <c r="D258"/>
  <c r="D298"/>
  <c r="D297"/>
  <c r="Q268"/>
  <c r="N268"/>
  <c r="D268"/>
  <c r="Q130"/>
  <c r="N130"/>
  <c r="D130"/>
  <c r="D294"/>
  <c r="Q53"/>
  <c r="N53"/>
  <c r="D53"/>
  <c r="Q77"/>
  <c r="N77"/>
  <c r="D77"/>
  <c r="Q193"/>
  <c r="N193"/>
  <c r="D193"/>
  <c r="Q444"/>
  <c r="N444"/>
  <c r="D444"/>
  <c r="Q132"/>
  <c r="N132"/>
  <c r="D132"/>
  <c r="Q156"/>
  <c r="N156"/>
  <c r="D156"/>
  <c r="Q12"/>
  <c r="N12"/>
  <c r="D12"/>
  <c r="Q319"/>
  <c r="N319"/>
  <c r="D319"/>
  <c r="Q292"/>
  <c r="N292"/>
  <c r="D292"/>
  <c r="Q76"/>
  <c r="N76"/>
  <c r="D76"/>
  <c r="D283"/>
  <c r="Q100"/>
  <c r="N100"/>
  <c r="D100"/>
  <c r="D281"/>
  <c r="Q355"/>
  <c r="N355"/>
  <c r="D355"/>
  <c r="Q16"/>
  <c r="N16"/>
  <c r="D16"/>
  <c r="Q93"/>
  <c r="N93"/>
  <c r="D93"/>
  <c r="Q80"/>
  <c r="N80"/>
  <c r="D80"/>
  <c r="Q87"/>
  <c r="N87"/>
  <c r="D87"/>
  <c r="Q168"/>
  <c r="N168"/>
  <c r="D168"/>
  <c r="Q71"/>
  <c r="N71"/>
  <c r="D71"/>
  <c r="Q158"/>
  <c r="N158"/>
  <c r="D158"/>
  <c r="Q157"/>
  <c r="N157"/>
  <c r="D157"/>
  <c r="Q89"/>
  <c r="N89"/>
  <c r="D89"/>
  <c r="Q108"/>
  <c r="N108"/>
  <c r="D108"/>
  <c r="Q312"/>
  <c r="N312"/>
  <c r="D312"/>
  <c r="Q17"/>
  <c r="N17"/>
  <c r="D17"/>
  <c r="Q141"/>
  <c r="N141"/>
  <c r="D141"/>
  <c r="Q86"/>
  <c r="N86"/>
  <c r="D86"/>
  <c r="D265"/>
  <c r="Q103"/>
  <c r="N103"/>
  <c r="D103"/>
  <c r="D263"/>
  <c r="Q198"/>
  <c r="N198"/>
  <c r="D198"/>
  <c r="Q97"/>
  <c r="N97"/>
  <c r="D97"/>
  <c r="D260"/>
  <c r="Q332"/>
  <c r="N332"/>
  <c r="D332"/>
  <c r="Q356"/>
  <c r="N356"/>
  <c r="D356"/>
  <c r="Q79"/>
  <c r="N79"/>
  <c r="D79"/>
  <c r="Q51"/>
  <c r="N51"/>
  <c r="D51"/>
  <c r="Q54"/>
  <c r="N54"/>
  <c r="D54"/>
  <c r="Q68"/>
  <c r="N68"/>
  <c r="D68"/>
  <c r="Q22"/>
  <c r="N22"/>
  <c r="D22"/>
  <c r="Q26"/>
  <c r="N26"/>
  <c r="D26"/>
  <c r="Q57"/>
  <c r="N57"/>
  <c r="D57"/>
  <c r="Q62"/>
  <c r="N62"/>
  <c r="D62"/>
  <c r="Q66"/>
  <c r="N66"/>
  <c r="D66"/>
  <c r="Q330"/>
  <c r="N330"/>
  <c r="D330"/>
  <c r="Q221"/>
  <c r="N221"/>
  <c r="D221"/>
  <c r="Q101"/>
  <c r="N101"/>
  <c r="D101"/>
  <c r="Q149"/>
  <c r="N149"/>
  <c r="D149"/>
  <c r="Q129"/>
  <c r="N129"/>
  <c r="D129"/>
  <c r="Q254"/>
  <c r="N254"/>
  <c r="D254"/>
  <c r="Q400"/>
  <c r="N400"/>
  <c r="D400"/>
  <c r="Q419"/>
  <c r="N419"/>
  <c r="D419"/>
  <c r="Q338"/>
  <c r="N338"/>
  <c r="D338"/>
  <c r="D239"/>
  <c r="Q257"/>
  <c r="N257"/>
  <c r="D257"/>
  <c r="Q147"/>
  <c r="N147"/>
  <c r="D147"/>
  <c r="D236"/>
  <c r="Q55"/>
  <c r="N55"/>
  <c r="D55"/>
  <c r="Q278"/>
  <c r="N278"/>
  <c r="D278"/>
  <c r="Q431"/>
  <c r="N431"/>
  <c r="D431"/>
  <c r="Q47"/>
  <c r="N47"/>
  <c r="D47"/>
  <c r="Q90"/>
  <c r="N90"/>
  <c r="D90"/>
  <c r="Q247"/>
  <c r="N247"/>
  <c r="D247"/>
  <c r="Q59"/>
  <c r="N59"/>
  <c r="D59"/>
  <c r="Q199"/>
  <c r="N199"/>
  <c r="D199"/>
  <c r="D227"/>
  <c r="Q395"/>
  <c r="N395"/>
  <c r="D395"/>
  <c r="D225"/>
  <c r="D224"/>
  <c r="Q321"/>
  <c r="N321"/>
  <c r="D321"/>
  <c r="D222"/>
  <c r="Q146"/>
  <c r="N146"/>
  <c r="D146"/>
  <c r="Q342"/>
  <c r="N342"/>
  <c r="D342"/>
  <c r="D219"/>
  <c r="Q2"/>
  <c r="N2"/>
  <c r="D2"/>
  <c r="Q64"/>
  <c r="N64"/>
  <c r="D64"/>
  <c r="Q397"/>
  <c r="N397"/>
  <c r="D397"/>
  <c r="Q256"/>
  <c r="N256"/>
  <c r="D256"/>
  <c r="D214"/>
  <c r="Q140"/>
  <c r="N140"/>
  <c r="D140"/>
  <c r="D212"/>
  <c r="Q46"/>
  <c r="N46"/>
  <c r="D46"/>
  <c r="D210"/>
  <c r="Q408"/>
  <c r="N408"/>
  <c r="D408"/>
  <c r="Q413"/>
  <c r="N413"/>
  <c r="D413"/>
  <c r="Q270"/>
  <c r="N270"/>
  <c r="D270"/>
  <c r="Q304"/>
  <c r="N304"/>
  <c r="D304"/>
  <c r="Q289"/>
  <c r="N289"/>
  <c r="D289"/>
  <c r="Q352"/>
  <c r="N352"/>
  <c r="D352"/>
  <c r="Q244"/>
  <c r="N244"/>
  <c r="D244"/>
  <c r="Q362"/>
  <c r="N362"/>
  <c r="D362"/>
  <c r="Q388"/>
  <c r="N388"/>
  <c r="D388"/>
  <c r="Q29"/>
  <c r="N29"/>
  <c r="D29"/>
  <c r="Q106"/>
  <c r="N106"/>
  <c r="D106"/>
  <c r="Q271"/>
  <c r="N271"/>
  <c r="D271"/>
  <c r="Q205"/>
  <c r="N205"/>
  <c r="D205"/>
  <c r="Q273"/>
  <c r="N273"/>
  <c r="D273"/>
  <c r="Q436"/>
  <c r="N436"/>
  <c r="D436"/>
  <c r="D194"/>
  <c r="Q238"/>
  <c r="N238"/>
  <c r="D238"/>
  <c r="Q295"/>
  <c r="N295"/>
  <c r="D295"/>
  <c r="Q262"/>
  <c r="N262"/>
  <c r="D262"/>
  <c r="Q166"/>
  <c r="N166"/>
  <c r="D166"/>
  <c r="D189"/>
  <c r="D188"/>
  <c r="Q325"/>
  <c r="N325"/>
  <c r="D325"/>
  <c r="N186"/>
  <c r="D186"/>
  <c r="Q184"/>
  <c r="N184"/>
  <c r="D184"/>
  <c r="Q164"/>
  <c r="N164"/>
  <c r="D164"/>
  <c r="Q151"/>
  <c r="N151"/>
  <c r="D151"/>
  <c r="Q371"/>
  <c r="N371"/>
  <c r="D371"/>
  <c r="Q216"/>
  <c r="N216"/>
  <c r="D216"/>
  <c r="Q50"/>
  <c r="N50"/>
  <c r="D50"/>
  <c r="Q43"/>
  <c r="N43"/>
  <c r="D43"/>
  <c r="Q40"/>
  <c r="N40"/>
  <c r="D40"/>
  <c r="Q38"/>
  <c r="N38"/>
  <c r="D38"/>
  <c r="Q75"/>
  <c r="N75"/>
  <c r="D75"/>
  <c r="Q74"/>
  <c r="N74"/>
  <c r="D74"/>
  <c r="Q31"/>
  <c r="N31"/>
  <c r="D31"/>
  <c r="Q9"/>
  <c r="N9"/>
  <c r="D9"/>
  <c r="Q182"/>
  <c r="N182"/>
  <c r="D182"/>
  <c r="Q415"/>
  <c r="N415"/>
  <c r="D415"/>
  <c r="Q249"/>
  <c r="N249"/>
  <c r="D249"/>
  <c r="Q237"/>
  <c r="N237"/>
  <c r="D237"/>
  <c r="Q369"/>
  <c r="N369"/>
  <c r="D369"/>
  <c r="Q368"/>
  <c r="N368"/>
  <c r="D368"/>
  <c r="Q104"/>
  <c r="N104"/>
  <c r="D104"/>
  <c r="Q116"/>
  <c r="N116"/>
  <c r="D116"/>
  <c r="Q425"/>
  <c r="N425"/>
  <c r="D425"/>
  <c r="Q112"/>
  <c r="N112"/>
  <c r="D112"/>
  <c r="D162"/>
  <c r="Q155"/>
  <c r="N155"/>
  <c r="D155"/>
  <c r="Q307"/>
  <c r="N307"/>
  <c r="D307"/>
  <c r="Q137"/>
  <c r="N137"/>
  <c r="D137"/>
  <c r="Q399"/>
  <c r="N399"/>
  <c r="D399"/>
  <c r="Q438"/>
  <c r="N438"/>
  <c r="D438"/>
  <c r="Q178"/>
  <c r="N178"/>
  <c r="D178"/>
  <c r="Q382"/>
  <c r="N382"/>
  <c r="D382"/>
  <c r="Q134"/>
  <c r="N134"/>
  <c r="D134"/>
  <c r="Q394"/>
  <c r="N394"/>
  <c r="D394"/>
  <c r="Q246"/>
  <c r="N246"/>
  <c r="D246"/>
  <c r="Q429"/>
  <c r="N429"/>
  <c r="D429"/>
  <c r="Q73"/>
  <c r="N73"/>
  <c r="D73"/>
  <c r="Q115"/>
  <c r="N115"/>
  <c r="D115"/>
  <c r="D148"/>
  <c r="Q78"/>
  <c r="N78"/>
  <c r="D78"/>
  <c r="Q439"/>
  <c r="N439"/>
  <c r="D439"/>
  <c r="Q36"/>
  <c r="N36"/>
  <c r="D36"/>
  <c r="D144"/>
  <c r="Q61"/>
  <c r="N61"/>
  <c r="D61"/>
  <c r="D142"/>
  <c r="Q363"/>
  <c r="N363"/>
  <c r="D363"/>
  <c r="Q117"/>
  <c r="N117"/>
  <c r="D117"/>
  <c r="Q421"/>
  <c r="N421"/>
  <c r="D421"/>
  <c r="Q30"/>
  <c r="N30"/>
  <c r="D30"/>
  <c r="Q423"/>
  <c r="N423"/>
  <c r="D423"/>
  <c r="Q15"/>
  <c r="N15"/>
  <c r="D15"/>
  <c r="Q94"/>
  <c r="N94"/>
  <c r="D94"/>
  <c r="Q133"/>
  <c r="N133"/>
  <c r="D133"/>
  <c r="Q217"/>
  <c r="N217"/>
  <c r="D217"/>
  <c r="Q159"/>
  <c r="N159"/>
  <c r="D159"/>
  <c r="Q181"/>
  <c r="N181"/>
  <c r="D181"/>
  <c r="Q296"/>
  <c r="N296"/>
  <c r="D296"/>
  <c r="Q286"/>
  <c r="N286"/>
  <c r="D286"/>
  <c r="Q60"/>
  <c r="N60"/>
  <c r="D60"/>
  <c r="Q410"/>
  <c r="N410"/>
  <c r="D410"/>
  <c r="Q98"/>
  <c r="N98"/>
  <c r="D98"/>
  <c r="Q52"/>
  <c r="N52"/>
  <c r="D52"/>
  <c r="Q314"/>
  <c r="N314"/>
  <c r="D314"/>
  <c r="Q172"/>
  <c r="N172"/>
  <c r="D172"/>
  <c r="Q107"/>
  <c r="N107"/>
  <c r="D107"/>
  <c r="D121"/>
  <c r="D120"/>
  <c r="N119"/>
  <c r="D119"/>
  <c r="N118"/>
  <c r="D118"/>
  <c r="Q234"/>
  <c r="N234"/>
  <c r="D234"/>
  <c r="Q206"/>
  <c r="N206"/>
  <c r="D206"/>
  <c r="Q235"/>
  <c r="N235"/>
  <c r="D235"/>
  <c r="Q173"/>
  <c r="N173"/>
  <c r="D173"/>
  <c r="D113"/>
  <c r="Q185"/>
  <c r="N185"/>
  <c r="D185"/>
  <c r="Q21"/>
  <c r="N21"/>
  <c r="D21"/>
  <c r="D110"/>
  <c r="N109"/>
  <c r="D109"/>
  <c r="Q176"/>
  <c r="N176"/>
  <c r="D176"/>
  <c r="Q161"/>
  <c r="N161"/>
  <c r="D161"/>
  <c r="Q442"/>
  <c r="N442"/>
  <c r="D442"/>
  <c r="N105"/>
  <c r="D105"/>
  <c r="Q441"/>
  <c r="N441"/>
  <c r="D441"/>
  <c r="Q440"/>
  <c r="N440"/>
  <c r="D440"/>
  <c r="Q163"/>
  <c r="N163"/>
  <c r="D163"/>
  <c r="Q48"/>
  <c r="N48"/>
  <c r="D48"/>
  <c r="Q56"/>
  <c r="N56"/>
  <c r="D56"/>
  <c r="N99"/>
  <c r="D99"/>
  <c r="Q381"/>
  <c r="N381"/>
  <c r="D381"/>
  <c r="Q323"/>
  <c r="N323"/>
  <c r="D323"/>
  <c r="D96"/>
  <c r="D95"/>
  <c r="Q406"/>
  <c r="N406"/>
  <c r="D406"/>
  <c r="Q316"/>
  <c r="N316"/>
  <c r="D316"/>
  <c r="D92"/>
  <c r="Q248"/>
  <c r="N248"/>
  <c r="D248"/>
  <c r="Q200"/>
  <c r="N200"/>
  <c r="D200"/>
  <c r="Q288"/>
  <c r="N288"/>
  <c r="D288"/>
  <c r="D88"/>
  <c r="Q311"/>
  <c r="N311"/>
  <c r="D311"/>
  <c r="Q150"/>
  <c r="N150"/>
  <c r="D150"/>
  <c r="D85"/>
  <c r="Q154"/>
  <c r="N154"/>
  <c r="D154"/>
  <c r="Q143"/>
  <c r="N143"/>
  <c r="D143"/>
  <c r="D82"/>
  <c r="D81"/>
  <c r="Q135"/>
  <c r="N135"/>
  <c r="D135"/>
  <c r="Q340"/>
  <c r="N340"/>
  <c r="D340"/>
  <c r="Q91"/>
  <c r="N91"/>
  <c r="D91"/>
  <c r="Q167"/>
  <c r="N167"/>
  <c r="D167"/>
  <c r="Q386"/>
  <c r="N386"/>
  <c r="D386"/>
  <c r="Q230"/>
  <c r="N230"/>
  <c r="D230"/>
  <c r="Q126"/>
  <c r="N126"/>
  <c r="D126"/>
  <c r="Q49"/>
  <c r="N49"/>
  <c r="D49"/>
  <c r="Q136"/>
  <c r="N136"/>
  <c r="D136"/>
  <c r="Q114"/>
  <c r="N114"/>
  <c r="D114"/>
  <c r="Q170"/>
  <c r="N170"/>
  <c r="D170"/>
  <c r="Q220"/>
  <c r="N220"/>
  <c r="D220"/>
  <c r="Q10"/>
  <c r="N10"/>
  <c r="D10"/>
  <c r="Q335"/>
  <c r="N335"/>
  <c r="D335"/>
  <c r="Q434"/>
  <c r="N434"/>
  <c r="D434"/>
  <c r="Q276"/>
  <c r="N276"/>
  <c r="D276"/>
  <c r="Q70"/>
  <c r="N70"/>
  <c r="D70"/>
  <c r="D63"/>
  <c r="Q385"/>
  <c r="N385"/>
  <c r="D385"/>
  <c r="Q377"/>
  <c r="N377"/>
  <c r="D377"/>
  <c r="Q111"/>
  <c r="N111"/>
  <c r="D111"/>
  <c r="Q250"/>
  <c r="N250"/>
  <c r="D250"/>
  <c r="Q23"/>
  <c r="N23"/>
  <c r="D23"/>
  <c r="Q331"/>
  <c r="N331"/>
  <c r="D331"/>
  <c r="Q139"/>
  <c r="N139"/>
  <c r="D139"/>
  <c r="Q174"/>
  <c r="N174"/>
  <c r="D174"/>
  <c r="Q433"/>
  <c r="N433"/>
  <c r="D433"/>
  <c r="Q272"/>
  <c r="N272"/>
  <c r="D272"/>
  <c r="Q409"/>
  <c r="N409"/>
  <c r="D409"/>
  <c r="Q412"/>
  <c r="N412"/>
  <c r="D412"/>
  <c r="Q396"/>
  <c r="N396"/>
  <c r="D396"/>
  <c r="Q196"/>
  <c r="N196"/>
  <c r="D196"/>
  <c r="Q370"/>
  <c r="N370"/>
  <c r="D370"/>
  <c r="Q123"/>
  <c r="N123"/>
  <c r="D123"/>
  <c r="Q44"/>
  <c r="N44"/>
  <c r="D44"/>
  <c r="Q83"/>
  <c r="N83"/>
  <c r="D83"/>
  <c r="Q67"/>
  <c r="N67"/>
  <c r="D67"/>
  <c r="Q175"/>
  <c r="N175"/>
  <c r="D175"/>
  <c r="D42"/>
  <c r="N41"/>
  <c r="D41"/>
  <c r="Q69"/>
  <c r="N69"/>
  <c r="D69"/>
  <c r="D39"/>
  <c r="Q124"/>
  <c r="N124"/>
  <c r="D124"/>
  <c r="Q301"/>
  <c r="N301"/>
  <c r="D301"/>
  <c r="Q153"/>
  <c r="N153"/>
  <c r="D153"/>
  <c r="Q432"/>
  <c r="N432"/>
  <c r="D432"/>
  <c r="N34"/>
  <c r="D34"/>
  <c r="N33"/>
  <c r="D33"/>
  <c r="N32"/>
  <c r="D32"/>
  <c r="Q279"/>
  <c r="N279"/>
  <c r="D279"/>
  <c r="Q261"/>
  <c r="N261"/>
  <c r="D261"/>
  <c r="Q364"/>
  <c r="N364"/>
  <c r="D364"/>
  <c r="D28"/>
  <c r="D27"/>
  <c r="Q13"/>
  <c r="N13"/>
  <c r="D13"/>
  <c r="Q197"/>
  <c r="N197"/>
  <c r="D197"/>
  <c r="Q231"/>
  <c r="N231"/>
  <c r="D231"/>
  <c r="Q284"/>
  <c r="N284"/>
  <c r="D284"/>
  <c r="Q428"/>
  <c r="N428"/>
  <c r="D428"/>
  <c r="Q378"/>
  <c r="N378"/>
  <c r="D378"/>
  <c r="Q435"/>
  <c r="N435"/>
  <c r="D435"/>
  <c r="Q353"/>
  <c r="N353"/>
  <c r="D353"/>
  <c r="Q343"/>
  <c r="N343"/>
  <c r="D343"/>
  <c r="Q424"/>
  <c r="N424"/>
  <c r="D424"/>
  <c r="Q328"/>
  <c r="N328"/>
  <c r="D328"/>
  <c r="Q177"/>
  <c r="N177"/>
  <c r="D177"/>
  <c r="D14"/>
  <c r="Q45"/>
  <c r="N45"/>
  <c r="D45"/>
  <c r="Q191"/>
  <c r="N191"/>
  <c r="D191"/>
  <c r="Q426"/>
  <c r="N426"/>
  <c r="D426"/>
  <c r="Q414"/>
  <c r="N414"/>
  <c r="D414"/>
  <c r="Q201"/>
  <c r="N201"/>
  <c r="D201"/>
  <c r="Q207"/>
  <c r="N207"/>
  <c r="D207"/>
  <c r="Q348"/>
  <c r="N348"/>
  <c r="D348"/>
  <c r="Q277"/>
  <c r="N277"/>
  <c r="D277"/>
  <c r="Q379"/>
  <c r="N379"/>
  <c r="D379"/>
  <c r="Q102"/>
  <c r="N102"/>
  <c r="D102"/>
  <c r="D3"/>
  <c r="Q203"/>
  <c r="N203"/>
  <c r="D203"/>
</calcChain>
</file>

<file path=xl/sharedStrings.xml><?xml version="1.0" encoding="utf-8"?>
<sst xmlns="http://schemas.openxmlformats.org/spreadsheetml/2006/main" count="8535" uniqueCount="3182">
  <si>
    <t>Регион</t>
  </si>
  <si>
    <t>Общая площадь</t>
  </si>
  <si>
    <t>id</t>
  </si>
  <si>
    <t>Название</t>
  </si>
  <si>
    <t>Цена за кв.м</t>
  </si>
  <si>
    <t>Цена</t>
  </si>
  <si>
    <t>Адрес</t>
  </si>
  <si>
    <t>Окончания подачи заявок</t>
  </si>
  <si>
    <t>Кадастровый номер</t>
  </si>
  <si>
    <t>Cтоимость чел/кв.м</t>
  </si>
  <si>
    <t>Форма проведения</t>
  </si>
  <si>
    <t>Имущество</t>
  </si>
  <si>
    <t>Координаты</t>
  </si>
  <si>
    <t>Жителей в округе</t>
  </si>
  <si>
    <t>Коммерческих объектов</t>
  </si>
  <si>
    <t>Описание коммерческих объектов</t>
  </si>
  <si>
    <t>Жителей h3</t>
  </si>
  <si>
    <t xml:space="preserve">H3 чел/кв.м </t>
  </si>
  <si>
    <t>1</t>
  </si>
  <si>
    <t xml:space="preserve">Нежилое помещение, Этаж № 1по адресу: </t>
  </si>
  <si>
    <t>г Майкоп, ул Гоголя, д 19</t>
  </si>
  <si>
    <t>22 04 22 21:00</t>
  </si>
  <si>
    <t xml:space="preserve">01:08:0507074:272, </t>
  </si>
  <si>
    <t>EA</t>
  </si>
  <si>
    <t>М</t>
  </si>
  <si>
    <t>2629</t>
  </si>
  <si>
    <t>118</t>
  </si>
  <si>
    <t>2</t>
  </si>
  <si>
    <t>- Нежилое здание (склад), - .;- Нежилое здание (бильярдная) - .;- Нежилое здание (домик №1) - .;- Нежилое здание (домик №2) - .;- Нежилое здание (домик №3) - .;- Нежилое здание (домик №5) - .;- Нежилое здание (домик №6) - кадастровый номер: 02:47:0000008165.;- Нежилое здание (домик №7) - .;- Нежилое здание (домик №9) - .</t>
  </si>
  <si>
    <t>28 07 22 06:00</t>
  </si>
  <si>
    <t>02:47:000000:7304</t>
  </si>
  <si>
    <t>Лот№26(повторно): Нежилое помещение., Республика Башкортостан, г. Стерлитамак, ул. Николаева, д. 118. Собственник (правообладатель) – Саргсян Рубен Рафаелович. Обременение: арест. Начальная цена: 3 323 500,00 руб. Сумма задатка: 830 875,00 руб. Шаг аукциона (1% от начальной цены): 33 235,00 руб.</t>
  </si>
  <si>
    <t>Респ Башкортостан, г Стерлитамак, ул Николаева, д 118А</t>
  </si>
  <si>
    <t>17 07 22 20:59</t>
  </si>
  <si>
    <t>02:56:040204:642</t>
  </si>
  <si>
    <t>Д</t>
  </si>
  <si>
    <t>2715</t>
  </si>
  <si>
    <t>12</t>
  </si>
  <si>
    <t>объект муниципального нежилого фонда – нежилые помещения цокольного этажа, встроенные в четырехэтажное жилое здание, являющееся выявленным объектом культурного наследия – памятником архитектуры «Дом-коммуна» на основании приказа Управления по государственной охране объектов культурного наследия Республики Башкортостан от 07.04.2017 №20 «Об утверждении перечня выявленных объектов культурного наследия, расположенных на территории Республики Башкортостан». Адрес (местонахождение) объекта: . . Назначение: нежилое. Этаж: цоколь. Характеристики: год постройки – 1930, материал стен – кирпич, высота помещений – 2,48м., коммуникации – центральное отопление, центральное водоснабжение, канализация, электроснабжение</t>
  </si>
  <si>
    <t>г Уфа, ул Ленина, д 9/11</t>
  </si>
  <si>
    <t>29 06 22 19:00</t>
  </si>
  <si>
    <t>02:55:010205:423</t>
  </si>
  <si>
    <t>4635</t>
  </si>
  <si>
    <t>107</t>
  </si>
  <si>
    <t>- .,- этажность: двухэтажное,- год постройки: 1917,- материал стен: кирпичные- наличие коммуникаций: отсутствуют.</t>
  </si>
  <si>
    <t>Респ Башкортостан, г Благовещенск, ул Российская, уч 1</t>
  </si>
  <si>
    <t>21 06 22 12:00</t>
  </si>
  <si>
    <t>02:69:010101:134</t>
  </si>
  <si>
    <t>201</t>
  </si>
  <si>
    <t>3</t>
  </si>
  <si>
    <t>часть встроенного нежилого помещения на первом этаже в пятиэтажном жилом доме, номер на поэтажном плане №31расположенное по адресу: .</t>
  </si>
  <si>
    <t>Респ Башкортостан, г Белебей, ул им М.Г. Амирова, д 2</t>
  </si>
  <si>
    <t>15 06 22 15:30</t>
  </si>
  <si>
    <t xml:space="preserve">02:63:011516:490, </t>
  </si>
  <si>
    <t>1554</t>
  </si>
  <si>
    <t>26</t>
  </si>
  <si>
    <t>(повторно): Нежилое помещение., адрес - . Собственник (правообладатель) – Зайдуллин Роберт Сулейманович. Обременение: арест. Начальная стоимость: 3 271 055,00 руб. Сумма задатка: 817 763,75 руб. Шаг аукци</t>
  </si>
  <si>
    <t>Респ Башкортостан, г Янаул, ул Ленина, д 6</t>
  </si>
  <si>
    <t>12 06 22 20:59</t>
  </si>
  <si>
    <t>02:72:020119:440</t>
  </si>
  <si>
    <t>3264</t>
  </si>
  <si>
    <t>37</t>
  </si>
  <si>
    <t>муниципальное имущество городского поселения город Туймазы муниципального района Туймазинский район Республики Башкортостан – нежилое помещение на I этаже 5-этажного жилого дома, расположенное по адресу: .</t>
  </si>
  <si>
    <t>Респ Башкортостан, г Туймазы, ул Островского, д 51, офис 5</t>
  </si>
  <si>
    <t>26 05 22 15:00</t>
  </si>
  <si>
    <t>02:65:011227:561</t>
  </si>
  <si>
    <t>3951</t>
  </si>
  <si>
    <t>9</t>
  </si>
  <si>
    <t>нежилые помещения ., цокольный этаж № б/н</t>
  </si>
  <si>
    <t>Респ Башкортостан, г Дюртюли, ул Первомайская, д 1</t>
  </si>
  <si>
    <t>30 05 22 15:00</t>
  </si>
  <si>
    <t>02:70:010901:954</t>
  </si>
  <si>
    <t>309</t>
  </si>
  <si>
    <t>23</t>
  </si>
  <si>
    <t>Нежилое помещение, этаж 1, назначение: торгово-офисное, материал с</t>
  </si>
  <si>
    <t>Респ Башкортостан, г Давлеканово, ул Молодежная, д 8 к 2</t>
  </si>
  <si>
    <t>11 05 22 12:00</t>
  </si>
  <si>
    <t xml:space="preserve">02:71:040209:502, </t>
  </si>
  <si>
    <t>351</t>
  </si>
  <si>
    <t>0</t>
  </si>
  <si>
    <t>Нежилое помещениерасположенного по адресу: , номер на этаже 4</t>
  </si>
  <si>
    <t>Респ Башкортостан, г Туймазы, ул Гагарина, зд 39</t>
  </si>
  <si>
    <t>22 03 22 07:00</t>
  </si>
  <si>
    <t xml:space="preserve">02:65:011206:451, </t>
  </si>
  <si>
    <t>5262</t>
  </si>
  <si>
    <t>14</t>
  </si>
  <si>
    <t xml:space="preserve">Нежилые помещения . на первом этаже четырехэтажного жилого здания, расположенных по адресу: </t>
  </si>
  <si>
    <t>Респ Башкортостан, г Октябрьский, ул Лермонтова, д 6</t>
  </si>
  <si>
    <t>13 03 22 12:30</t>
  </si>
  <si>
    <t>02:57:010206:213</t>
  </si>
  <si>
    <t>PP</t>
  </si>
  <si>
    <t>6012</t>
  </si>
  <si>
    <t>44</t>
  </si>
  <si>
    <t>-нежилое помещение. расположенное: РБ, г. Давлеканово, ул. Карла Маркса, д.39, этажность 1, фактическое текущее использование – не используется, по техническому паспорту – склад, материал стен: каменный кирпичный, коммуникации: электроосвещение, состояние: удовлетворительное; -нежилое помещение. расположенные: РБ, г. Давлеканово, ул. Карла Маркса, д.39, фактическое текущее использование – не используется, по техническому паспорту – торговое – 54,3 кв.м., склады 131,3 кв.м., материал стен: каменный 2 стены/каменный кирпичный, коммуникации: электроосвещение, отопление, состояние: удовлетворительное; вместе с земельным участком.земли населенных пунктов, разрешенное использование: размещение объектов капитального строительства для размещения общественных некоммерческих организаций, адрес:</t>
  </si>
  <si>
    <t>РБ, г.Давлеканово, ул. Карла Маркса,39А</t>
  </si>
  <si>
    <t>18 03 22 12:00</t>
  </si>
  <si>
    <t xml:space="preserve">02:71:020117:106, </t>
  </si>
  <si>
    <t xml:space="preserve">Нежилое здание., адрес объекта- ; земельный участок., вид разрешенного использования- для размещения производственных объектов, адрес - </t>
  </si>
  <si>
    <t>Респ Башкортостан, село Кушнаренково, ул Красная, д 1Б</t>
  </si>
  <si>
    <t>04 03 22 13:00</t>
  </si>
  <si>
    <t>02:36:070121:162</t>
  </si>
  <si>
    <t>345</t>
  </si>
  <si>
    <t>Аукцион в электронной форме по продаже муниципального имущества: нежилое помещение, первого этажа пятиэтажного жилого дома, расположенное по адресу: .</t>
  </si>
  <si>
    <t>Респ Башкортостан, г Белебей, ул Красная, д 95</t>
  </si>
  <si>
    <t>20 02 22 15:30</t>
  </si>
  <si>
    <t>02:63:011514:1014</t>
  </si>
  <si>
    <t>1497</t>
  </si>
  <si>
    <t>24</t>
  </si>
  <si>
    <t>Нежилое помещение № 34, расположенное на 3 этаже многоквартирного дома, по адресу: ..</t>
  </si>
  <si>
    <t>Респ Бурятия, г Северобайкальск, ул Ленинградская, д 12</t>
  </si>
  <si>
    <t>12 04 22 06:00</t>
  </si>
  <si>
    <t>03:23:010560:294</t>
  </si>
  <si>
    <t>571</t>
  </si>
  <si>
    <t>Здание, назначение: нежилое здание, наименование: овощехранилище, количество этажей - 1, в том числе подземных этажей - 1и земельный участок . (местоположение: , д. 17а).</t>
  </si>
  <si>
    <t>г Улан-Удэ, мкр Медведчиково</t>
  </si>
  <si>
    <t>24 02 22 02:00</t>
  </si>
  <si>
    <t xml:space="preserve">03:24:034301:497 </t>
  </si>
  <si>
    <t>81</t>
  </si>
  <si>
    <t>5</t>
  </si>
  <si>
    <t>Нежилое помещение., этаж 2-йместоположение: , стоимость 3 145 680 руб., задаток 157 284 руб.;</t>
  </si>
  <si>
    <t>г Махачкала, ул Дзержинского, д 6, помещ 20</t>
  </si>
  <si>
    <t>16 06 22 15:00</t>
  </si>
  <si>
    <t xml:space="preserve">05:40:000047:1440, </t>
  </si>
  <si>
    <t>1926</t>
  </si>
  <si>
    <t>116</t>
  </si>
  <si>
    <t>10</t>
  </si>
  <si>
    <t xml:space="preserve">нежилое помещение, расположенное на первом этаже здания по адресу: </t>
  </si>
  <si>
    <t>Респ Карелия, Лахденпохский р-н, поселок Ласанен, ул Ленинградская, д 2</t>
  </si>
  <si>
    <t>01 08 22 07:00</t>
  </si>
  <si>
    <t>10:12:0051002:158</t>
  </si>
  <si>
    <t>45</t>
  </si>
  <si>
    <t>нежилое помещение (№9 на поэтажном плане), расположенное по адресу: , и нежилое помещение (№10 на поэтажном плане), расположенное по адресу: Республика Карелия, г. Сортавала, ул. Вяйнемяйнена, д. 6, пом. 10</t>
  </si>
  <si>
    <t>Респ Карелия, г Сортавала, ул Вяйнемяйнена, д 6, помещ 9</t>
  </si>
  <si>
    <t>18 07 22 07:00</t>
  </si>
  <si>
    <t xml:space="preserve">10:07:0010121:158, </t>
  </si>
  <si>
    <t>3784</t>
  </si>
  <si>
    <t>93</t>
  </si>
  <si>
    <t xml:space="preserve">встроенное нежилое помещение, расположенное на первом этаже здания по адресу: </t>
  </si>
  <si>
    <t>Респ Карелия, Прионежский р-н, деревня Педасельга, д 1</t>
  </si>
  <si>
    <t>11 05 22 07:00</t>
  </si>
  <si>
    <t>10:20:0000000:9132</t>
  </si>
  <si>
    <t>108</t>
  </si>
  <si>
    <t>нежилые помещения (№ 1, 2, 16, 18, 19, 20, 21, 25 на поэтажном плане)., расположенные на втором этаже здания по адресу: ,2,3,16-21,24</t>
  </si>
  <si>
    <t>Респ Карелия, г Сортавала, ул Вяйнемяйнена, д 6, помещ 1</t>
  </si>
  <si>
    <t>11 04 22 07:00</t>
  </si>
  <si>
    <t xml:space="preserve">10:07:0010121:139, </t>
  </si>
  <si>
    <t>Нежилое помещение расположенное на первом этаже многоквартирного дома</t>
  </si>
  <si>
    <t>г Петрозаводск, р-н Древлянка, ул Хейкконена, д 12, помещ 230</t>
  </si>
  <si>
    <t>15 03 22 12:00</t>
  </si>
  <si>
    <t xml:space="preserve">10:01:0120109:2933, </t>
  </si>
  <si>
    <t>4254</t>
  </si>
  <si>
    <t>8</t>
  </si>
  <si>
    <t>11</t>
  </si>
  <si>
    <t>Нежилое помещение.</t>
  </si>
  <si>
    <t>Респ Коми, г Ухта, проезд Строителей, д 13, кв 17</t>
  </si>
  <si>
    <t>26 05 22 07:00</t>
  </si>
  <si>
    <t>11:20:0602009:3738</t>
  </si>
  <si>
    <t>3072</t>
  </si>
  <si>
    <t>35</t>
  </si>
  <si>
    <t xml:space="preserve">Помещение, назначение: нежилое, этаж 1, номера на поэтажном плане поз. 1 - 13, 15 - 22местоположение: </t>
  </si>
  <si>
    <t>г Йошкар-Ола, ул Красноармейская, д 103А</t>
  </si>
  <si>
    <t>11 07 22 14:30</t>
  </si>
  <si>
    <t xml:space="preserve">12:05:0000000:12935, </t>
  </si>
  <si>
    <t>9255</t>
  </si>
  <si>
    <t>46</t>
  </si>
  <si>
    <t>Нежилое помещение, назначение - нежилое, 1-этажныйместоположение: .</t>
  </si>
  <si>
    <t>Республика Марий Эл, Медведевский район, Кундышское сельское поселение, п. Силикатный, ул. Комсомольская, д.5, пом. 1-12</t>
  </si>
  <si>
    <t>27 06 22 14:00</t>
  </si>
  <si>
    <t xml:space="preserve">12:05:3501001:1537, </t>
  </si>
  <si>
    <t>Нежилое помещение .расположено по адресу: , принадлежащее Гаврилову М.В.</t>
  </si>
  <si>
    <t>РМЭ, г. Йошкар-Ола, ул. Мира д.70</t>
  </si>
  <si>
    <t>24 05 22 14:00</t>
  </si>
  <si>
    <t xml:space="preserve">12:05:0702001:718, </t>
  </si>
  <si>
    <t xml:space="preserve">Помещение №2 нежилого зданияназначение помещения- нежилое, местоположение: </t>
  </si>
  <si>
    <t>Респ Марий Эл, Медведевский р-н, поселок Новый, ул Сельская, д 1</t>
  </si>
  <si>
    <t>15 04 22 14:00</t>
  </si>
  <si>
    <t xml:space="preserve">12:04:0000000:8964, </t>
  </si>
  <si>
    <t>282</t>
  </si>
  <si>
    <t>13</t>
  </si>
  <si>
    <t>Краткая характеристика помещения: год постройки – 1972. , этаж 1. Перекрытие – железобетонное ленточное, наружные стены – кирпичные, перекрытия железобетонные, полы – бетонные, внутренняя отделка: побелка, штукатурка, окраска, частично плитка. В помещении имеется электроосвещение, центральное отопление, водопровод, канализация.</t>
  </si>
  <si>
    <t>г Саранск, ул М.Расковой, д 31, помещ 1</t>
  </si>
  <si>
    <t>20 06 22 12:00</t>
  </si>
  <si>
    <t>1650</t>
  </si>
  <si>
    <t>17</t>
  </si>
  <si>
    <t>Нежилое помещение.адрес: . Собственник Егорова М.А.</t>
  </si>
  <si>
    <t>г Якутск, ул Жорницкого, д 7/10А</t>
  </si>
  <si>
    <t>21 06 22 09:00</t>
  </si>
  <si>
    <t xml:space="preserve">14:36:104003:5003, </t>
  </si>
  <si>
    <t>2055</t>
  </si>
  <si>
    <t>16</t>
  </si>
  <si>
    <t>помещения 1 этажа по ул.Энергетиков, д.3, пом.1101</t>
  </si>
  <si>
    <t>Респ Саха /Якутия/, Мирнинский улус, кв-л Энергетиков (поселок Чернышевский), д 3, помещ 1101</t>
  </si>
  <si>
    <t>16:50:100419:1277</t>
  </si>
  <si>
    <t>помещения 1 этажа по ул.Профсоюзная, д.12, пом.1017</t>
  </si>
  <si>
    <t>г Москва, ул Профсоюзная, д 12, помещ 1017</t>
  </si>
  <si>
    <t>16:50:010209:109</t>
  </si>
  <si>
    <t>помещения 1 этажа по ул.Маяковского, д.8, пом.1000</t>
  </si>
  <si>
    <t>г Санкт-Петербург, ул Маяковского, д 8, помещ 1000</t>
  </si>
  <si>
    <t>16:50:011104:379</t>
  </si>
  <si>
    <t>Нежилое помещение (ЖЭУ 10) расположенное на 1 этаже. Балансодержатель (продавец): Муниципальное унитарное предприятие «Управление ресурсами»</t>
  </si>
  <si>
    <t>Респ Татарстан, г Альметьевск, ул Гафиатуллина, д 49, помещ 100001</t>
  </si>
  <si>
    <t>25 05 22 06:00</t>
  </si>
  <si>
    <t xml:space="preserve">16:45:010116:3796, </t>
  </si>
  <si>
    <t>156</t>
  </si>
  <si>
    <t>41</t>
  </si>
  <si>
    <t>Нежилое помещение, расположенное по адресу: .</t>
  </si>
  <si>
    <t>Респ Татарстан, г Заинск, ул Автозаводская, д 5/3, помещ 1003</t>
  </si>
  <si>
    <t>21 03 22 14:00</t>
  </si>
  <si>
    <t>16:48:050211:7733</t>
  </si>
  <si>
    <t>4</t>
  </si>
  <si>
    <t>помещения 1 этажа по ул.Волгоградская, д.1, пом.1141</t>
  </si>
  <si>
    <t>г Казань, ул Волгоградская, д 1, помещ 1141</t>
  </si>
  <si>
    <t>07 03 22 09:00</t>
  </si>
  <si>
    <t>16:50:100425:3406</t>
  </si>
  <si>
    <t>7875</t>
  </si>
  <si>
    <t>147</t>
  </si>
  <si>
    <t>18</t>
  </si>
  <si>
    <t xml:space="preserve">нежилое помещение., этаж № цокольный, расположенное по адресу: </t>
  </si>
  <si>
    <t>Удмуртская Респ, г Сарапул, ул Азина, д 62</t>
  </si>
  <si>
    <t>01 07 22 12:30</t>
  </si>
  <si>
    <t>18:30:000010:276</t>
  </si>
  <si>
    <t>4101</t>
  </si>
  <si>
    <t>60</t>
  </si>
  <si>
    <t>Нежилое помещение (назначение: нежилое помещение, этаж 2)</t>
  </si>
  <si>
    <t>УР, г. Воткинск, ул. Ленина, 18</t>
  </si>
  <si>
    <t>14 06 22 13:00</t>
  </si>
  <si>
    <t>18:27:030609:194</t>
  </si>
  <si>
    <t>19</t>
  </si>
  <si>
    <t>.</t>
  </si>
  <si>
    <t>Респ Хакасия, г Абаза, ул Кулакова, д 3, помещ 101н</t>
  </si>
  <si>
    <t>12 07 22 10:00</t>
  </si>
  <si>
    <t>19:09:010103:969</t>
  </si>
  <si>
    <t>6676</t>
  </si>
  <si>
    <t>91</t>
  </si>
  <si>
    <t>20</t>
  </si>
  <si>
    <t>продажа имущества, находящегося в собственности Чеченской Республики</t>
  </si>
  <si>
    <t>Чеченская Республика, городской территориальный округ Аргун, с. Чечен-Аул, ул. Шерипова, дом № 60</t>
  </si>
  <si>
    <t>05 05 22 15:00</t>
  </si>
  <si>
    <t xml:space="preserve">20:03:0000000:857 </t>
  </si>
  <si>
    <t>Чеченская Республика, г. Грозный, Ахматовский (Ленинский) район, ул. Моздокская, дом № 34</t>
  </si>
  <si>
    <t xml:space="preserve">20:17:0219008:120, </t>
  </si>
  <si>
    <t>21</t>
  </si>
  <si>
    <t>Муниципальное имущество города Шумерля Чувашской Республики: нежилое помещение в многоквартирном доме расположенное по адресу: .</t>
  </si>
  <si>
    <t>Чувашская республика - Чувашия, г Шумерля, ул Карла Маркса, д 21</t>
  </si>
  <si>
    <t>25 07 22 13:00</t>
  </si>
  <si>
    <t xml:space="preserve">21:05:010119:220, </t>
  </si>
  <si>
    <t>2376</t>
  </si>
  <si>
    <t>31</t>
  </si>
  <si>
    <t xml:space="preserve">нежилое помещение, расположенное по адресу: </t>
  </si>
  <si>
    <t>г Чебоксары, ул Сельская, д 39, помещ 3</t>
  </si>
  <si>
    <t>04 07 22 14:00</t>
  </si>
  <si>
    <t>21:01:010103:1379</t>
  </si>
  <si>
    <t>5472</t>
  </si>
  <si>
    <t>Муниципальное имущество Яльчикского района, расположенное по адресу: . 1 и являющееся казной Яльчикского района:помещение  . запись о регистрации права собственности № 21:25:180308:517-21/042/2021-1 от  23.12.2021.</t>
  </si>
  <si>
    <t>Чувашская республика - Чувашия, село Яльчики, ул Советская, д 19пом</t>
  </si>
  <si>
    <t>05 07 22 20:30</t>
  </si>
  <si>
    <t xml:space="preserve">21:25:180308:517, </t>
  </si>
  <si>
    <t>411</t>
  </si>
  <si>
    <t>Земельный участок, местонахождение установлено относительно ориентира, расположенного в границах участка. Почтовый адрес ориентира: , дом 22в с расположенным на нем следующим объектом недвижимого имущества: нежилое помещение находящееся по адресу: Чувашская Республика, г. Чебоксары, ул. Хузангая, дом 22в.</t>
  </si>
  <si>
    <t>г Чебоксары, ул Хузангая</t>
  </si>
  <si>
    <t>27 06 22 13:00</t>
  </si>
  <si>
    <t xml:space="preserve">21:01:020906:166, </t>
  </si>
  <si>
    <t>5985</t>
  </si>
  <si>
    <t>40</t>
  </si>
  <si>
    <t>Нежилое помещение № 1 расположенное на первом этаже жилого пятиэтажного панельного дома (литера А), находящегося по адресу: .</t>
  </si>
  <si>
    <t>г Чебоксары, ул Кадыкова, д 12</t>
  </si>
  <si>
    <t xml:space="preserve">21:01:030405:6161, </t>
  </si>
  <si>
    <t>8235</t>
  </si>
  <si>
    <t>Муниципальное имущество города Канаш Чувашской Республики - нежилое здание., расположенное по адресу: .</t>
  </si>
  <si>
    <t>Чувашская республика - Чувашия, г Канаш, ул Железнодорожная, д 34</t>
  </si>
  <si>
    <t>27 05 22 14:00</t>
  </si>
  <si>
    <t>21:04:030201:103</t>
  </si>
  <si>
    <t>487</t>
  </si>
  <si>
    <t xml:space="preserve">Нежилое помещение., расположенное по адресу: </t>
  </si>
  <si>
    <t>Чувашская республика - Чувашия, г Канаш, пр-кт Ленина, д 22, помещ 4</t>
  </si>
  <si>
    <t>21:04:060202:3462</t>
  </si>
  <si>
    <t>4509</t>
  </si>
  <si>
    <t>67</t>
  </si>
  <si>
    <t xml:space="preserve">Нежилое здание., расположенное по адресу: </t>
  </si>
  <si>
    <t>21:04:010414:302</t>
  </si>
  <si>
    <t>Нежилое здание., расположенное по адресу: .</t>
  </si>
  <si>
    <t>Чувашская республика - Чувашия, г Канаш, ул Чкалова, д 2</t>
  </si>
  <si>
    <t>19 05 22 14:00</t>
  </si>
  <si>
    <t>21:04:060109:33</t>
  </si>
  <si>
    <t>489</t>
  </si>
  <si>
    <t>Муниципальное имущество города Алатыря Чувашской Республики, нежилое помещение общей площадью 46,5 кв. метра, расположенное по адресу: . 2П-3, 4 ком., (запись о регистрации права собственности города Алатыря Чувашской Республики от 19.02.2014 г. № 21-21-02/005/2014-053), являющееся казной города Алатыря Чувашской Республики</t>
  </si>
  <si>
    <t>Чувашская республика - Чувашия, г Алатырь, ул Первомайская, д 78пом</t>
  </si>
  <si>
    <t>22 02 22 14:00</t>
  </si>
  <si>
    <t xml:space="preserve">21:03:010406:659, </t>
  </si>
  <si>
    <t>1392</t>
  </si>
  <si>
    <t>53</t>
  </si>
  <si>
    <t>22</t>
  </si>
  <si>
    <t xml:space="preserve">Нежилое помещениес.Ая ул.Советская, д.90 пом.1 с земельным участком  </t>
  </si>
  <si>
    <t>Алтайский край, Алтайский р-н, село Ая, ул Советская, д 90, помещ 1</t>
  </si>
  <si>
    <t>24 07 22 17:00</t>
  </si>
  <si>
    <t xml:space="preserve">22:02:080005:520  </t>
  </si>
  <si>
    <t>Нежилое здание ., расположенное по адресу:  и земельный участок.расположенный по адресу: /1.</t>
  </si>
  <si>
    <t>Алтайский край, село Солонешное, ул 1-я Целинная, зд 9</t>
  </si>
  <si>
    <t>17 07 22 21:00</t>
  </si>
  <si>
    <t>22:43:060127:219</t>
  </si>
  <si>
    <t>195</t>
  </si>
  <si>
    <t>Нежилое здание ., расположенное по адресу:  и земельный участок.расположенный по адресу: /2.</t>
  </si>
  <si>
    <t>22:43:060127:220</t>
  </si>
  <si>
    <t>Нежилое помещение на 1-м этаже  по ул.Бабуркина, 8 (Алтайский край, г.Барнаул)</t>
  </si>
  <si>
    <t>г Барнаул, ул Бабуркина, д 8</t>
  </si>
  <si>
    <t>30 05 22 14:00</t>
  </si>
  <si>
    <t>22:63:030134:4050</t>
  </si>
  <si>
    <t>1608</t>
  </si>
  <si>
    <t>Нежилое помещение № 70  находится на первом этаже северной части пятиэтажного панельного жилого дома по улице Дзержинского, 31 в центрально-восточной части города Рубцовска, на пересечении улиц Краснознаменской и Дзержинского. Год ввода в эксплуатацию - 1977.</t>
  </si>
  <si>
    <t>Алтайский край, г Рубцовск, ул Дзержинского, д 31</t>
  </si>
  <si>
    <t>16 03 22 03:00</t>
  </si>
  <si>
    <t>22:70:021002:778</t>
  </si>
  <si>
    <t>5036</t>
  </si>
  <si>
    <t>15</t>
  </si>
  <si>
    <t>Нежилое помещение Н2 на 1-м, 2-м этажах  по ул.Пушкина, 50 (г.Барнаул, Алтайский край)</t>
  </si>
  <si>
    <t>г Барнаул, ул Пушкина, д 50</t>
  </si>
  <si>
    <t>22:63:050240:68</t>
  </si>
  <si>
    <t>1881</t>
  </si>
  <si>
    <t>69</t>
  </si>
  <si>
    <t>98/1000 долей (25,6 кв.м) на 1-м этаже нежилого здания центрального теплового пункта №518  по ул.Юрина, 265а</t>
  </si>
  <si>
    <t>г Барнаул, ул Юрина, д 265а</t>
  </si>
  <si>
    <t>28 02 22 14:00</t>
  </si>
  <si>
    <t>22:63:010609:5047</t>
  </si>
  <si>
    <t>1683</t>
  </si>
  <si>
    <t xml:space="preserve">, находящееся по адресу: </t>
  </si>
  <si>
    <t>Краснодарский край, Тихорецкий р-н, ст-ца Фастовецкая, ул Азина, д 59</t>
  </si>
  <si>
    <t>06 07 22 15:00</t>
  </si>
  <si>
    <t xml:space="preserve">23:32:0302006:1142, </t>
  </si>
  <si>
    <t>135</t>
  </si>
  <si>
    <t>«Нежилое помещение., включающее в себя помещения № 77-81, 83-96 :136/6, расположенное по адресу: , 1 «В»</t>
  </si>
  <si>
    <t>Краснодарский край, Туапсинский р-н, пгт Джубга, ул Новороссийское шоссе</t>
  </si>
  <si>
    <t>07 06 22 14:00</t>
  </si>
  <si>
    <t>23:33:0606011:0</t>
  </si>
  <si>
    <t>543</t>
  </si>
  <si>
    <t>Материал стен дома – панельные, этаж расположения – цокольный, наличие отдельного входа – есть, стены – окраска, потолки – окраска, полы – ламинат, проемы оконные – одинарные створные, проемы дверные – входная металлическая, инженерное обеспечение –электроснабжение, водоснабжение, канализация, телефон.</t>
  </si>
  <si>
    <t>адресу Краснодарский край, город Сочи, ул. Чехова, д. 58</t>
  </si>
  <si>
    <t>25 04 22 06:00</t>
  </si>
  <si>
    <t xml:space="preserve">23:49:0202021:1294, </t>
  </si>
  <si>
    <t xml:space="preserve">Нежилые помещения (№7-13), общей площадью 93,5 квадратных метра, нежилые помещения (№14,15) общей площадью 2,8 квадратных метра, расположенные по адресу: </t>
  </si>
  <si>
    <t>Краснодарский край, г Армавир, ул Кропоткина, д 103</t>
  </si>
  <si>
    <t>20 03 22 20:59</t>
  </si>
  <si>
    <t xml:space="preserve">23:38:0109038:788 </t>
  </si>
  <si>
    <t>3204</t>
  </si>
  <si>
    <t>В соответствии с Извещением.</t>
  </si>
  <si>
    <t>г Красноярск, ул Калинина, д 77 стр 9, помещ 3</t>
  </si>
  <si>
    <t>24:50:0100109:1423, 24:50:0100109:1424, 24:50:0100109:1426, 24:50:0100109:1427</t>
  </si>
  <si>
    <t>612</t>
  </si>
  <si>
    <t xml:space="preserve">Отдельно стоящее одноэтажное нежилое здание. расположенное по адресу: </t>
  </si>
  <si>
    <t>г Красноярск, ул 2-я Брянская, д 65 стр 2</t>
  </si>
  <si>
    <t>11 05 22 02:00</t>
  </si>
  <si>
    <t xml:space="preserve">24:50:0300195:229, </t>
  </si>
  <si>
    <t>84</t>
  </si>
  <si>
    <t xml:space="preserve">Отдельно стоящее двухэтажное нежилое здание. 3, расположенное по адресу: </t>
  </si>
  <si>
    <t>г Красноярск, ул Брянская, зд 65А стр 1</t>
  </si>
  <si>
    <t>24:50:0000000:17578</t>
  </si>
  <si>
    <t>1338</t>
  </si>
  <si>
    <t>Здание – Штаб/казарма, назначение: нежилое. Количество этажей -2, в том числе подземных 0. Материал наружных стен: из прочих материалов. . Адрес (местонахождение): РФ, Красноярский край, г. Ачинск, микрорайон Авиатор, здание 54.Земельный участок – земли населенных пунктов. . Адрес (местонахождение): Красноярский край, г. Ачинск, микрорайон Авиатор, участок 54. Виды разрешенного использования: Виды разрешенного использования: Магазины: размещение объектов капитального строительства, предназначенных для продажи товаров, торговая площадь которых составляет до 5000 кв.м.</t>
  </si>
  <si>
    <t>Красноярский край, г Ачинск, мкр Авиатор, зд 54</t>
  </si>
  <si>
    <t>16 05 22 10:00</t>
  </si>
  <si>
    <t>24:43:0000000:25960</t>
  </si>
  <si>
    <t>3741</t>
  </si>
  <si>
    <t>нежилое помещение расположено по адресу: . Нежилое помещение находится на первом этаже десятиэтажного панельного жилого дома 1989 года постройки. Отдельный вход имеется.</t>
  </si>
  <si>
    <t>г Красноярск, ул Октябрьская, д 1, помещ 215</t>
  </si>
  <si>
    <t>21 03 22 10:00</t>
  </si>
  <si>
    <t xml:space="preserve">24:50:0400127:805 </t>
  </si>
  <si>
    <t>10908</t>
  </si>
  <si>
    <t>38</t>
  </si>
  <si>
    <t>нежилое помещение расположено по адресу: . Нежилое помещение находится на первом этаже двухэтажного жилого дома 1956 года постройки. Отдельный вход отсутствует.Сведения об обременениях имущества – обременения отсутствуют</t>
  </si>
  <si>
    <t>г Красноярск, ул Александра Матросова, д 30/3, помещ 54</t>
  </si>
  <si>
    <t xml:space="preserve">24:50:0700261:1479 </t>
  </si>
  <si>
    <t>4092</t>
  </si>
  <si>
    <t>нежилое помещение расположено по адресу: . Нежилое помещение находится на первом этаже четырнадцатиэтажного жилого дома 1997 года постройки. Отдельный вход отсутствует.</t>
  </si>
  <si>
    <t>г Красноярск, ул 9 Мая, д 31А, помещ 85</t>
  </si>
  <si>
    <t>09 03 22 10:00</t>
  </si>
  <si>
    <t xml:space="preserve">24:50:0400057:2588 </t>
  </si>
  <si>
    <t>7614</t>
  </si>
  <si>
    <t>нежилое помещение расположено по адресу: . Нежилое помещение находится на первом этаже трехэтажного кирпичного жилого дома 1960 года постройки. Отдельный вход имеется.</t>
  </si>
  <si>
    <t>г Красноярск, ул Энергетиков, д 65, помещ 21</t>
  </si>
  <si>
    <t>15 02 22 10:00</t>
  </si>
  <si>
    <t xml:space="preserve">24:50:0500297:640 </t>
  </si>
  <si>
    <t>3321</t>
  </si>
  <si>
    <t>25</t>
  </si>
  <si>
    <t>Нежилое помещение в здании (бокс№26 в ГСК№173, лит.а), эт.1пл.18,5кв.м, адрес: , соб-к Железков Е.А.</t>
  </si>
  <si>
    <t>г Владивосток, ул Тухачевского, д 50А</t>
  </si>
  <si>
    <t>01 08 22 02:00</t>
  </si>
  <si>
    <t xml:space="preserve">25:28:000000:29530, </t>
  </si>
  <si>
    <t>12667</t>
  </si>
  <si>
    <t>61</t>
  </si>
  <si>
    <t>1965 год постройки; запись № 25:19:000000:2499-25/066/2022-11от 06.04.2022в Едином государственном реестре прав на недвижимое имущество и сделок с ним  от 11.02.2013</t>
  </si>
  <si>
    <t>Приморский край, село Камень-Рыболов, ул Кирова, д 2А</t>
  </si>
  <si>
    <t>01 08 22 04:00</t>
  </si>
  <si>
    <t>25:19:000000:2499</t>
  </si>
  <si>
    <t>3066</t>
  </si>
  <si>
    <t>нежилые помещения расположенного в цокольном этаже по адресу: , (помещения 1-14)</t>
  </si>
  <si>
    <t>Ставропольский край, г Лермонтов, проезд Химиков, двлд 13</t>
  </si>
  <si>
    <t>15 07 22 07:00</t>
  </si>
  <si>
    <t xml:space="preserve">26:32:030202:179, </t>
  </si>
  <si>
    <t>1215</t>
  </si>
  <si>
    <t xml:space="preserve">нежилое помещение </t>
  </si>
  <si>
    <t>Ставропольский край, г Кисловодск, ул Красноармейская, д 10</t>
  </si>
  <si>
    <t>24 06 22 14:00</t>
  </si>
  <si>
    <t>26:34:020117:141</t>
  </si>
  <si>
    <t>2313</t>
  </si>
  <si>
    <t>55</t>
  </si>
  <si>
    <t>нежилое помещение, этаж 1площадью 67,0 кв. метра, с адресом - »</t>
  </si>
  <si>
    <t>Ставропольский край, г Невинномысск, ул Северная, д 12</t>
  </si>
  <si>
    <t>27 05 22 15:00</t>
  </si>
  <si>
    <t xml:space="preserve">26:16:040804:5924, </t>
  </si>
  <si>
    <t>4314</t>
  </si>
  <si>
    <t>6</t>
  </si>
  <si>
    <t>Нежилые помещения, цокольный этажг. Пятигорск, проспект Калинина, 2, корпус 3.</t>
  </si>
  <si>
    <t>Ставропольский край, г Пятигорск, пр-кт Калинина, д 2 к 3</t>
  </si>
  <si>
    <t>17 04 22 21:00</t>
  </si>
  <si>
    <t>26:33:130304:852</t>
  </si>
  <si>
    <t>3686</t>
  </si>
  <si>
    <t>43</t>
  </si>
  <si>
    <t>Нежилое помещение, назначение нежилое помещение, этаж 1</t>
  </si>
  <si>
    <t>Ставропольский край, г Железноводск, ул Семашко, д 9-11, кв 46</t>
  </si>
  <si>
    <t>22 03 22 10:00</t>
  </si>
  <si>
    <t>26:31:010315:760</t>
  </si>
  <si>
    <t>1110</t>
  </si>
  <si>
    <t>Нежилое помещение, 1 этаж</t>
  </si>
  <si>
    <t>г. Пятигорск,  улица Ермолова,  дом № 253</t>
  </si>
  <si>
    <t>28 02 22 20:59</t>
  </si>
  <si>
    <t>26:33:020202:319</t>
  </si>
  <si>
    <t>1320</t>
  </si>
  <si>
    <t>нежилое помещение, этаж 2площадью 311,9 кв. метра, с адресом - ;</t>
  </si>
  <si>
    <t>Ставропольский край, город Невинномысск, улица Гагарина, 7Б, помещение 28-51</t>
  </si>
  <si>
    <t>21 02 22 15:00</t>
  </si>
  <si>
    <t xml:space="preserve">26:16:040603:913, </t>
  </si>
  <si>
    <t>27</t>
  </si>
  <si>
    <t>Функциональное нежилое помещение детской молочной кухни I (51-77) год постройки – 1979 , расположенное на 1 этаже 5-ти этажного жилого дома по  адресу: , состояние отделки неудовлетворительное, уровень износа 50,5%.</t>
  </si>
  <si>
    <t>Хабаровский край, район имени Лазо, пос.Хор, ул.Менделеева, д. 2</t>
  </si>
  <si>
    <t>11 07 22 07:00</t>
  </si>
  <si>
    <t xml:space="preserve">27:08:0010335:1321, </t>
  </si>
  <si>
    <t xml:space="preserve">Функциональное помещение I (1-26), назначение: нежилое., этаж 1, расположенное по адресу: </t>
  </si>
  <si>
    <t>Хабаровский край, г Амурск, пр-кт Мира, д 14</t>
  </si>
  <si>
    <t>17 06 22 14:00</t>
  </si>
  <si>
    <t>3348</t>
  </si>
  <si>
    <t>Помещение встроенное, расположено на первом этаже пятиэтажного кирпичного жилого дома 1984 года постройки. Вход в помещение осуществляется через места общего пользования – общедомовой подъезд. Имеется санузел. Помещение находится в удовлетворительном техническом состоянии. Ранее использовалось для размещения вокальных коллективов и первичных ветеранских организаций.</t>
  </si>
  <si>
    <t>Хабаровский край, г Комсомольск-на-Амуре, Московский пр-кт, д 23</t>
  </si>
  <si>
    <t>12 05 22 08:00</t>
  </si>
  <si>
    <t xml:space="preserve">27:22:0040605:459, </t>
  </si>
  <si>
    <t>4337</t>
  </si>
  <si>
    <t>нежилое функциональное помещение расположенное по адресу:  (1-7)</t>
  </si>
  <si>
    <t>Хабаровский край, г. Хабаровск, ул. Тихоокеанская,д.147 пом. I</t>
  </si>
  <si>
    <t>08 04 22 07:00</t>
  </si>
  <si>
    <t>27:23:0011137:94</t>
  </si>
  <si>
    <t>Помещение расположено на первом этаже десятиэтажного панельного жилого дома 1988 года постройки. Вход в помещение осуществляется через подъезд жильцов. Помещение ранее использовалось для размещения офиса. Коммуникации в рабочем состоянии. Состояние помещения удовлетворительное.</t>
  </si>
  <si>
    <t>Хабаровский край, г Комсомольск-на-Амуре, пр-кт Победы, д 41 к 3</t>
  </si>
  <si>
    <t>24 03 22 08:00</t>
  </si>
  <si>
    <t xml:space="preserve">27:22:0040606:1876, </t>
  </si>
  <si>
    <t>4921</t>
  </si>
  <si>
    <t>29</t>
  </si>
  <si>
    <t>28</t>
  </si>
  <si>
    <t>Помещение, нежилое, расположенное по адресу: .</t>
  </si>
  <si>
    <t>Амурская обл, село Константиновка, ул Советская, зд 116А</t>
  </si>
  <si>
    <t>11 07 22 08:00</t>
  </si>
  <si>
    <t>28:15:011358:95</t>
  </si>
  <si>
    <t>162</t>
  </si>
  <si>
    <t>Нежилое помещение, этажность – 1расположенное по адресу: .</t>
  </si>
  <si>
    <t>Амурская область, г. Благовещенск, квартал 666В, строение 524, пом. 20001</t>
  </si>
  <si>
    <t>17 03 22 09:00</t>
  </si>
  <si>
    <t xml:space="preserve">28:01:030002:724, </t>
  </si>
  <si>
    <t>Физическое состояние имущества, конструктивные элементы имущества:физическое состояние: удовлетворительное, помещение, встроенное в многоквартирный жилой дом, на первом этаже, фундамент: бетонный ленточный, состояние удовлетворительное; стены: крупнопанельные, состояние удовлетворительное; перекрытия: железобетонные плиты, состояние удовлетворительное; перегородки: панельные, кирпичные, состояние удовлетворительное; окна: металлопластиковые, состояние хорошее; двери: металлическая, стеклопакеты, состояние хорошее; полы: керамическая плитка, состояние хорошее; внутренняя отделка: обои, окраска, плитка, состояние хорошее; системы инженерного обеспечения: электроснабжение, отопление, водоснабжение и водоотведение от центральных сетей города.</t>
  </si>
  <si>
    <t>Амурская обл, г Белогорск, ул Ленина, д 113</t>
  </si>
  <si>
    <t>01 03 22 08:00</t>
  </si>
  <si>
    <t xml:space="preserve">28:02:000124:630 </t>
  </si>
  <si>
    <t>3105</t>
  </si>
  <si>
    <t xml:space="preserve">Нежилое помещение , расположенное по адресу: </t>
  </si>
  <si>
    <t>Архангельская обл, г Северодвинск, ул Лебедева, д 10</t>
  </si>
  <si>
    <t>26 07 22 20:00</t>
  </si>
  <si>
    <t>29:28:104153:2818</t>
  </si>
  <si>
    <t>5073</t>
  </si>
  <si>
    <t>Характеристика объекта: нежилое помещение расположено в девятиэтажном панельном жилом доме, год постройки – 1981.</t>
  </si>
  <si>
    <t>г Архангельск, ул Тимме Я., д 4</t>
  </si>
  <si>
    <t>22 06 22 09:00</t>
  </si>
  <si>
    <t xml:space="preserve">29:22:050102:3741, </t>
  </si>
  <si>
    <t>5841</t>
  </si>
  <si>
    <t>155</t>
  </si>
  <si>
    <t>Характеристика объекта: нежилое помещение расположено в девятиэтажном панельном жилом доме, год постройки – 1982.</t>
  </si>
  <si>
    <t>Архангельская область, городской округ "Город Архангельск", г. Архангельск, ул. Ильича, д. 2, корп.1, нежилое помещение № 3</t>
  </si>
  <si>
    <t xml:space="preserve">29:22:031614:795, </t>
  </si>
  <si>
    <t xml:space="preserve">Нежилое встроенное помещение , расположенное по адресу: </t>
  </si>
  <si>
    <t>Архангельская обл, г Северодвинск, ул Ломоносова, д 78, помещ 20030</t>
  </si>
  <si>
    <t>31 05 22 20:00</t>
  </si>
  <si>
    <t>29:28:103088:2472</t>
  </si>
  <si>
    <t>3228</t>
  </si>
  <si>
    <t>50</t>
  </si>
  <si>
    <t>назначение: нежилое, количество этажей 2, в том числе подземных 1, год постройки 1973</t>
  </si>
  <si>
    <t>Архангельская обл, г Коряжма, ул Советская, д 8</t>
  </si>
  <si>
    <t>31 03 22 14:00</t>
  </si>
  <si>
    <t>29:23:010209:106</t>
  </si>
  <si>
    <t>390</t>
  </si>
  <si>
    <t>Нежилое помещение, расположенное по адресу: ..Нежилое помещение, расположено на 1, 2 этажах нежилого здания 1970 года постройки. Объект не используется, находится в удовлетворительном состоянии.</t>
  </si>
  <si>
    <t>Российская Федерация, Архангельская область, Вельский муниципальный район, МО «Вельское», г.Вельск, ул.50 лет Октября, д.8, помещение 1-Н</t>
  </si>
  <si>
    <t>27 02 22 14:00</t>
  </si>
  <si>
    <t>29:01:190139:646</t>
  </si>
  <si>
    <t>30</t>
  </si>
  <si>
    <t>нежилые помещения, расположенные по адресу: . Стены кирпичные, перекрытия деревянные. Год постройки 1917г</t>
  </si>
  <si>
    <t>г. Астрахань, Кировский район, ул. Маяковского, 40 пом.1пом.3апом.11пом.12. В цокольном этаже 1-этажного жилого дома. Пом. 11. 12 –подсобные, имеют входы с закрытой дворовой территории, пом.3а – подсобное, имеет вход с торца дома через закрытую дворовую территорию и пом.1 с улицы. Состояние требует капитального ремонта</t>
  </si>
  <si>
    <t>27 02 22 13:00</t>
  </si>
  <si>
    <t xml:space="preserve">30:12:010156:291; </t>
  </si>
  <si>
    <t xml:space="preserve">Нежилое помещение, расположенное по адресу: </t>
  </si>
  <si>
    <t>Белгородская обл, г Старый Оскол, Олимпийский мкр, д 60, кв 102</t>
  </si>
  <si>
    <t>28 03 22 15:00</t>
  </si>
  <si>
    <t>-</t>
  </si>
  <si>
    <t>2511</t>
  </si>
  <si>
    <t>59</t>
  </si>
  <si>
    <t xml:space="preserve">Нежилое помещение </t>
  </si>
  <si>
    <t>Белгородская обл, г Старый Оскол, Олимпийский мкр, д 55</t>
  </si>
  <si>
    <t>31:06:0217002:4790</t>
  </si>
  <si>
    <t>1551</t>
  </si>
  <si>
    <t>32</t>
  </si>
  <si>
    <t>Нежилое здание ., расположенное по адресу: с земельным участком , категория земель: земли населенных пунктов, разрешенное использование: для ведения личного подсобного хозяйства, кадастровый номер – 32:15:0262009:4</t>
  </si>
  <si>
    <t>Брянская обл, пгт Красная Гора, ул 8 Марта, д 15</t>
  </si>
  <si>
    <t>22 07 22 13:00</t>
  </si>
  <si>
    <t xml:space="preserve">32:15:0262009:44, </t>
  </si>
  <si>
    <t xml:space="preserve">Находящаяся в муниципальной собственности лифтерная . (этаж № 1), расположенная по адресу: </t>
  </si>
  <si>
    <t>г Брянск, ул Камозина, д 38</t>
  </si>
  <si>
    <t>30 06 22 10:00</t>
  </si>
  <si>
    <t>32:28:0015006:609</t>
  </si>
  <si>
    <t>9737</t>
  </si>
  <si>
    <t xml:space="preserve">Находящееся в муниципальной собственности нежилое помещение . (этаж № 1), расположенное по адресу: </t>
  </si>
  <si>
    <t>г Брянск, ул Орловская, д 16</t>
  </si>
  <si>
    <t>21 06 22 10:00</t>
  </si>
  <si>
    <t>32:28:0015002:2753</t>
  </si>
  <si>
    <t>6891</t>
  </si>
  <si>
    <t>г Брянск, ул Фосфоритная, д 11 к 2</t>
  </si>
  <si>
    <t>14 06 22 10:00</t>
  </si>
  <si>
    <t>32:28:0021603:1104</t>
  </si>
  <si>
    <t>3630</t>
  </si>
  <si>
    <t>нежилое 2-этажное здание., инв.№32/201/13-171882, расположенная по адресу: , с земельным участком , к/н 32:04:0110101:160</t>
  </si>
  <si>
    <t>Брянская обл, Гордеевский р-н, село Глинное, ул Зеленая, д 10</t>
  </si>
  <si>
    <t>06 06 22 08:00</t>
  </si>
  <si>
    <t>нежилое 2-этажное здание., инв.№32/201/13-171907, расположенная по адресу: , с земельным участком , к/н 32:04:0150101:300</t>
  </si>
  <si>
    <t>Брянская обл, Гордеевский р-н, деревня Рудня-Воробьевка, ул Центральная, д 20</t>
  </si>
  <si>
    <t>административное нежилое 2-этажное здание, литер А., инв.№4960:0000/А, расположенная по адресу: , с земельным участком , к/н 32:04:0220301:44</t>
  </si>
  <si>
    <t>Брянская обл, село Гордеевка, ул Кирова, д 18А</t>
  </si>
  <si>
    <t>. нежилое здание , расположенное по адресу: с земельным участком , расположенным по адресу: Брянская область, Красногорский район, пгт Красная Гора, им.Лысенко, д.35категория земель: земли населенных пунктов, разрешенное использование: для ведения личного подсобного хозяйства</t>
  </si>
  <si>
    <t>Брянская обл, пгт Красная Гора, ул им. Лысенко, д 35</t>
  </si>
  <si>
    <t>19 05 22 13:00</t>
  </si>
  <si>
    <t xml:space="preserve">32:15:0260403:53, </t>
  </si>
  <si>
    <t>г Брянск, ул Есенина, д 14</t>
  </si>
  <si>
    <t>05 05 22 10:00</t>
  </si>
  <si>
    <t>32:28:0020932:1515</t>
  </si>
  <si>
    <t>2100</t>
  </si>
  <si>
    <t>г Брянск, ул Тельмана, д 66 к 4</t>
  </si>
  <si>
    <t>32:28:0021603:3084</t>
  </si>
  <si>
    <t>4764</t>
  </si>
  <si>
    <t>нежилое помещение , расположенное по адресу: с земельным участком , расположенным по адресу: Брянская область, Красногорский район, пгт Красная Гора, ул. Тамбовская, д.2категория земель: земли населенных пунктов, разрешенное использование: под жилую застройку - индивидуальную</t>
  </si>
  <si>
    <t>Брянская обл, пгт Красная Гора, ул Тамбовская, д 2</t>
  </si>
  <si>
    <t>28 02 22 13:00</t>
  </si>
  <si>
    <t xml:space="preserve">32:15:0260303:12, </t>
  </si>
  <si>
    <t>33</t>
  </si>
  <si>
    <t>Нежилое помещение., расположенное на первом этаже 3-этажного кирпичного дома, адрес объекта: . Нежилое помещение является частью объекта культурного наследия регионального назначения, включенного в единый государственный реестр объектов культурного наследия (памятников истории и культуры) народов Российской Федерации – «Здание рабочих казарм» XIX в., регистрационный номер 331510317900045. Данный объект признан аварийным и подлежащим реконструкции постановлением Главы муниципального образования город Собинка Собинского района Владимирской области от 20.06.2019 № 408.</t>
  </si>
  <si>
    <t>Владимирская обл., Собинский район, МО город Собинка, г. Собинка, ул. Димитрова, д. 9</t>
  </si>
  <si>
    <t>28 07 22 13:00</t>
  </si>
  <si>
    <t>33:24:010109:4850</t>
  </si>
  <si>
    <t>нежилое помещение, расположенное по адресу: .</t>
  </si>
  <si>
    <t>Владимирская обл, г Ковров, ул Запольная 2-я, д 4</t>
  </si>
  <si>
    <t>33:20:014728:41</t>
  </si>
  <si>
    <t>2077</t>
  </si>
  <si>
    <t>Нежилое помещение (место на подземной парковке), пл. 16,8 кв.м, к.н. 33:22:000000:4854, адрес: . Собственник: Курышев С.В.</t>
  </si>
  <si>
    <t>г Владимир, ул Стрелецкая, д 2</t>
  </si>
  <si>
    <t>15 06 22 20:59</t>
  </si>
  <si>
    <t>33:22:000000:4854</t>
  </si>
  <si>
    <t>3472</t>
  </si>
  <si>
    <t>Помещение, назначение нежилое, адрес (местоположение): ;28-43, общей площадью 271,6 м2</t>
  </si>
  <si>
    <t>Российская Федерация, Владимирская область, м.р-н Петушинский, г.п. город Покров, г Покров, проезд Больничный, д. 2, пом. 21-22</t>
  </si>
  <si>
    <t>13 05 22 14:00</t>
  </si>
  <si>
    <t>33:13:030223:1376</t>
  </si>
  <si>
    <t>Представляет собой нежилое помещение с отдельным входом в нежилом трехэтажном здании, расположенное на 1,2 и 3 этажах здания и в надстроенном этаже.оснащено системами отопления, водоснабжения, электроснабжения (в настоящее время отключены</t>
  </si>
  <si>
    <t>Владимирская обл, г Кольчугино, ул Ленина, д 15</t>
  </si>
  <si>
    <t>18 04 22 14:15</t>
  </si>
  <si>
    <t xml:space="preserve">33:18:000538:2266, </t>
  </si>
  <si>
    <t>354</t>
  </si>
  <si>
    <t>34</t>
  </si>
  <si>
    <t xml:space="preserve">нежилое помещение.расположенное по адресу: </t>
  </si>
  <si>
    <t>Волгоградская обл, г Фролово, ул Фроловская, д 16/2а</t>
  </si>
  <si>
    <t>12 06 22 21:00</t>
  </si>
  <si>
    <t xml:space="preserve">34:39:000023:2596, </t>
  </si>
  <si>
    <t>3293</t>
  </si>
  <si>
    <t xml:space="preserve">нежилое здание., расположенное на земельном участке .по адресу: </t>
  </si>
  <si>
    <t>Волгоградская обл, г Михайловка, ул Ленина, д 92</t>
  </si>
  <si>
    <t>10 06 22 14:00</t>
  </si>
  <si>
    <t>34:37:010268:263</t>
  </si>
  <si>
    <t>1302</t>
  </si>
  <si>
    <t xml:space="preserve">Комплекс объектов недвижимого имущества: склад общей площадью 863,7 кв. метраотдельно стоящее здание (склад № 2) общей площадью 762,3 кв. метраасфальтобетонное покрытие общей площадью 4765,6 кв. метразабор ж/бетонный протяженностью 812 метров, реестровый номер 3412000000018805, расположенный по адресу: </t>
  </si>
  <si>
    <t>Волгоградская обл, г Дубовка, ул Рабочая, д 7</t>
  </si>
  <si>
    <t>23 05 22 05:30</t>
  </si>
  <si>
    <t xml:space="preserve">34:05:000000:704, </t>
  </si>
  <si>
    <t>BOC</t>
  </si>
  <si>
    <t>253</t>
  </si>
  <si>
    <t>Нежилое помещение . (1-й этаж). Волгоград, Красноармейский район, ул. Пролетарская, д. 41. Полная информация приведена в файле с Информационным сообщением.</t>
  </si>
  <si>
    <t>Саратовская обл, г Красноармейск, ул Пролетарская, д 41</t>
  </si>
  <si>
    <t>11 05 22 14:30</t>
  </si>
  <si>
    <t>34:34:080062:2439</t>
  </si>
  <si>
    <t>Нежилое помещение . (1-й этаж). Волгоград, Красноармейский район, ул. Пролетарская, д. 27. Полная информация приведена в файле с Информационным сообщением.</t>
  </si>
  <si>
    <t>Саратовская обл, г Красноармейск, ул Пролетарская, д 27</t>
  </si>
  <si>
    <t>34:34:080074:1334</t>
  </si>
  <si>
    <t>объекты недвижимости, в составе: нежилое помещение общей площадью 379,8 кв.метрарасположенное по адресу: ; нежилое помещение общей площадью 226,7 кв.метрарасположенное по адресу: г. Волгоград, ул. им. Дегтярева, д. 45, помещение I.</t>
  </si>
  <si>
    <t>г. Волгоград, ул. им. Дегтярева, д. 45, помещение II</t>
  </si>
  <si>
    <t>16 03 22 05:30</t>
  </si>
  <si>
    <t xml:space="preserve">34:34:010052:2883, </t>
  </si>
  <si>
    <t>Нежилое помещение, расположенное на цокольном этаже жилого дома по адресу: , г. Волжский, Волгоградская область. Объект не используется. Вход отдельный. Есть санузел. В помещении находятся коммуникации и оборудование многоквартирного дома. Покупатель обязан обеспечить доступ эксплуатирующей организации к указанному имуществу для его обслуживания и ремонта.</t>
  </si>
  <si>
    <t>ул. Дружбы, 88, пом. I</t>
  </si>
  <si>
    <t>05 03 22 14:30</t>
  </si>
  <si>
    <t>34:35:030216:3490</t>
  </si>
  <si>
    <t>Нежилое помещение ., назначение: нежилое помещение, этаж - 1, расположенное по адресу: , обременение – 1) договор о предоставлении недвижимого имущества, находящегося в муниципальной собственности, в аренду, №28/15 от 30.10.2015 года,  2) договор о предоставлении недвижимого имущества, находящегося в муниципальной собственности, в аренду, № 9 от 04.05.2015 года; ограничение – отсутствует.</t>
  </si>
  <si>
    <t>Вологодская обл, г Устюжна, Торговая пл, д 13, помещ 1</t>
  </si>
  <si>
    <t>25 07 22 20:30</t>
  </si>
  <si>
    <t>35:19:0102004:300</t>
  </si>
  <si>
    <t>963</t>
  </si>
  <si>
    <t>Нежилое помещение ., состоящее из 3-х помещений (частей):- помещение ., помещение ., и помещение площадью 112,5 кв.</t>
  </si>
  <si>
    <t>Вологодская обл, г Бабаево, ул Ухтомского, д 21А, помещ 2</t>
  </si>
  <si>
    <t>01 07 22 21:00</t>
  </si>
  <si>
    <t xml:space="preserve">35:02:0103024:84, </t>
  </si>
  <si>
    <t>627</t>
  </si>
  <si>
    <t>нежилое помещение по адресу: .</t>
  </si>
  <si>
    <t>г Вологда, ул Новгородская, д 3</t>
  </si>
  <si>
    <t>27 04 22 11:30</t>
  </si>
  <si>
    <t xml:space="preserve">35:24:0402007:4089  </t>
  </si>
  <si>
    <t>3111</t>
  </si>
  <si>
    <t>Нежилое помещение общей площадью 622,1 м2 , расположенного по адресу: .Помещение находится на первом этаже пятиэтажного дома. Фундамент дома – бутовый ленточный с кирпичным цоколем; стены – кирпичные; перекрытия – железобетонное плоское; полы – дощатые, линолиум; водопровод, канализация, отопление – центральное, трубы пластиковые, вентиляция – вытяжная; электропроводка – провода скрытые.</t>
  </si>
  <si>
    <t>Вологодская обл, г Сокол, ул Суворова, д 22</t>
  </si>
  <si>
    <t>27 04 22 14:00</t>
  </si>
  <si>
    <t xml:space="preserve">35:26:0202015:656, </t>
  </si>
  <si>
    <t>2595</t>
  </si>
  <si>
    <t>нежилое помещение по адресу: . Нежилое помещение используется третьими лицами без договорных отношений.</t>
  </si>
  <si>
    <t>г Вологда, ул Фрязиновская, д 37</t>
  </si>
  <si>
    <t>26 04 22 12:00</t>
  </si>
  <si>
    <t xml:space="preserve">35:24:0305021:4167  </t>
  </si>
  <si>
    <t>6804</t>
  </si>
  <si>
    <t>36</t>
  </si>
  <si>
    <t>Воронежская обл, г Борисоглебск, мкр Юго-Восточный, зд 6а</t>
  </si>
  <si>
    <t>20 07 22 13:00</t>
  </si>
  <si>
    <t>36:04:0103069:2651</t>
  </si>
  <si>
    <t>447</t>
  </si>
  <si>
    <t>Нежилое помещение, назначение: нежилое, этаж № 1расположенное по адресу: . Свободное</t>
  </si>
  <si>
    <t>г Воронеж, ул Революции 1905 года, д 16, помещ 4</t>
  </si>
  <si>
    <t>08 07 22 13:00</t>
  </si>
  <si>
    <t xml:space="preserve">36:34:0606001:481, </t>
  </si>
  <si>
    <t>9423</t>
  </si>
  <si>
    <t>95</t>
  </si>
  <si>
    <t xml:space="preserve">Помещение, назначение: нежилое.расположенное по адресу: </t>
  </si>
  <si>
    <t>Воронежская обл, г Бобров, ул 3 Интернационала, д 43, кв 3</t>
  </si>
  <si>
    <t>29 06 22 09:00</t>
  </si>
  <si>
    <t xml:space="preserve">36:02:0100118:109, </t>
  </si>
  <si>
    <t>1020</t>
  </si>
  <si>
    <t>Воронежская обл, г Бобров, ул 3 Интернационала, д 43, кв 4</t>
  </si>
  <si>
    <t xml:space="preserve">36:02:0100118:43, </t>
  </si>
  <si>
    <t xml:space="preserve"> адрес (местоположение): , по. 109</t>
  </si>
  <si>
    <t>г Воронеж, ул Красных Зорь, д 36</t>
  </si>
  <si>
    <t>01 06 22 13:00</t>
  </si>
  <si>
    <t>36:34:0208065:21</t>
  </si>
  <si>
    <t>8400</t>
  </si>
  <si>
    <t>64</t>
  </si>
  <si>
    <t xml:space="preserve">, адрес (местонахождение): </t>
  </si>
  <si>
    <t>г Воронеж, ул Ворошилова, д 7</t>
  </si>
  <si>
    <t>25 05 22 13:00</t>
  </si>
  <si>
    <t>6456</t>
  </si>
  <si>
    <t>119</t>
  </si>
  <si>
    <t>нежилое помещение IV ., расположенного по адресу: ,</t>
  </si>
  <si>
    <t>Воронежская обл, пгт Каменка, ул Ленина, д 4, помещ 4</t>
  </si>
  <si>
    <t>20 04 22 13:00</t>
  </si>
  <si>
    <t xml:space="preserve">36:11:0100017:78 </t>
  </si>
  <si>
    <t>859</t>
  </si>
  <si>
    <t xml:space="preserve">Нежилое помещение, назначение: нежилое, этаж №1расположенное по адресу: </t>
  </si>
  <si>
    <t>Воронежская обл, г Россошь, ул Белинского, д 20К, помещ 1а</t>
  </si>
  <si>
    <t>11 03 22 07:00</t>
  </si>
  <si>
    <t xml:space="preserve">36:27:0011802:220, </t>
  </si>
  <si>
    <t>3602</t>
  </si>
  <si>
    <t>79</t>
  </si>
  <si>
    <t xml:space="preserve">Нежилое помещение, назначение: нежилое, этаж №2расположенное по адресу: </t>
  </si>
  <si>
    <t>Воронежская обл, г Россошь, ул Белинского, д 20К, помещ 1б</t>
  </si>
  <si>
    <t xml:space="preserve">36:27:0011802:221, </t>
  </si>
  <si>
    <t>Нежилое помещение 6, назначение: нежилое, цокольный этажрасположенное по адресу: . Свободное</t>
  </si>
  <si>
    <t>г Воронеж, ул 60 Армии, д 4, помещ 6</t>
  </si>
  <si>
    <t>18 03 22 13:00</t>
  </si>
  <si>
    <t xml:space="preserve">36:34:0203008:9034, </t>
  </si>
  <si>
    <t>7590</t>
  </si>
  <si>
    <t>99</t>
  </si>
  <si>
    <t>- помещение, назначение: нежилое, этаж 1, 2, номера на поэтажном плане: 1 этаж – пом. 1, 2, 2 этаж – 1, 2, 3, 4, 5адрес объекта: ;- помещение, назначение: нежилое, этаж – 1, 2, номера на поэтажном плане – 19 на 1 этаже, с 6 по 20 включительно на 2 этажеадрес объекта: .</t>
  </si>
  <si>
    <t>Ивановская обл, Кинешемский р-н, г Наволоки, ул Советская, д 15</t>
  </si>
  <si>
    <t xml:space="preserve">37:07:010103:112, </t>
  </si>
  <si>
    <t>144</t>
  </si>
  <si>
    <t xml:space="preserve">Помещение, назначение: нежилое, этаж 1, адрес: </t>
  </si>
  <si>
    <t>Ивановская обл, г Комсомольск, ул Люлина, д 34а, помещ 1001</t>
  </si>
  <si>
    <t>11 05 22 20:30</t>
  </si>
  <si>
    <t>37:08:050202:482</t>
  </si>
  <si>
    <t>1161</t>
  </si>
  <si>
    <t>7</t>
  </si>
  <si>
    <t>нежилого помещения, номер на поэтажном плане 1001., расположенного по адресу: .</t>
  </si>
  <si>
    <t>Ивановская обл, г Шуя, ул Московская 1-я, д 28</t>
  </si>
  <si>
    <t>06 05 22 14:00</t>
  </si>
  <si>
    <t>37:28:020312:114</t>
  </si>
  <si>
    <t>243</t>
  </si>
  <si>
    <t>Нежилое помещение , расположенное по адресу: .</t>
  </si>
  <si>
    <t>г Иваново, Шахтинский проезд, д 79, помещ 1001</t>
  </si>
  <si>
    <t>20 04 22 20:59</t>
  </si>
  <si>
    <t xml:space="preserve">37:24:040626:470 </t>
  </si>
  <si>
    <t>6354</t>
  </si>
  <si>
    <t>Нежилое помещение., этаж № 01, по адресу: , (запись о государственной регистрации права собственности Ивановской области № 37-37-10/203/2013-159 от 09.07.2013, запись о государственной регистрации права оперативного управления № 37-37-10/098/2012-372 от 05.04.2012)</t>
  </si>
  <si>
    <t>Ивановская обл, г Шуя, ул Советская, д 2, помещ 1004</t>
  </si>
  <si>
    <t>14 04 22 06:00</t>
  </si>
  <si>
    <t>37:28:030407:29</t>
  </si>
  <si>
    <t>579</t>
  </si>
  <si>
    <t>Ивановская обл., г. Тейково, ул. Октябрьская, д.50, пом. №53-55</t>
  </si>
  <si>
    <t>09 03 22 13:00</t>
  </si>
  <si>
    <t xml:space="preserve">37:26:020205:163 </t>
  </si>
  <si>
    <t>Нежилое помещение, назначение: нежилое помещениерасположенное по адресу: .</t>
  </si>
  <si>
    <t>Иркутская обл, г Ангарск, кв-л 178, д 2, помещ 3</t>
  </si>
  <si>
    <t>25 07 22 06:00</t>
  </si>
  <si>
    <t xml:space="preserve">38:26:040502:1223, </t>
  </si>
  <si>
    <t>6365</t>
  </si>
  <si>
    <t>39</t>
  </si>
  <si>
    <t>Нежилое помещение, назначение: нежилоерасположенное по адресу: .</t>
  </si>
  <si>
    <t>Иркутская область, г. Ангарск, мкр. 6-й, д. 13/13а, пом. 152</t>
  </si>
  <si>
    <t xml:space="preserve">38:26:040201:3697, </t>
  </si>
  <si>
    <t>Нежилое помещение ., находится в цокольном этаже многоквартирного панельного жилого дома. Требуется ремонт помещения.</t>
  </si>
  <si>
    <t>Иркутская обл, г Бодайбо, ул Карла Либкнехта, д 54, помещ 7</t>
  </si>
  <si>
    <t>04 07 22 09:00</t>
  </si>
  <si>
    <t>38:22:000054:1204</t>
  </si>
  <si>
    <t>10021</t>
  </si>
  <si>
    <t>65</t>
  </si>
  <si>
    <t>Нежилое помещение, назначение: нежилое помещение., этаж №1расположенное по адресу: , в Едином государственном реестре прав на недвижимое имущество и сделок с ним 09.12.2021г. сделана запись регистрации: № 38:06:130101:2679-38/330/2020-1, с земельным участком, категория земель: земли населенных пунктов, вид разрешенного использования: для сельскохозяйственного производства.расположенный по адресу: , в Едином государственном реестре прав на недвижимое имущество и сделок с ним 22.10.2020г. сделана запись регистрации: № 38:06:130101:1026-38/115/2020-3. Обременения, арест на объект отсутствуют.</t>
  </si>
  <si>
    <t>Иркутская обл, Иркутский р-н, село Мамоны, ул Центральная</t>
  </si>
  <si>
    <t xml:space="preserve">38:06:130101:2679, </t>
  </si>
  <si>
    <t>63</t>
  </si>
  <si>
    <t>Иркутская обл, г Ангарск, кв-л 91, д 13, помещ 7</t>
  </si>
  <si>
    <t>12 05 22 06:00</t>
  </si>
  <si>
    <t xml:space="preserve">38:26:040203:2679, </t>
  </si>
  <si>
    <t>5682</t>
  </si>
  <si>
    <t>Иркутская область, г. Ангарск, мкр-н 8, д. 8, помещение 32</t>
  </si>
  <si>
    <t xml:space="preserve">38:26:040402:8377, </t>
  </si>
  <si>
    <t>Лот № 1 - нежилое помещение на 1-ом этаже 4-х этажного жилого дома .расположенное по адресу: .</t>
  </si>
  <si>
    <t>Иркутская обл, г Свирск, ул Дзержинского, д 3, кв 33</t>
  </si>
  <si>
    <t>07 04 22 10:00</t>
  </si>
  <si>
    <t xml:space="preserve">38:33:020147:254, </t>
  </si>
  <si>
    <t>2466</t>
  </si>
  <si>
    <t xml:space="preserve">Нежилое помещение по адресу: </t>
  </si>
  <si>
    <t>Иркутская обл, г Братск, ж/р Гидростроитель, пр-д Сталеваров, зд 4, помещ 1001</t>
  </si>
  <si>
    <t>11 04 22 02:00</t>
  </si>
  <si>
    <t>38:34:030201:717</t>
  </si>
  <si>
    <t>942</t>
  </si>
  <si>
    <t xml:space="preserve">Ветеринарный пункт, назначение: нежилое помещение, этаж № 1расположенный по адресу: </t>
  </si>
  <si>
    <t>г Иркутск, ул Делегатская, д 18</t>
  </si>
  <si>
    <t>10 03 22 06:00</t>
  </si>
  <si>
    <t xml:space="preserve">38:36:000008:6565, </t>
  </si>
  <si>
    <t>121</t>
  </si>
  <si>
    <t xml:space="preserve">Жилой дом с нежилыми помещениями (аварийный, подлежащий сносу) .; земельный участок из земель населенных пунктов с разрешенным использованием – среднеэтажная жилая застройка (под существующим многоквартирным жилым домом), расположенные по адресу: </t>
  </si>
  <si>
    <t>Калининградская обл, г Правдинск, ул Столярная, д 9</t>
  </si>
  <si>
    <t>21 07 22 15:00</t>
  </si>
  <si>
    <t>39:11:010009:40</t>
  </si>
  <si>
    <t>318</t>
  </si>
  <si>
    <t>Нежилое здание (водонапорная башня № 3) ., расположенного по адресу: .</t>
  </si>
  <si>
    <t>Калининградская обл, Правдинский р-н, поселок Железнодорожный, ул Вокзальная</t>
  </si>
  <si>
    <t>39:11:020009:220</t>
  </si>
  <si>
    <t>300</t>
  </si>
  <si>
    <t>Нежилое помещениеэтаж № 1</t>
  </si>
  <si>
    <t>г Калининград, ул Аксакова, д 131, помещ 13</t>
  </si>
  <si>
    <t xml:space="preserve">39:15:133003:78, </t>
  </si>
  <si>
    <t>6162</t>
  </si>
  <si>
    <t>Нежилые помещения, назначение: нежилые помещения, расположенные по адресу: , д. 6/112 - , этаж № 1кв. 5, 6, 7, 8, 9, номер на поэтажном плане 11;- , цокольный этажкв. 3, 4;- , этаж № 1кв. 6;- , этаж № 1кв. 5, 6, 7, 8, 9, номера на поэтажном плане 8, 9, 10;- , этаж № 1кв. 5, 6, 7, 8, 9, номер на поэтажном плане 1;- , этаж № 1кв. 5, 6, 7, 8, 9, номер на поэтажном плане 5, 6, 7, 12,находятся в выявленном объекте культурного наследия «Жилой дом, кон. XIX в.»</t>
  </si>
  <si>
    <t>г Калуга, ул Воронина</t>
  </si>
  <si>
    <t>15 07 22 20:59</t>
  </si>
  <si>
    <t xml:space="preserve">40:26:000262:1243, </t>
  </si>
  <si>
    <t>12396</t>
  </si>
  <si>
    <t>185</t>
  </si>
  <si>
    <t xml:space="preserve">Нежилое помещение, назначение: нежилое помещение, этаж № 1адрес (местоположение): </t>
  </si>
  <si>
    <t>г Калуга, ул Зеленая, д 52, кв 1</t>
  </si>
  <si>
    <t>17 02 22 20:59</t>
  </si>
  <si>
    <t xml:space="preserve">40:26:000142:439, </t>
  </si>
  <si>
    <t>4201</t>
  </si>
  <si>
    <t xml:space="preserve">Помещение назначение: нежилое помещение, площадью 334,1 кв., количество этажей: 1, адрес (местонахождение) объекта: </t>
  </si>
  <si>
    <t>Камчатский край, Елизовский р-н, поселок Начики, д 15, помещ 46</t>
  </si>
  <si>
    <t>19 04 22 11:30</t>
  </si>
  <si>
    <t xml:space="preserve">41:05:0101017:568, </t>
  </si>
  <si>
    <t>Зданиеназначение объекта: нежилое, вид права: собственность., адрес (местоположение) объекта: . Здание в плохом состоянии, местами обвал крыши, повреждение стен, следы возгорания, выбиты стекла, провален пол, нет света.</t>
  </si>
  <si>
    <t>г Петропавловск-Камчатский, ул Приморская, д 94</t>
  </si>
  <si>
    <t>16 05 22 22:00</t>
  </si>
  <si>
    <t xml:space="preserve">41:01:0010112:285, </t>
  </si>
  <si>
    <t>114</t>
  </si>
  <si>
    <t>42</t>
  </si>
  <si>
    <t xml:space="preserve">Нежилое помещение.расположенное по адресу: </t>
  </si>
  <si>
    <t>Кемеровская область - Кузбасс, г Прокопьевск, пр-кт Строителей, зд 7, помещ 3</t>
  </si>
  <si>
    <t>03 08 22 08:00</t>
  </si>
  <si>
    <t xml:space="preserve">42:32:0103013:35469,  </t>
  </si>
  <si>
    <t>5040</t>
  </si>
  <si>
    <t>51</t>
  </si>
  <si>
    <t>Нежилое помещение Кемеровская область - Кузбасс, г. Кемерово, ул. Инициативная, д. 23а, помещение 8</t>
  </si>
  <si>
    <t>г Кемерово, ул Инициативная, д 23А, помещ 8</t>
  </si>
  <si>
    <t>18 07 22 08:00</t>
  </si>
  <si>
    <t xml:space="preserve">42:24:0301011:7118, </t>
  </si>
  <si>
    <t>138</t>
  </si>
  <si>
    <t>Нежилое помещение.расположенное по адресу: .</t>
  </si>
  <si>
    <t>Кемеровская область - Кузбасс, г Прокопьевск, ул 10-й микрорайон, д 7, помещ 1п</t>
  </si>
  <si>
    <t>20 06 22 08:00</t>
  </si>
  <si>
    <t xml:space="preserve">42:32:0103013:32317, </t>
  </si>
  <si>
    <t>3282</t>
  </si>
  <si>
    <t>См. в документах по лоту</t>
  </si>
  <si>
    <t>г. Новокузнецк, пр-т Строителей, 45, помещение №52</t>
  </si>
  <si>
    <t>42:30:0301035: 1488</t>
  </si>
  <si>
    <t>нежилое помещение, расположенное по адресу: .назначение объекта: нежилое</t>
  </si>
  <si>
    <t>Кемеровская область - Кузбасс, г Березовский, ул Мира, д 46, помещ 518</t>
  </si>
  <si>
    <t>24 05 22 10:30</t>
  </si>
  <si>
    <t>42:22:0102009:2033;</t>
  </si>
  <si>
    <t>2781</t>
  </si>
  <si>
    <t xml:space="preserve">встроенное нежилое помещение ., расположенное по адресу: </t>
  </si>
  <si>
    <t>Кемеровская область - Кузбасс, г Мыски, ул Пушкина, д 2, помещ 1</t>
  </si>
  <si>
    <t>18 05 22 03:00</t>
  </si>
  <si>
    <t>42:29:0101001:2376</t>
  </si>
  <si>
    <t>Нежилое помещение.расположенное по адресу:  (реестровый номер федерального имущества П13430000796).</t>
  </si>
  <si>
    <t>Кемеровская область - Кузбасс, г Топки, ул Революции, д 3</t>
  </si>
  <si>
    <t>20 03 22 13:00</t>
  </si>
  <si>
    <t xml:space="preserve">42:35:0107004:1359, </t>
  </si>
  <si>
    <t>1155</t>
  </si>
  <si>
    <t>Нежилое помещениеобщей пл.67 кв.м по адресу:</t>
  </si>
  <si>
    <t>Кемеровская область - Кузбасс, г Анжеро-Судженск, ул Желябова, д 11</t>
  </si>
  <si>
    <t>21 03 22 08:00</t>
  </si>
  <si>
    <t xml:space="preserve">42:20:0102046:1694, </t>
  </si>
  <si>
    <t>4152</t>
  </si>
  <si>
    <t xml:space="preserve">Нежилое помещениеобщей пл.493,1 кв.м по адресу: </t>
  </si>
  <si>
    <t>г Кемерово, ул Халтурина, д 39, помещ 34</t>
  </si>
  <si>
    <t xml:space="preserve">42:24:0301019:5302, </t>
  </si>
  <si>
    <t>462</t>
  </si>
  <si>
    <t xml:space="preserve">Нежилое помещениеобщей пл.321,9 кв.м по адресу: </t>
  </si>
  <si>
    <t>Кемеровская область - Кузбасс, г Киселевск, ул Советская, д 4А, кв 1</t>
  </si>
  <si>
    <t xml:space="preserve">42:25:0108004:2348, </t>
  </si>
  <si>
    <t>207</t>
  </si>
  <si>
    <t xml:space="preserve">нежилое помещение  по адресу: </t>
  </si>
  <si>
    <t>Кемеровская область - Кузбасс, г Прокопьевск, ул Коксовая, д 38, помещ 3</t>
  </si>
  <si>
    <t>14 02 22 08:00</t>
  </si>
  <si>
    <t>42:32:0101017:4137</t>
  </si>
  <si>
    <t>1755</t>
  </si>
  <si>
    <t xml:space="preserve">Нежилое помещение  по адресу: </t>
  </si>
  <si>
    <t>Кемеровская область - Кузбасс, г Прокопьевск, ул Российская, д 40, помещ 1</t>
  </si>
  <si>
    <t>42:32:0102004:2651</t>
  </si>
  <si>
    <t>507</t>
  </si>
  <si>
    <t xml:space="preserve">нежилое помещение , по адресу: </t>
  </si>
  <si>
    <t>Кемеровская область - Кузбасс, г Прокопьевск, ул Институтская, д 3, помещ 1п</t>
  </si>
  <si>
    <t>42:32:0103013:33243</t>
  </si>
  <si>
    <t>366</t>
  </si>
  <si>
    <t>Нежилое помещение, количество этажей: 1., год завершения строительства: 1954г.</t>
  </si>
  <si>
    <t>Кировская обл, Оричевский р-н, поселок Зенгино, ул Производственная, д 3, помещ 1002</t>
  </si>
  <si>
    <t>28 06 22 05:00</t>
  </si>
  <si>
    <t>43:24:330402:596</t>
  </si>
  <si>
    <t>273</t>
  </si>
  <si>
    <t>помещение, назначение: нежилое, этаж цокольный, расположенное по адресу: , пом. 5:33:407:001:017067430:0100:20005</t>
  </si>
  <si>
    <t>Кировская обл, г Кирово-Чепецк, ул Сосновая, д 3 к 2</t>
  </si>
  <si>
    <t>13 07 22 20:00</t>
  </si>
  <si>
    <t>43:42:000057:0012</t>
  </si>
  <si>
    <t>4083</t>
  </si>
  <si>
    <t>Нежилое помещение  (реестровый номер федерального имущества П13440001744), расположенное по адресу: .</t>
  </si>
  <si>
    <t>Кировская обл, г Вятские Поляны, ул Профсоюзная, д 2, помещ 1001</t>
  </si>
  <si>
    <t xml:space="preserve">43:41:000017:1128 </t>
  </si>
  <si>
    <t>1173</t>
  </si>
  <si>
    <t>Нежилое помещение . (реестровый номер федерального имущества П13440000733), расположенное по адресу: .</t>
  </si>
  <si>
    <t>г Киров, ул Московская, д 8, помещ 1004</t>
  </si>
  <si>
    <t>14 03 22 11:00</t>
  </si>
  <si>
    <t xml:space="preserve">43:40:000300:246 </t>
  </si>
  <si>
    <t>8346</t>
  </si>
  <si>
    <t>нежилое помещение, назначение: торговое. . Этаж 1. Адрес объекта: . :33:407:001:005387080:0100:20004</t>
  </si>
  <si>
    <t>Кировская обл, г Кирово-Чепецк, ул Ленина, д 6 к 5</t>
  </si>
  <si>
    <t>26 02 22 20:00</t>
  </si>
  <si>
    <t>43:42:000061:0023</t>
  </si>
  <si>
    <t>2745</t>
  </si>
  <si>
    <t>Помещение, назначение: нежилое помещение, этажность (этаж): 1, расположенное по адресу: , помещ. 2</t>
  </si>
  <si>
    <t>г Киров, ул Спасская, зд 12г1</t>
  </si>
  <si>
    <t>24 02 22 15:00</t>
  </si>
  <si>
    <t>43:40:000306:239</t>
  </si>
  <si>
    <t>5925</t>
  </si>
  <si>
    <t>Помещение, назначение: нежилое помещение, этажность (этаж): 1, расположенное по адресу: , помещ. 3</t>
  </si>
  <si>
    <t>43:40:000306:238</t>
  </si>
  <si>
    <t>Помещение, назначение: нежилое помещение, этажность (этаж): 1, расположенное по адресу: , помещ. 1</t>
  </si>
  <si>
    <t>43:40:000306:237</t>
  </si>
  <si>
    <t>часть здания-склада, расположенного по адресу: . Состояние удовлетворительное.</t>
  </si>
  <si>
    <t>Костромская обл, г Буй, ул Островского, д 6</t>
  </si>
  <si>
    <t>14 05 22 14:00</t>
  </si>
  <si>
    <t>44:25:030307:163</t>
  </si>
  <si>
    <t>2283</t>
  </si>
  <si>
    <t>Помещение назначение: нежилое помещение, площадью 32,3 квадратного метра, расположенное по адресу: .</t>
  </si>
  <si>
    <t>г Кострома, ул Центральная, д 4, помещ 1а</t>
  </si>
  <si>
    <t>16 05 22 14:00</t>
  </si>
  <si>
    <t xml:space="preserve">44:27:060402:58, </t>
  </si>
  <si>
    <t>3405</t>
  </si>
  <si>
    <t>нежилое помещение, расположенное на 1 этаже МКД.</t>
  </si>
  <si>
    <t>Костромская обл., Шарьинский р-н., гор. Шарья, ул. Ивана Шатрова, д. 14, помещение № 92</t>
  </si>
  <si>
    <t>19 04 22 14:00</t>
  </si>
  <si>
    <t>44:31:020408:578</t>
  </si>
  <si>
    <t>1052</t>
  </si>
  <si>
    <t>помещение назначение: нежилое помещение на первом этаже</t>
  </si>
  <si>
    <t>г Кострома, ул Шагова, д 101, помещ 2</t>
  </si>
  <si>
    <t>21 02 22 14:00</t>
  </si>
  <si>
    <t xml:space="preserve">44:27:040511:657, </t>
  </si>
  <si>
    <t>3474</t>
  </si>
  <si>
    <t xml:space="preserve">Помещения расположенные в здании, где работал Курганский революционный трибунал (Дом М.М. Дунаева), назначение: нежилоеэтаж: № 1, 2, по адресу: </t>
  </si>
  <si>
    <t>г Курган, ул Куйбышева, д 87</t>
  </si>
  <si>
    <t>24 07 22 11:00</t>
  </si>
  <si>
    <t xml:space="preserve">45:25:070310:4198, </t>
  </si>
  <si>
    <t>EK</t>
  </si>
  <si>
    <t>1671</t>
  </si>
  <si>
    <t xml:space="preserve">помещение, назначение: нежилое; ., номера на поэтажном плане: №18-20адрес (местоположение): </t>
  </si>
  <si>
    <t>Курганская обл, рп Лебяжье, ул Спортивная, д 36, помещ 2</t>
  </si>
  <si>
    <t>03 07 22 18:00</t>
  </si>
  <si>
    <t xml:space="preserve">45:10:030105:230, </t>
  </si>
  <si>
    <t>г. Курган, ул. Пролетарская, д. 82, нежилое помещение.</t>
  </si>
  <si>
    <t>г Новосибирск, ул Пролетарская, д 82</t>
  </si>
  <si>
    <t>25 03 22 13:00</t>
  </si>
  <si>
    <t>45:25:070401:2692</t>
  </si>
  <si>
    <t>Нежилые помещения в здании гостиницы., расположенные по адресу: .</t>
  </si>
  <si>
    <t>Курганская обл, г Далматово, ул Энгельса, д 17</t>
  </si>
  <si>
    <t>16 03 22 12:00</t>
  </si>
  <si>
    <t>45:04:020201:735</t>
  </si>
  <si>
    <t>234</t>
  </si>
  <si>
    <t>Жилое помещение (квартира) .(имущество обременено: арест, ипотека в силу закона, запрет на совершение регистрационных действий, зарегистрированы и проживают два физических лица). Информация о задолженности по взносам на капитальный ремонт судебным приставом-исполнителем организатору торгов не представлена. Имущество принадлежит на праве собственности должнику Бароян К.Н. Основание проведения аукциона: исполнительный лист Ленинского районного суда г. Курска серия ФС №040827893  от 17.12.2021; решение именем РФ Ленинского районного суда г. Курска от 09.08.2021 дело № 2-2106/15-2021</t>
  </si>
  <si>
    <t>22 07 22 15:00</t>
  </si>
  <si>
    <t xml:space="preserve">46:29:101012:5055 </t>
  </si>
  <si>
    <t>Нежилое помещение. Этаж № 1. . расположенное по адресу: ;</t>
  </si>
  <si>
    <t>Курская обл., г. Льгов, ул. К. Маркса, д. 21, пом. II</t>
  </si>
  <si>
    <t>30 06 22 13:00</t>
  </si>
  <si>
    <t xml:space="preserve">46:32:010101:11347, </t>
  </si>
  <si>
    <t>Нежилое помещение VI 1-го этажа (к/н 46:29:102330:513). (объект культурного наследия) расположенное по адресу: .</t>
  </si>
  <si>
    <t>г Курск, ул Ленина, д 95</t>
  </si>
  <si>
    <t>10 06 22 06:00</t>
  </si>
  <si>
    <t>46:29:102330:513</t>
  </si>
  <si>
    <t>9878</t>
  </si>
  <si>
    <t>184</t>
  </si>
  <si>
    <t>47</t>
  </si>
  <si>
    <t xml:space="preserve">нежилое помещение . по адресу: </t>
  </si>
  <si>
    <t>Ленинградская обл, Волховский р-н, г Новая Ладога, пр-кт Карла Маркса, д 22</t>
  </si>
  <si>
    <t>29 06 22 07:59</t>
  </si>
  <si>
    <t>47:11:0101034:67</t>
  </si>
  <si>
    <t>2910</t>
  </si>
  <si>
    <t>Описание имущества в приложенном файле: «Описание имущества»</t>
  </si>
  <si>
    <t>Ленинградская обл, Ломоносовский р-н, деревня Горбунки, д 9, помещ 1</t>
  </si>
  <si>
    <t>06 06 22 20:59</t>
  </si>
  <si>
    <t>47:14:0413001:2543</t>
  </si>
  <si>
    <t>2301</t>
  </si>
  <si>
    <t>Ленинградская обл, Ломоносовский р-н, деревня Горбунки, д 16 к 1</t>
  </si>
  <si>
    <t>47:14:0000000:32179</t>
  </si>
  <si>
    <t>3660</t>
  </si>
  <si>
    <t>Ленинградская область, г. Сланцы, ул. Свердлова, д.1/8, пом.1</t>
  </si>
  <si>
    <t>22 03 22 14:00</t>
  </si>
  <si>
    <t xml:space="preserve">47:28:0000000:3509, </t>
  </si>
  <si>
    <t>49</t>
  </si>
  <si>
    <t>Наименование имущества: Котельная, назначение объекта: нежилое, адрес (местоположение) объекта: .</t>
  </si>
  <si>
    <t>г Магадан, ул Продольная, д 22</t>
  </si>
  <si>
    <t>19 07 22 06:00</t>
  </si>
  <si>
    <t>49:09:031002:251</t>
  </si>
  <si>
    <t>Наименование имущества: Водозабор; назначение: нежилое здание; , адрес: Магаданская обл., р-н Ягоднинский, п. Синегорье; и право аренды на земельный участок; категория земель: земли населенных пунктов; вид разрешенного использования: под водозабор на реке Колыма; адрес: установлено относительно ориентира, расположенного за пределами участка. Почтовый адрес ориентира: Магаданская обл., р-н Ягоднинский, п. Синегорье, окраина поселка; .</t>
  </si>
  <si>
    <t>Магаданская обл, Ягоднинский р-н, пгт Синегорье</t>
  </si>
  <si>
    <t xml:space="preserve">49:08:000000:576 </t>
  </si>
  <si>
    <t>2119</t>
  </si>
  <si>
    <t>Наименование имущества: Нежилое помещение; назначение: нежилое помещение; , адрес: ; .</t>
  </si>
  <si>
    <t>Магаданская обл, Ягоднинский р-н, пгт Синегорье, ул Первая, д 2</t>
  </si>
  <si>
    <t>49:08:050002:1444</t>
  </si>
  <si>
    <t>2874</t>
  </si>
  <si>
    <t>Помещение .</t>
  </si>
  <si>
    <t>Магаданская обл, пгт Ягодное, ул Металлистов, д 8</t>
  </si>
  <si>
    <t>49:08:070103:758</t>
  </si>
  <si>
    <t>Продажа нежилого помещения 16,6 кв.м в Раменском г.о.</t>
  </si>
  <si>
    <t>Московская обл, г Раменское, Донинское шоссе, д 6, помещ 1</t>
  </si>
  <si>
    <t>27 06 22 15:00</t>
  </si>
  <si>
    <t>50:23:0000000:101055</t>
  </si>
  <si>
    <t>9324</t>
  </si>
  <si>
    <t>Продажа нежилого помещения 169,9 в Сергиево-Посадском г.о.</t>
  </si>
  <si>
    <t>Московская обл, г Сергиев Посад, ул Куликова, д 21, помещ 1</t>
  </si>
  <si>
    <t>04 07 22 15:00</t>
  </si>
  <si>
    <t>50:05:0000000:26263</t>
  </si>
  <si>
    <t>6600</t>
  </si>
  <si>
    <t>Продажа нежилого помещения 108 кв.м в Дмитровском г.о.</t>
  </si>
  <si>
    <t>Московская область, Дмитровский район, Большерогачевское с/п, с. Рогачево, пл. Осипова</t>
  </si>
  <si>
    <t>50:04:0080501:4733</t>
  </si>
  <si>
    <t>870</t>
  </si>
  <si>
    <t>Продажа нежилого помещения 18,2 кв.м в г.о. Королёв</t>
  </si>
  <si>
    <t>Московская область, г. Королев, ул. Первомайская, 7а, блок 1, пом.6</t>
  </si>
  <si>
    <t>06 06 22 15:00</t>
  </si>
  <si>
    <t>50:45:0040202:88</t>
  </si>
  <si>
    <t>2825</t>
  </si>
  <si>
    <t>Продажа нежилого помещения 13,7 кв.м в г.о. Королев</t>
  </si>
  <si>
    <t>Московская обл, г Королёв, пр-кт Королева, д 28, помещ 2</t>
  </si>
  <si>
    <t>20 05 22 15:00</t>
  </si>
  <si>
    <t>50:45:0040802:363</t>
  </si>
  <si>
    <t>7887</t>
  </si>
  <si>
    <t>Продажа нежилого помещения 78,5 кв.м в г.о. Подольск</t>
  </si>
  <si>
    <t>Московская обл, г Подольск, мкр Климовск, ул Железнодорожная, д 3, помещ 6</t>
  </si>
  <si>
    <t>19 05 22 15:00</t>
  </si>
  <si>
    <t>50:56:0000000:7959</t>
  </si>
  <si>
    <t>2640</t>
  </si>
  <si>
    <t>Продажа нежилого помещения 20,8 кв.м в г.о. Подольск</t>
  </si>
  <si>
    <t>Московская обл, г Подольск, мкр Климовск, Октябрьская пл, д 2а, помещ 4</t>
  </si>
  <si>
    <t>50:56:0000000:8053</t>
  </si>
  <si>
    <t>7647</t>
  </si>
  <si>
    <t>126</t>
  </si>
  <si>
    <t>Продажа нежилого помещения 85,5 кв.м в Богородском г.о.</t>
  </si>
  <si>
    <t>Московская обл, г Ногинск, ул Текстилей, д 29</t>
  </si>
  <si>
    <t>04 05 22 15:00</t>
  </si>
  <si>
    <t>50:16:0301001:3345</t>
  </si>
  <si>
    <t>504</t>
  </si>
  <si>
    <t>Продажа нежилого помещения 45,7 кв.м в г.о Реутов</t>
  </si>
  <si>
    <t>Московская обл, г Реутов, ул Гагарина, д 11, помещ 34</t>
  </si>
  <si>
    <t>14 04 22 15:00</t>
  </si>
  <si>
    <t>50:48:0000000:23453</t>
  </si>
  <si>
    <t>7563</t>
  </si>
  <si>
    <t>125</t>
  </si>
  <si>
    <t>Продажа нежилого помещения 39,5 кв.м в г.о. Королёв</t>
  </si>
  <si>
    <t>Московская обл, г Королёв, мкр Юбилейный, ул М.К.Тихонравова, д 42, помещ 1</t>
  </si>
  <si>
    <t>12 04 22 15:00</t>
  </si>
  <si>
    <t>50:45:0000000:46556</t>
  </si>
  <si>
    <t>1524</t>
  </si>
  <si>
    <t>Продажа нежилого помещения 46,3 кв.м. в Рузском г.о.</t>
  </si>
  <si>
    <t>Московская область, Рузский район, городское поселение Руза, г. Руза,  ул. Красная, д. 1</t>
  </si>
  <si>
    <t>04 04 22 15:00</t>
  </si>
  <si>
    <t xml:space="preserve">50:19:0010203:1730 </t>
  </si>
  <si>
    <t>885</t>
  </si>
  <si>
    <t xml:space="preserve">нежилое помещениеэтаж 01, номер на поэтажном плане I,II,V,VI расположенное по адресу: </t>
  </si>
  <si>
    <t>Мурманская область, Кольский район, п.г.т. Мурмаши, ул.Тягунова, д.4</t>
  </si>
  <si>
    <t>29 07 22 20:59</t>
  </si>
  <si>
    <t xml:space="preserve">51:01:0203003:808, </t>
  </si>
  <si>
    <t xml:space="preserve">помещение, назначение: нежилое., этаж: цокольный, номера на поэтажном плане I(1-15), II(1-20), расположенное по адресу: </t>
  </si>
  <si>
    <t>Мурманская обл, г Кировск, ул Кирова, д 3</t>
  </si>
  <si>
    <t>19 06 22 14:00</t>
  </si>
  <si>
    <t>51:16:0010102:595</t>
  </si>
  <si>
    <t>2229</t>
  </si>
  <si>
    <t>нежилое помещениерасположенное по адресу: ,70</t>
  </si>
  <si>
    <t>Мурманская область, МО г.п. Мурмаши Кольского р-на, п.г.т. Мурмаши, ул.Цесарского, д. 2, пом. 69</t>
  </si>
  <si>
    <t>28 04 22 20:59</t>
  </si>
  <si>
    <t xml:space="preserve">51:01:0207004:484, </t>
  </si>
  <si>
    <t>нежилое помещение, 1 этаж, город Мурманск, проспект Кольский, дом 46номера на поэтажном плане: А/1/2а(1-4)</t>
  </si>
  <si>
    <t>г Мурманск, Кольский пр-кт</t>
  </si>
  <si>
    <t>14 03 22 20:00</t>
  </si>
  <si>
    <t xml:space="preserve">51:20:0001011:2017, </t>
  </si>
  <si>
    <t>4065</t>
  </si>
  <si>
    <t>нежилое помещение, расположенное по адресу:  (23)</t>
  </si>
  <si>
    <t>Мурманская область, МО г.п. Мурмаши Кольского р-на, п.г.т. Мурмаши, ул.Цесарского, д. 2, пом.II</t>
  </si>
  <si>
    <t>09 03 22 21:00</t>
  </si>
  <si>
    <t>51:01:0207004:342</t>
  </si>
  <si>
    <t>Нежилое помещение, 1 этажномера на поэтажном плане: А/1/I(45,54,56,57)</t>
  </si>
  <si>
    <t>г Мурманск, ул Зои Космодемьянской, д 1</t>
  </si>
  <si>
    <t>16 02 22 20:00</t>
  </si>
  <si>
    <t xml:space="preserve">51:20:0001008:5272, </t>
  </si>
  <si>
    <t>2607</t>
  </si>
  <si>
    <t>52</t>
  </si>
  <si>
    <t>Нежилое помещение расположено на первом этаже двухэтажного нежилого здания. Вход отдельный с торца здания.</t>
  </si>
  <si>
    <t>г Нижний Новгород, поселок Новое Доскино, 13-я линия, д 13</t>
  </si>
  <si>
    <t>29 07 22 12:00</t>
  </si>
  <si>
    <t xml:space="preserve">52:18:0040051:6, </t>
  </si>
  <si>
    <t>616</t>
  </si>
  <si>
    <t>Нежилое помещение расположено на первом этаже двухэтажного нежилого здания. Имеется 1 отдельный и 1 совместный вход с другими пользователями.</t>
  </si>
  <si>
    <t>г Нижний Новгород, ул Героя Васильева, д 55</t>
  </si>
  <si>
    <t>21 07 22 12:00</t>
  </si>
  <si>
    <t xml:space="preserve">52:18:0040116:720, </t>
  </si>
  <si>
    <t>3287</t>
  </si>
  <si>
    <t xml:space="preserve">Нежилое помещение расположено на 2-м и 3-м этажах 3-этажного нежилого здания по адресу: </t>
  </si>
  <si>
    <t>Нижегородская обл, г Городец, ул М.Горького, д 36</t>
  </si>
  <si>
    <t>14 06 22 20:00</t>
  </si>
  <si>
    <t xml:space="preserve">52:15:0080503:1737 </t>
  </si>
  <si>
    <t>15600</t>
  </si>
  <si>
    <t xml:space="preserve">Нежилое помещение П1 расположено на 1-м и 2-м этажах 2-этажного нежилого здания по адресу: </t>
  </si>
  <si>
    <t>Нижегородская область, Городецкий район, г. Городец, ул.М.Горького, д. 38, пом П1</t>
  </si>
  <si>
    <t xml:space="preserve">52:15:0080503:613 </t>
  </si>
  <si>
    <t>Помещение нежилое, этаж 1</t>
  </si>
  <si>
    <t>Нижегородская область, р-н, Кстовский, п. Ждановский, ул. Школьная, д. 22 пом. 1/3-б</t>
  </si>
  <si>
    <t>30 05 22 05:00</t>
  </si>
  <si>
    <t>52:26:0030064:2016</t>
  </si>
  <si>
    <t>2751</t>
  </si>
  <si>
    <t>нежилое здание хлебопекарни .нежилое производственное здание площадью 483,3 кв.мнежилое здание котельной  Адрес (местоположения ) 606860 Нижегородская обл. Ветлужский район деревня Отлузиха.</t>
  </si>
  <si>
    <t>г Тверь, ул Орджоникидзе, д 25б</t>
  </si>
  <si>
    <t>19 04 22 09:00</t>
  </si>
  <si>
    <t>7173</t>
  </si>
  <si>
    <t>90</t>
  </si>
  <si>
    <t>Нежилое помещение расположено на этаже мезонин двухэтажного жилого дома. Вход осуществляетсячерез жилое помещение на первом этаже, находящиеся в частной собственности.</t>
  </si>
  <si>
    <t>г.Нижний Новгород, Нижегородский район, ул.Ульянова, д.34, помещение П3</t>
  </si>
  <si>
    <t>21 04 22 12:00</t>
  </si>
  <si>
    <t>Нежилое помещение,</t>
  </si>
  <si>
    <t>Нижегородская обл, Володарский р-н, тер массив земельных участков 3-1 Мая (рп Смолино), д 3, помещ 9</t>
  </si>
  <si>
    <t>29 04 22 13:00</t>
  </si>
  <si>
    <t>52:22:0500004:3635</t>
  </si>
  <si>
    <t>1303</t>
  </si>
  <si>
    <t>Нежилое помещение расположено на цокольном этаже одноэтажного жилого дома. Вход совместный с другими пользователями.</t>
  </si>
  <si>
    <t>г.Нижний Новгород, Канавинский район, ул.Канавинская, д.59, пом п1</t>
  </si>
  <si>
    <t>07 04 22 12:00</t>
  </si>
  <si>
    <t xml:space="preserve">52:18:0030080:129, </t>
  </si>
  <si>
    <t>Нежилое здание..Этажность: 1 Кадастровый номер : 52:01:02001046511.  . помещение № П-1</t>
  </si>
  <si>
    <t>Адрес: 606860, Нижегородская область, Ветлужский район г. ветлуга ул.ленина д.9</t>
  </si>
  <si>
    <t>04 04 22 05:00</t>
  </si>
  <si>
    <t>52:01:0200101:511</t>
  </si>
  <si>
    <t>Наименование объекта: нежилое помещение., этажность: 1(один). Адрес объекта: 607490, .</t>
  </si>
  <si>
    <t>Нижегородская обл, рп Пильна, ул Ленина, д 105, помещ 1</t>
  </si>
  <si>
    <t>24 03 22 21:00</t>
  </si>
  <si>
    <t>52:46:0200502:108</t>
  </si>
  <si>
    <t>540</t>
  </si>
  <si>
    <t>Нежилое помещение расположено на первом этаже пятиэтажного жилого дома. Имеется 2 отдельных входа: 1 – с фасада, 1 – со двора дома.</t>
  </si>
  <si>
    <t>г.Нижний Новгород, Автозаводский район, пер.Моторный, д.4, корп.2, пом П2</t>
  </si>
  <si>
    <t>14 03 22 12:00</t>
  </si>
  <si>
    <t>52:18:0040200:478</t>
  </si>
  <si>
    <t>Нежилое помещение расположено на первом этаже двухэтажного жилого дома. Объект находится в разрушенном состоянии.</t>
  </si>
  <si>
    <t>г Нижний Новгород, пер Вахитова, д 7, помещ П2А</t>
  </si>
  <si>
    <t>09 02 22 12:00</t>
  </si>
  <si>
    <t>52:18:0060027:626</t>
  </si>
  <si>
    <t>3103</t>
  </si>
  <si>
    <t>190</t>
  </si>
  <si>
    <t xml:space="preserve">Нежилое помещение расположенное по </t>
  </si>
  <si>
    <t>г Великий Новгород, ул Фёдоровский Ручей, д 9, помещ 6н</t>
  </si>
  <si>
    <t>27 07 22 13:00</t>
  </si>
  <si>
    <t xml:space="preserve">53:23:7102007:131, </t>
  </si>
  <si>
    <t>1056</t>
  </si>
  <si>
    <t>62</t>
  </si>
  <si>
    <t>нежилое помещение</t>
  </si>
  <si>
    <t>Новгородская обл, г Старая Русса, ул Профсоюзная, д 1 к 3</t>
  </si>
  <si>
    <t>21 03 22 14:30</t>
  </si>
  <si>
    <t xml:space="preserve">53:24:0000000:6352, </t>
  </si>
  <si>
    <t>5513</t>
  </si>
  <si>
    <t>54</t>
  </si>
  <si>
    <t xml:space="preserve">Помещение., назначение: нежилое помещениерасположенное по адресу: </t>
  </si>
  <si>
    <t>г Новосибирск, ул Аэропорт, д 7</t>
  </si>
  <si>
    <t>15 04 22 05:00</t>
  </si>
  <si>
    <t xml:space="preserve">54:35:033545:741, </t>
  </si>
  <si>
    <t>3135</t>
  </si>
  <si>
    <t xml:space="preserve">Нежилое помещение: расположенное по адресу: </t>
  </si>
  <si>
    <t>Новосибирская обл, г Черепаново, ул Цыцаркина, д 58А</t>
  </si>
  <si>
    <t>29 03 22 14:00</t>
  </si>
  <si>
    <t xml:space="preserve">54:28:010411:296, </t>
  </si>
  <si>
    <t>522</t>
  </si>
  <si>
    <t>Нежилое помещение на 1 этаже по адресу: . .</t>
  </si>
  <si>
    <t>г Новосибирск, ул Большая</t>
  </si>
  <si>
    <t>14 03 22 07:00</t>
  </si>
  <si>
    <t>54:35:061490:3590</t>
  </si>
  <si>
    <t>66</t>
  </si>
  <si>
    <t>4. Нежилое помещение на цокольном этаже по адресу: . .</t>
  </si>
  <si>
    <t>г Новосибирск, ул Сибиряков-Гвардейцев, д 44/4</t>
  </si>
  <si>
    <t>54:35:051835:828</t>
  </si>
  <si>
    <t>1344</t>
  </si>
  <si>
    <t xml:space="preserve">Нежилые помещения №№ 39-66 на поэтажном плане 1 этажа ., расположенные в нежилом здании по адресу: </t>
  </si>
  <si>
    <t>Омская обл, Омский р-н, поселок Ростовка, д 21</t>
  </si>
  <si>
    <t>03 06 22 12:00</t>
  </si>
  <si>
    <t>55:20:210101:3333</t>
  </si>
  <si>
    <t>3003</t>
  </si>
  <si>
    <t xml:space="preserve">нежилое помещение, назначение: нежилое. . . Этаж 1. </t>
  </si>
  <si>
    <t>Адрес: Омская область, Омский район, с. Розовка, ул. Парковая, д. 12 пом. 2П</t>
  </si>
  <si>
    <t>29 04 22 11:00</t>
  </si>
  <si>
    <t>55:20:200101:5436</t>
  </si>
  <si>
    <t>Нежилое помещение 5П расположенное на 1 этаже</t>
  </si>
  <si>
    <t>г Омск, Космический пр-кт, д 18</t>
  </si>
  <si>
    <t>18 03 22 10:00</t>
  </si>
  <si>
    <t xml:space="preserve">55:36:000000:27362, </t>
  </si>
  <si>
    <t>4480</t>
  </si>
  <si>
    <t>56</t>
  </si>
  <si>
    <t>помещение, назначение: нежилое., этаж 1,2расположенное по адресу: .</t>
  </si>
  <si>
    <t>Оренбургская обл, Переволоцкий р-н, село Зубочистка Вторая, ул Центральная, д 11, помещ 2</t>
  </si>
  <si>
    <t>20 06 22 07:00</t>
  </si>
  <si>
    <t xml:space="preserve">56:23:0401001:321, </t>
  </si>
  <si>
    <t xml:space="preserve">помещение, назначение: нежилое, номер, тип этажа, на котором расположено помещение: этаж № 1, местоположение: </t>
  </si>
  <si>
    <t>Оренбургская область, г. Оренбург, ул. Театральная, дом № 17, помещение № 1</t>
  </si>
  <si>
    <t>11 04 22 06:00</t>
  </si>
  <si>
    <t>56:44:0114001:1404</t>
  </si>
  <si>
    <t>Нежилого помещение .расположенное по адресу: , являющееся муниципальной собственностью муниципального образования Ташлинский район Оренбургской области и закрепленное на праве оперативного управления за МКУ «Хозяйственный отдел»</t>
  </si>
  <si>
    <t>Оренбургская обл, село Ташла, ул Довженко, зд 31А</t>
  </si>
  <si>
    <t>08 04 22 05:00</t>
  </si>
  <si>
    <t xml:space="preserve">56:31:1301019:248, </t>
  </si>
  <si>
    <t>1035</t>
  </si>
  <si>
    <t>57</t>
  </si>
  <si>
    <t>нежилое помещение, наименование: квартира.номер этажа, на котором расположено помещение: этаж № 01, адрес: .</t>
  </si>
  <si>
    <t>Орловская обл, пгт Колпна, ул Титова, д 17пом</t>
  </si>
  <si>
    <t>18 07 22 14:00</t>
  </si>
  <si>
    <t xml:space="preserve">57:23:0010101:774, </t>
  </si>
  <si>
    <t>Нежилое помещение, назначение: нежилое помещение, количество этажей 1.адрес объекта: .</t>
  </si>
  <si>
    <t>Орловская обл, г Ливны, ул Карла Маркса, д 117, помещ 5</t>
  </si>
  <si>
    <t>12 07 22 20:59</t>
  </si>
  <si>
    <t xml:space="preserve">57:26:0010216:698, </t>
  </si>
  <si>
    <t>363</t>
  </si>
  <si>
    <t>Нежилое помещение ., этаж цокольный, расположенное по адресу: .</t>
  </si>
  <si>
    <t>г Орёл, ул Дмитрия Блынского, д 12, помещ 237</t>
  </si>
  <si>
    <t>02 06 22 15:00</t>
  </si>
  <si>
    <t>1011</t>
  </si>
  <si>
    <t>58</t>
  </si>
  <si>
    <t>нежилое зданиеадрес (местонахождение) объекта: , 1990 год постройки;земельный участок .адрес (местонахождение) объекта: Пензенская область, Спасский район, г. Спасск, ул. Красная, д.34, категория земель: земли населённых пунктов.</t>
  </si>
  <si>
    <t>Пензенская обл, г Спасск, ул Красная, влд 34</t>
  </si>
  <si>
    <t>01 07 22 14:00</t>
  </si>
  <si>
    <t xml:space="preserve">58:02:0240117:61 </t>
  </si>
  <si>
    <t>1726</t>
  </si>
  <si>
    <t xml:space="preserve">Заложенное имущество: нежилое помещение, общ.адрес: </t>
  </si>
  <si>
    <t>Пензенская обл, г Сердобск, ул М.Горького, д 162</t>
  </si>
  <si>
    <t>15 06 22 14:00</t>
  </si>
  <si>
    <t xml:space="preserve">58:32:0020605:1647, </t>
  </si>
  <si>
    <t>4068</t>
  </si>
  <si>
    <t xml:space="preserve">нежилое помещение . расположенное по адресу: </t>
  </si>
  <si>
    <t>Пензенская обл, село Неверкино, ул Куйбышева, влд 16</t>
  </si>
  <si>
    <t>15 06 22 13:00</t>
  </si>
  <si>
    <t>58:20:0320301:1456</t>
  </si>
  <si>
    <t>Лот №10: Нежилое помещение, расположенное по адресу: . Техническое состояние объекта удовлетворительное.</t>
  </si>
  <si>
    <t>Пензенская обл, г Сердобск, ул Гагарина, д 17, помещ 3</t>
  </si>
  <si>
    <t>08 04 22 14:00</t>
  </si>
  <si>
    <t>58:32:0020529:157</t>
  </si>
  <si>
    <t>1033</t>
  </si>
  <si>
    <t>Помещение, назначение: нежилое, этаж 2адрес объекта:  (объект обременен договором аренды 13.06.2024г.)</t>
  </si>
  <si>
    <t>Пермский край, г Усолье, ул Свободы, д 144</t>
  </si>
  <si>
    <t>16 07 22 13:00</t>
  </si>
  <si>
    <t xml:space="preserve">59:37:0620302:513, </t>
  </si>
  <si>
    <t>369</t>
  </si>
  <si>
    <t>Помещение, назначение: нежилое, этаж № 4расположенное по адресу: .</t>
  </si>
  <si>
    <t>Пермский край, г Краснокамск, ул Энтузиастов, д 5</t>
  </si>
  <si>
    <t>31 05 22 14:00</t>
  </si>
  <si>
    <t xml:space="preserve">59:07:0011007:1170, </t>
  </si>
  <si>
    <t>1259</t>
  </si>
  <si>
    <t>Нежилое помещение (магазин) на цокольном этаже, по адресу: . Помещение пустует.</t>
  </si>
  <si>
    <t>г Пермь, 1-й Дубровский пер, д 4</t>
  </si>
  <si>
    <t>11 05 22 13:00</t>
  </si>
  <si>
    <t>59:01:2912574:491</t>
  </si>
  <si>
    <t>3558</t>
  </si>
  <si>
    <t>нежилое помещение  на 1 этаже жилого дома</t>
  </si>
  <si>
    <t>Пермский край, г Соликамск, ул Привокзальная, д 4</t>
  </si>
  <si>
    <t>24 04 22 18:00</t>
  </si>
  <si>
    <t>59:10:0406004:3162</t>
  </si>
  <si>
    <t>2925</t>
  </si>
  <si>
    <t>нежилое помещение, расположенное по адресу:  (цокольный этаж)</t>
  </si>
  <si>
    <t>Пермский край, г Лысьва, ул Кирова, д 21</t>
  </si>
  <si>
    <t>06 04 22 18:00</t>
  </si>
  <si>
    <t>59:09:0014503:788</t>
  </si>
  <si>
    <t>3495</t>
  </si>
  <si>
    <t>Нежилое помещение  на 1 этаже жилого дома, расположенное по адресу: , г. Соликамск</t>
  </si>
  <si>
    <t>Пермский край, г Соликамск, ул 20-летия Победы, д 200</t>
  </si>
  <si>
    <t>31 03 22 18:00</t>
  </si>
  <si>
    <t>59:10:0406004:3159</t>
  </si>
  <si>
    <t>3118</t>
  </si>
  <si>
    <t>Нежилое помещение, Пермский край, Добрянский городской округ, г. Добрянка, ул. Копылова, д.67. ..</t>
  </si>
  <si>
    <t>Пермский край, г Добрянка, ул Копылова, д 67</t>
  </si>
  <si>
    <t>25 03 22 17:00</t>
  </si>
  <si>
    <t>59:18:0010602:3161</t>
  </si>
  <si>
    <t>5358</t>
  </si>
  <si>
    <t>Нежилое помещение (встроенные помещения) на 1 этаже жилого дома по адресу: . Помещение пустует.</t>
  </si>
  <si>
    <t>г Пермь, ул Пулковская, д 9</t>
  </si>
  <si>
    <t>10 03 22 13:00</t>
  </si>
  <si>
    <t>59:01:2912530:1848</t>
  </si>
  <si>
    <t>6723</t>
  </si>
  <si>
    <t>Нежилое помещение (помещение) на цокольном этаже жилого дома по адресу: . Помещение пустует.</t>
  </si>
  <si>
    <t>г Пермь, ул Социалистическая, д 4</t>
  </si>
  <si>
    <t>59:01:3812307:1342</t>
  </si>
  <si>
    <t>3504</t>
  </si>
  <si>
    <t>Нежилые помещения на 3 этаже жилого дома по адресу: . Помещения пустуют.</t>
  </si>
  <si>
    <t>г Пермь, б-р Гагарина, д 81/4</t>
  </si>
  <si>
    <t>59:01:4311904:2092</t>
  </si>
  <si>
    <t>9051</t>
  </si>
  <si>
    <t>Нежилое помещение (магазин) на 1 этаже жилого дома по адресу: . Помещение пустует.</t>
  </si>
  <si>
    <t>г Пермь, ул Сибирская, д 1</t>
  </si>
  <si>
    <t>59:01:4410037:287</t>
  </si>
  <si>
    <t>6567</t>
  </si>
  <si>
    <t>Нежилое помещение на 1 этаже жилого дома по адресу: . Помещение пустует.</t>
  </si>
  <si>
    <t>г Пермь, Парковый пр-кт, д 5</t>
  </si>
  <si>
    <t>59:01:4410396:3674</t>
  </si>
  <si>
    <t>8760</t>
  </si>
  <si>
    <t>Пермский край, г. Пермь, Индустриальный район, ул. Чайковского и Кавалерийской, д. 19/11, пом.7</t>
  </si>
  <si>
    <t>59:01:4410713:1206</t>
  </si>
  <si>
    <t>Нежилое помещения 1003., расположенное на втором этаже здания по адресу: ,  Здание является объектом культурного наследия: «Усадьба городская Минина. Главный дом», 1922-1926 гг., 1931-1936 гг., Регистрационный номер в Едином государственном реестре объектов культурного наследия (памятников истории и культуры) народов Российской Федерации: 601710986750005.</t>
  </si>
  <si>
    <t>Псковская обл, г Печоры, ул Псковская, д 1, помещ 1003</t>
  </si>
  <si>
    <t>31 07 22 14:00</t>
  </si>
  <si>
    <t>60:15:1008012:132</t>
  </si>
  <si>
    <t>2007</t>
  </si>
  <si>
    <t>нежилое помещение, входящее в состав объекта культурного наследия федерального значения «Дом Трубинских со служебными постройками», XVII в.расположенное по адресу: , зарегистрированное в едином государственном реестре объектов культурного наследия (памятников истории и культуры) народов Российской Федерации приказом Министерства культуры Российской Федерации от 21 октября 2015 г. № 11050-р, имеющее охранное обязательство собственника или иного законного владельца объекта культурного наследия, утвержденное приказом Комитета по охране объектов культурного наследия Псковской области от 07 сентября 2020 г. № 489</t>
  </si>
  <si>
    <t>г Псков, ул Леона Поземского, д 22, помещ 1</t>
  </si>
  <si>
    <t>25 04 22 14:00</t>
  </si>
  <si>
    <t xml:space="preserve">60:27:0010205:43, </t>
  </si>
  <si>
    <t>нежилое помещение, наименование: нежилое помещение, Этаж № 1, ант. .</t>
  </si>
  <si>
    <t>02 08 22 15:00</t>
  </si>
  <si>
    <t>61:58:0001124:558</t>
  </si>
  <si>
    <t>Нежилое помещение, литер: ч.литера А, а5, а6, а7, а8, а9, этаж № 1, номера на поэтажном плане: 1, 2, 3, 4, 5, 6-7, 8, 9, 22, 23-24, 25-26, 27, 28, 29-30, 31, 32-33, 31а, 34, 35-36, 37, 38.расположенное по адресу: .</t>
  </si>
  <si>
    <t>Ростовская обл, г Шахты, ул Прокатная, д 4А</t>
  </si>
  <si>
    <t>04 05 22 08:00</t>
  </si>
  <si>
    <t xml:space="preserve">61:59:0020415:719, </t>
  </si>
  <si>
    <t>408</t>
  </si>
  <si>
    <t>нежилые помещения назначение: нежилое помещение, этаж № 1, расположенное по адресу:  , реестровый номер 24931 и назначение: нежилое помещение., этаж № 1, этаж № 2, расположенное по адресу: г. Рязань, ул. Предзаводская, д. 10, пом. Н3, реестровый номер 278785.</t>
  </si>
  <si>
    <t>г. Рязань, ул. Предзаводская, д. 10, пом. Н2</t>
  </si>
  <si>
    <t>19 04 22 08:00</t>
  </si>
  <si>
    <t xml:space="preserve">62:29:0130004:1630, </t>
  </si>
  <si>
    <t>Нежилое помещение , Этаж № 2, расположенное по адресу: .</t>
  </si>
  <si>
    <t>г Самара, ул Авроры, д 70</t>
  </si>
  <si>
    <t>22 07 22 05:00</t>
  </si>
  <si>
    <t>63:01:0117004:1771</t>
  </si>
  <si>
    <t>6459</t>
  </si>
  <si>
    <t xml:space="preserve">Нежилое помещение , Этаж № 1, расположенное по адресу:  </t>
  </si>
  <si>
    <t>г Самара, ул Флотская, д 17</t>
  </si>
  <si>
    <t>63:01:0411004:2258</t>
  </si>
  <si>
    <t>Нежилое помещение, расположенное по адресу: . Б/Н (1013) (подземный этаж № 1, номера на поэтажном плане подземный этаж № 1 поз. 227, 227а, 228, 229, 230, 231, 232, 233, 234, 235, 236)</t>
  </si>
  <si>
    <t>Самарская обл, г Тольятти, ул Свердлова, влд 51, помещ 0029</t>
  </si>
  <si>
    <t>27 04 22 13:00</t>
  </si>
  <si>
    <t>63:09:0101163:8424</t>
  </si>
  <si>
    <t>2175</t>
  </si>
  <si>
    <t xml:space="preserve">Пристроенное нежилое помещение  расположенное по адресу: </t>
  </si>
  <si>
    <t>Самарская обл, г Нефтегорск, ул Нефтяников, д 54А</t>
  </si>
  <si>
    <t>28 04 22 13:00</t>
  </si>
  <si>
    <t xml:space="preserve">63:27:0704015:875 </t>
  </si>
  <si>
    <t>1317</t>
  </si>
  <si>
    <t>в соответствии с информационным сообщением</t>
  </si>
  <si>
    <t>Самарская обл, г Новокуйбышевск, пр-кт Победы, д 50</t>
  </si>
  <si>
    <t>20 04 22 05:00</t>
  </si>
  <si>
    <t>8796</t>
  </si>
  <si>
    <t>Самарская обл, г Новокуйбышевск, пр-кт Победы, д 38</t>
  </si>
  <si>
    <t>8361</t>
  </si>
  <si>
    <t>Нежилое помещение , Этаж № 1, расположенное по адресу: .</t>
  </si>
  <si>
    <t>г Самара, ул Калинина, д 11</t>
  </si>
  <si>
    <t>06 04 22 05:00</t>
  </si>
  <si>
    <t>63:01:0729001:901</t>
  </si>
  <si>
    <t>4788</t>
  </si>
  <si>
    <t>63:01:0729001:902</t>
  </si>
  <si>
    <t>Нежилое помещение , Цокольный этаж № 1, расположенное по адресу: .</t>
  </si>
  <si>
    <t>г Самара, ул Мичурина, д 6</t>
  </si>
  <si>
    <t>63:01:0517003:586</t>
  </si>
  <si>
    <t>7549</t>
  </si>
  <si>
    <t>г Самара, ул Ново-Вокзальная, д 277</t>
  </si>
  <si>
    <t>63:01:0705003:2960</t>
  </si>
  <si>
    <t>5991</t>
  </si>
  <si>
    <t>Нежилое помещение , Этаж № 1, расположенного по адресу: , 1 этаж: комнаты №№ 52-54..</t>
  </si>
  <si>
    <t>г Самара, ул Промышленности, д 298</t>
  </si>
  <si>
    <t>63:01:0916005:1368</t>
  </si>
  <si>
    <t>9396</t>
  </si>
  <si>
    <t xml:space="preserve">Нежилое помещение , Этаж № 1, расположенное по адресу: </t>
  </si>
  <si>
    <t>г Самара, ул Теннисная, д 31</t>
  </si>
  <si>
    <t>63:01:0734001:2586</t>
  </si>
  <si>
    <t>5469</t>
  </si>
  <si>
    <t>Саратовская обл, г Энгельс, ул Марины Расковой, д 21, помещ 1</t>
  </si>
  <si>
    <t>26 07 22 14:00</t>
  </si>
  <si>
    <t>64:50:000000:78527</t>
  </si>
  <si>
    <t>2721</t>
  </si>
  <si>
    <t>Нежилое помещение, этаж цоколь. Помещение находится в пятиэтажном многоквартирном жилом доме. Год постройки 1968, износ составляет 28%. Все коммуникации. Ранее использовалось как помещение специализированного жилищного фонда (7-комнатная квартира). Договорных отношений нет.</t>
  </si>
  <si>
    <t>Свердловская обл, г Нижний Тагил, ул Карла Маркса, д 7</t>
  </si>
  <si>
    <t>01 08 22 15:00</t>
  </si>
  <si>
    <t>66:56:0113002:3199</t>
  </si>
  <si>
    <t>5877</t>
  </si>
  <si>
    <t xml:space="preserve">Наименование имущества: Нежилые помещения №№1-11 по поэтажному плану цокольного этажа.расположенные по адресу: </t>
  </si>
  <si>
    <t>Свердловская обл, г Новоуральск, ул Северная, д 4</t>
  </si>
  <si>
    <t>28 04 22 10:00</t>
  </si>
  <si>
    <t xml:space="preserve">66:57:0102024:943, </t>
  </si>
  <si>
    <t>495</t>
  </si>
  <si>
    <t>Свердловская область, г. Екатеринбург, ул. Набережная рабочей молодежи, д. 51</t>
  </si>
  <si>
    <t>06 06 22 14:30</t>
  </si>
  <si>
    <t>66:41:0303004:230</t>
  </si>
  <si>
    <t>расположено в многоквартирном доме, отдельный вход, стены – панель; пол – деревянный; потолок – покраска; отделка стен –покраска; электричество, водоснабжение, канализация, отопление – имеется. Физическое состояние помещения удовлетворительное, требуется ремонт. В настоящее время Объект продажи не эксплуатируется</t>
  </si>
  <si>
    <t>Свердловская обл, г Первоуральск, пр-кт Ильича, д 1А</t>
  </si>
  <si>
    <t>04 04 22 13:00</t>
  </si>
  <si>
    <t xml:space="preserve">66:58:0111013:4558, </t>
  </si>
  <si>
    <t>3720</t>
  </si>
  <si>
    <t>Нежилые помещения № 25-41, расположенные в двухэтажном домеэтаж: 2, литер: А., назначение: торговое, культурно-просветительское. Адрес (местоположение) объекта: .</t>
  </si>
  <si>
    <t>Свердловская область, р-н Невьянский, р.п. Верх-Нейвинский, ул. Ленина, д. 32</t>
  </si>
  <si>
    <t>06 04 22 08:00</t>
  </si>
  <si>
    <t xml:space="preserve">66:15:0000000:2556, </t>
  </si>
  <si>
    <t>В соответствии с Извещением</t>
  </si>
  <si>
    <t>г Екатеринбург, пр-кт Ленина, д 69 к 13</t>
  </si>
  <si>
    <t>28 03 22 14:30</t>
  </si>
  <si>
    <t>66:41:0704007:4132</t>
  </si>
  <si>
    <t>9079</t>
  </si>
  <si>
    <t>175</t>
  </si>
  <si>
    <t>нежилые помещения расположены на первом этаже жилого дома. Конструктивные элементы: наружные стены – кирпич. Санитарно - технические и электрические устройства: электроснабжение – проводка скрытая, отопление, водоснабжение и водоотведение — центральное. Право собственности Асбестовского городского округа зарегистрировано в ЕГРН № 66-01/30-10/2001-570 от 23.08.2001.</t>
  </si>
  <si>
    <t>Свердловская обл, г Асбест, ул Садовая, д 20</t>
  </si>
  <si>
    <t>18 03 22 05:00</t>
  </si>
  <si>
    <t>66:34:0502003:1113</t>
  </si>
  <si>
    <t>711</t>
  </si>
  <si>
    <t>68</t>
  </si>
  <si>
    <t>. Этаж: 1. Адрес (местоположение): .</t>
  </si>
  <si>
    <t>Тамбовская обл, г Кирсанов, ул Коммунистическая, д 29а, помещ 1</t>
  </si>
  <si>
    <t>08 07 22 14:00</t>
  </si>
  <si>
    <t>68:24:0100017:397</t>
  </si>
  <si>
    <t>618</t>
  </si>
  <si>
    <t>Продажа муниципального имущества на аукционе в электронной форме: столярная мастерская, назначение: нежилое зданиеи земельный участокрасположенные по адресу: , дом 11Г.</t>
  </si>
  <si>
    <t>Тамбовская обл, г Котовск, ул Октябрьская, д 11Г</t>
  </si>
  <si>
    <t xml:space="preserve">68:25:0000046:474, </t>
  </si>
  <si>
    <t>4353</t>
  </si>
  <si>
    <t>152</t>
  </si>
  <si>
    <t>нежилое помещение., назначение: нежилое: этаж: 1адрес: . ограничения прав и обременение объекта недвижимости — не зарегистрировано. Нежилое помещение принадлежит городу Моршанск Тамбовской области — городской округ на праве собственности, о чем в Едином государственном реестре недвижимости об основных характеристиках и зарегистрированных правах на объект недвижимости 30.10.2017г. сделана запись регистрации №68:27:0000105:841-68/015/2017-1.</t>
  </si>
  <si>
    <t>Тамбовская обл, г Моршанск, ул Куйбышева, д 32, помещ 78</t>
  </si>
  <si>
    <t>21 03 22 21:00</t>
  </si>
  <si>
    <t xml:space="preserve">68:27:0000105:841, </t>
  </si>
  <si>
    <t>1275</t>
  </si>
  <si>
    <t>нежилое помещение на первом этаже пятиэтажного жилого дома</t>
  </si>
  <si>
    <t>г Тверь, ул Орджоникидзе, д 53 к 3</t>
  </si>
  <si>
    <t>19 07 22 14:00</t>
  </si>
  <si>
    <t>69:40:0200044:270</t>
  </si>
  <si>
    <t>7737</t>
  </si>
  <si>
    <t>Административное здание, назначение: нежилое.расположенное по адресу:  и земельный участок из земель особо охраняемых территорий, категория земель: земли населенных пунктов, вид разрешенного использования: для общественно-деловых целей.по адресу: Тверская область, Конаковский район, Козловское сельское</t>
  </si>
  <si>
    <t>Тверская обл, Конаковский р-н, деревня Синцово, зд 40</t>
  </si>
  <si>
    <t>27 06 22 07:00</t>
  </si>
  <si>
    <t xml:space="preserve">69:15:0242601:255, </t>
  </si>
  <si>
    <t>нежилое помещение I. расположенное по адресу: .</t>
  </si>
  <si>
    <t>Тверская обл, г Ржев, Ленинградское шоссе, д 52, помещ 1</t>
  </si>
  <si>
    <t xml:space="preserve">69:46:0070230:304, </t>
  </si>
  <si>
    <t>4191</t>
  </si>
  <si>
    <t>Нежилое помещение на первом этаже пятиэтажного жилого дома</t>
  </si>
  <si>
    <t>г Тверь, ул Учительская, д 13/34</t>
  </si>
  <si>
    <t>69:40:0400020:61</t>
  </si>
  <si>
    <t>8967</t>
  </si>
  <si>
    <t>Нежилое помещение на втором этаже пятиэтажного жилого дома</t>
  </si>
  <si>
    <t>69:40:0200022:217</t>
  </si>
  <si>
    <t>Тверская область, г. Лихославль, пер. Привокзальный, д. 7, пом. IV</t>
  </si>
  <si>
    <t>12 04 22 07:00</t>
  </si>
  <si>
    <t xml:space="preserve">69:19:0070113:479, </t>
  </si>
  <si>
    <t>09 03 22 14:00</t>
  </si>
  <si>
    <t>этаж 1.</t>
  </si>
  <si>
    <t>Тверская обл, г Кимры, ул Орджоникидзе, д 34</t>
  </si>
  <si>
    <t>26 02 22 14:00</t>
  </si>
  <si>
    <t>69:42:0070806:690</t>
  </si>
  <si>
    <t>70</t>
  </si>
  <si>
    <t>.Год постройки: 1955; фундамент бетонный; стены деревянные; имеется отопление, водопровод канализация, электроснабжение</t>
  </si>
  <si>
    <t>Российская Федерация, Томская область, городской округ ЗАТО Северск, г.Северск, ул.Советская, 9, пом.1-8</t>
  </si>
  <si>
    <t>01 07 22 06:00</t>
  </si>
  <si>
    <t>70:22:0010103:4116</t>
  </si>
  <si>
    <t>71</t>
  </si>
  <si>
    <t>Нежилое помещение, этаж 1,</t>
  </si>
  <si>
    <t>Тульская область, Ленинский район, п. Барсуки, ул. Клубная, д. 5, пом. I</t>
  </si>
  <si>
    <t>29 06 22 21:00</t>
  </si>
  <si>
    <t xml:space="preserve">71:14:010901:1099 </t>
  </si>
  <si>
    <t>Нежилое помещение, этаж № 2площадью 16,4 кв.мНежилое помещение, этаж № 2площадью 21,1 кв.мНежилое помещение, этаж № 2</t>
  </si>
  <si>
    <t>г Тула, ул Октябрьская, д 5</t>
  </si>
  <si>
    <t>24 03 22 14:00</t>
  </si>
  <si>
    <t xml:space="preserve">71:30:010223:6342, </t>
  </si>
  <si>
    <t>1332</t>
  </si>
  <si>
    <t>Нежилое помещение, этаж № 3</t>
  </si>
  <si>
    <t>Тульская область, г.Тула, Привокзальный район, бывший п.Косая Гора, ул. М.Горького, д. 15-а</t>
  </si>
  <si>
    <t xml:space="preserve">71:30:070707:1257 </t>
  </si>
  <si>
    <t>6948</t>
  </si>
  <si>
    <t>72</t>
  </si>
  <si>
    <t>Нежилое помещение, этаж №1., РНФИ П13720002560расположенное по адресу: .</t>
  </si>
  <si>
    <t>Тюменская обл, село Нижняя Тавда, ул Октябрьская, д 4</t>
  </si>
  <si>
    <t>19 02 22 19:00</t>
  </si>
  <si>
    <t xml:space="preserve">72:12:0000000:3511, </t>
  </si>
  <si>
    <t>1503</t>
  </si>
  <si>
    <t>73</t>
  </si>
  <si>
    <t>Помещение нежилое., этаж:1, номер на поэтажном плане: 1., Характеристика здания согласно технического паспорта от 07.</t>
  </si>
  <si>
    <t>04.2011 г.Стены - кирпичные Перекрытие --- Ж/Б монолитноеКрыша ----- мягкая кровляОкна ----- отсутствуютФундамент-ж/бетонныйОтопление -электрическоеРасположенное по адресу - Ульяновская область, г. Ульяновск, в 17 м. севернее дома № 4 по ул. 3 Интернационала</t>
  </si>
  <si>
    <t>73:24:010205:4814</t>
  </si>
  <si>
    <t>нежилые помещения  расположенные по , помещения №№ 1-7, 9, 11, 12, 15, 16, 43-46</t>
  </si>
  <si>
    <t>адресу Ульяновская область, г. Ульяновск, Засвияжский район, ул. Станкостроителей, д. 18</t>
  </si>
  <si>
    <t>26 04 22 13:00</t>
  </si>
  <si>
    <t xml:space="preserve">73:24:030904:1184, </t>
  </si>
  <si>
    <t xml:space="preserve">Нежилые помещения  по адресу: </t>
  </si>
  <si>
    <t>г Ульяновск, ул Автозаводская, д 56</t>
  </si>
  <si>
    <t>25 03 22 12:00</t>
  </si>
  <si>
    <t>5070</t>
  </si>
  <si>
    <t>74</t>
  </si>
  <si>
    <t>Наименование:Нежилое помещение, расположенное по адресу: . 1Номер РФИ:П13740001492Площадь объекта (кв. м.):632,4Назначение:Нежилое помещениеЭтаж (номер на поэтажном плане):3Право:Собственность РФ. Запись регистрации в ЕГРН от 10.01.2006 №  74-74-40/030/2005-045Обременения:ОтсутствуютОКН:Как ОКН не зарегистрированоМЧС:Как объект ГО не числится</t>
  </si>
  <si>
    <t>Челябинская обл, г Снежинск, ул Транспортная, д 15пом</t>
  </si>
  <si>
    <t>74:40:0000000:3164</t>
  </si>
  <si>
    <t>Наименование:Нежилое помещение № 1, расположенное по адресу: . 1Номер РФИ:П13770014289Площадь объекта (кв. м.):245,1Назначение:Нежилое помещение Количество этажей, в том числе подземных этажей:Цокольный этажПраво:Собственность РФ. Запись регистрации в ЕГРН от 23.12.2008 № 74-74-33/418/2008-306Обременения:ОтсутствуютОКН:Как ОКН не зарегистрированМЧС:Как объект ГО не числится</t>
  </si>
  <si>
    <t>Челябинская область, г. Магнитогорск, пр-кт Ленина, д. 17, корп. 3, пом</t>
  </si>
  <si>
    <t>18 07 22 13:00</t>
  </si>
  <si>
    <t>74:33:0123009:205</t>
  </si>
  <si>
    <t>Наименование:Нежилое помещение, расположенное по адресу: . 4Номер РФИ:П13740006142Площадь объекта (кв. м.):129,9Назначение:Нежилое помещениеКоличество этажей, в том числе подземных этажей:1Право:Собственность РФ. Запись регистрации в ЕГРН от 24.11.2015 № 74-74/028-74/001/309/2015-1364/1Обременения:ОтсутствуютОКН:Как ОКН не зарегистрированМЧС:Как объект ГО не числится</t>
  </si>
  <si>
    <t>Челябинская обл, г Еманжелинск, ул Герцена, д 14пом</t>
  </si>
  <si>
    <t>74:28:0101022:868</t>
  </si>
  <si>
    <t>6267</t>
  </si>
  <si>
    <t>нежилые помещения № 2,3,4 в помещении № 4.. .</t>
  </si>
  <si>
    <t>Адрес: Россия, Челябинская обл., г. Магнитогорск, проспект Ленина, дом 98, корпус 1</t>
  </si>
  <si>
    <t>05 07 22 10:00</t>
  </si>
  <si>
    <t>74:33:0213002:2886</t>
  </si>
  <si>
    <t>нежилое помещение № 10.. .</t>
  </si>
  <si>
    <t>Адрес: Россия, Челябинская обл., г. Магнитогорск, улица имени газеты Правда, дом 27, корпус 1</t>
  </si>
  <si>
    <t>74:33:0212002:3566</t>
  </si>
  <si>
    <t>Наименование Имущества: нежилое помещение №3 (далее – Имущество).Местонахождение Имущества: .Характеристика нежилого помещения Литер: А. Этаж: 1,2.Описание конструктивных элементов строения и его техническое состояние: Стены (наружные и внутренние капитальные стены: кирпичные;Полы: плитка;Отделочные работы: штукатурка, окраска;Санитарно- и электротехнические работы: отопление – центральное, водопровод – от центральной сети, канализация – центральная.Текущее использование: не используется.Состав объектов (недвижимого имущества), переданных в аренду (пользование, а также для осуществления совместной деятельности: краткосрочная аренда): нет</t>
  </si>
  <si>
    <t>Челябинская область, город Магнитогорск, пр. Карла Маркса, дом № 69/1, помещение 3</t>
  </si>
  <si>
    <t>17 05 22 17:00</t>
  </si>
  <si>
    <t xml:space="preserve">74:33:0129008:4980 </t>
  </si>
  <si>
    <t>Местонахождение Имущества: .Характеристика нежилого помещения:Общая площадь – 904 кв. мЭтаж: цокольный, 1, 2.Описание конструктивных элементов строения и его техническое состояние:Стены: Шлакоблок, кирпичПерегородки: Кирпичные, дощатыеПерекрытия: Ж/бетонные плитыПолы: МозаичныеОтделочные работы: Оштукатурено, окрашено, побеленоСанитарно- и электротехнические работы: Водоснабжение – центральное,электроснабжение – закрытая, канализация – центральная, вентиляция – естественная.Текущее использование: не используется.</t>
  </si>
  <si>
    <t>Челябинская обл, г Магнитогорск, ул Комсомольская, д 2, помещ 2</t>
  </si>
  <si>
    <t>13 05 22 17:00</t>
  </si>
  <si>
    <t>74:33:0123007:180</t>
  </si>
  <si>
    <t>6900</t>
  </si>
  <si>
    <t>Наименование:Нежилое помещение по адресу: . 7Номер РФИ:П13770007468Площадь объекта (кв. м.):845,2Назначение:Нежилое помещениеЭтаж (номер на поэтажном плане):3, 4, 1, 5, 2Право:Собственность РФ. Запись регистрации в ЕГРНот 14.01.2010 № 74-74-01/252/2009-131Обременения:Аренда. Запись государственной регистрации от 09.09.2011 № 74-74-01/008/2011-210. Арендатор - ООО «Ассорти Ф»ОКН:Как ОКН не зарегистрированМЧС:Как объект ГО не числитсяПравоустанавливающие документы:Свидетельство о государственной регистрации права от 14.01.2010 № 74-74-01/252/2009-131</t>
  </si>
  <si>
    <t>г Челябинск, ул Сормовская, д 15пом</t>
  </si>
  <si>
    <t>19 04 22 13:00</t>
  </si>
  <si>
    <t>74:36:0609012:456</t>
  </si>
  <si>
    <t>В соответствии с приложением № 1 к информационному сообщению</t>
  </si>
  <si>
    <t>Челябинская область, г. Троицк, ул. 10 квартал, д. 6</t>
  </si>
  <si>
    <t>12 04 22 12:30</t>
  </si>
  <si>
    <t>74:35:2700006:2462</t>
  </si>
  <si>
    <t>Челябинская обл, г Троицк, ул им. Ю.А. Гагарина, д 16Б, помещ 2</t>
  </si>
  <si>
    <t>11 04 22 12:30</t>
  </si>
  <si>
    <t xml:space="preserve">74:35:0600002:649, </t>
  </si>
  <si>
    <t>5282</t>
  </si>
  <si>
    <t>165</t>
  </si>
  <si>
    <t>Нежилое помещение № 1, общей площадью 91,5 м²расположенное по адресу: ,</t>
  </si>
  <si>
    <t>Челябинская обл, г Миасс, ул Ильменская, д 81, помещ 1</t>
  </si>
  <si>
    <t>10 04 22 19:00</t>
  </si>
  <si>
    <t xml:space="preserve">74:34:1600036:49, </t>
  </si>
  <si>
    <t>4218</t>
  </si>
  <si>
    <t>..Назначение – нежилое, цокольный этаж.В соответствии с отчетом об оценке рыночной стоимости объекта 06.12.2021 № 39-2МК72/2021: - потолок: покрыт известковым составом;- стены: обои;- пол: линолеум.</t>
  </si>
  <si>
    <t>г Челябинск, ул Жукова, д 18А</t>
  </si>
  <si>
    <t>25 03 22 18:59</t>
  </si>
  <si>
    <t>74:36:0114009:570</t>
  </si>
  <si>
    <t>10380</t>
  </si>
  <si>
    <t>Нежилое помещение расположенного по адресу: .</t>
  </si>
  <si>
    <t>Челябинская обл, г Касли, ул Лобашова, д 145, помещ 18</t>
  </si>
  <si>
    <t>08 03 22 19:00</t>
  </si>
  <si>
    <t>1536</t>
  </si>
  <si>
    <t>Наименование:Нежилое помещение, расположенное по адресу: . 1Номер РФИ:П13740001492Площадь объекта (кв. м.):632,4Назначение:Нежилое помещениеЭтаж (номер на поэтажном плане):3Право:Собственность РФ. Запись регистрации в ЕГРН от 10.01.2006 № 74-74-40/030/2005-045Обременения:ОтсутствуютОКН:Как ОКН не зарегистрированоМЧС:Как объект ГО не числится</t>
  </si>
  <si>
    <t>21 02 22 11:00</t>
  </si>
  <si>
    <t>76</t>
  </si>
  <si>
    <t>помещения, назначение: нежилое, этаж: 1, номера на поэтажном плане 7, 8, 17, 18, 20, 21, 28, 33, 45, расположенные по адресу: , существующие ограничения (обременения) права: не зарегистрировано.</t>
  </si>
  <si>
    <t>г Ярославль, Тутаевское шоссе, д 67</t>
  </si>
  <si>
    <t>20 07 22 12:00</t>
  </si>
  <si>
    <t>5100</t>
  </si>
  <si>
    <t>помещения, назначение: нежилое, этаж: 1, номера на поэтажном плане 1, 2, 4, 5, расположенные по адресу: , существующие ограничения (обременения) права: не зарегистрировано.</t>
  </si>
  <si>
    <t>г Ярославль, ул Гагарина, д 53</t>
  </si>
  <si>
    <t>22 06 22 12:00</t>
  </si>
  <si>
    <t>10552</t>
  </si>
  <si>
    <t>помещения 6-10, назначение: нежилое, этаж № 1, расположенные по адресу: , существующие ограничения (обременения) права: объект культурного наследия регионального значения – «Флигель хозяйственный усадьбы Кашкаровых – А.Ф. и В.Н. Вахрамеевых», 1820-е гг., 1908 г., входящий в состав объекта культурного наследия регионального значения (ансамбля) «Ансамбль усадьбы Кашкаровых – А.Ф. и В.Н. Вахрамеевых», 1820-е гг., 1908 г., включенный в единый государственный реестр объектов культурного наследия (памятников истории и культуры) народов Российской Федерации.Лицо, к которому переходит имущественное право на указанный объект культурного наследия, обязано выполнять требования, установленные Федеральным законом от 25.06.2002 № 73-ФЗ «Об объектах культурного наследия (памятниках истории и культуры) народов Российской Федерации».</t>
  </si>
  <si>
    <t>г Ярославль, ул Собинова, д 41б</t>
  </si>
  <si>
    <t>15 06 22 12:00</t>
  </si>
  <si>
    <t>6102</t>
  </si>
  <si>
    <t>132</t>
  </si>
  <si>
    <t>Комплекс зданий, назначение: нежилые, количество этажей 2, в том числе подземных 0, расположенные по адресу: . Приватизация имущества осуществляется одновременно с отчуждением в собственность земельного участка: площадь земельного участка - 2 192 кв.м. Стоимость земельного участка определена по результатам оценки, выполненной в соответствии с Федеральным законом от 29.07.1998 № 135-ФЗ «Об оценочной деятельности в российской Федерации» и составляет –3 524 451 (Три миллиона пятьсот двадцать четыре тысячи четыреста пятьдесят один) рубль 04 копейки.</t>
  </si>
  <si>
    <t>Ярославская обл, г Рыбинск, ул Ухтомского, уч 4</t>
  </si>
  <si>
    <t>25 05 22 14:00</t>
  </si>
  <si>
    <t xml:space="preserve">76:20:110120:5, </t>
  </si>
  <si>
    <t>7488</t>
  </si>
  <si>
    <t>г Ярославль, ул Большая Октябрьская, д 48а</t>
  </si>
  <si>
    <t>76:23:010101:17686</t>
  </si>
  <si>
    <t>4350</t>
  </si>
  <si>
    <t>Нежилое помещение расположенное по адресу: .I Техническое состояние помещения удовлетворительное, ремонт не требуется. Помещение имеет два отдельных входа. Обеспечено централизованными системами отопления, водоснабжения, канализации, электроснабжения.</t>
  </si>
  <si>
    <t>Ярославская обл, г Гаврилов-Ям, ул Менжинского, д 45пом</t>
  </si>
  <si>
    <t>01 04 22 13:00</t>
  </si>
  <si>
    <t xml:space="preserve">76:04:010101:3163, </t>
  </si>
  <si>
    <t>1656</t>
  </si>
  <si>
    <t>помещения, назначение: нежилое (в том числе самовольно перепланировано 66,6 кв. м), этаж: 1, номера на поэтажном плане 25 − 28, расположенные по адресу: , существующие ограничения (обременения) права: не зарегистрировано.</t>
  </si>
  <si>
    <t>г Ярославль, Индустриальный пер, д 11</t>
  </si>
  <si>
    <t>9126</t>
  </si>
  <si>
    <t>помещения, назначение: нежилое, этаж: 1, номера на поэтажном плане 12, 13, 14, вход через помещения, принадлежащие третьим лицам, расположенные по адресу: , существующие ограничения (обременения) права: не зарегистрировано.</t>
  </si>
  <si>
    <t>77</t>
  </si>
  <si>
    <t xml:space="preserve"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</t>
  </si>
  <si>
    <t>г Москва, Рижский проезд, д 11, помещ 9П</t>
  </si>
  <si>
    <t>26 07 22 12:00</t>
  </si>
  <si>
    <t>77:02:0023019:2023</t>
  </si>
  <si>
    <t>4980</t>
  </si>
  <si>
    <t>Продажа имущества, находящегося в собственности города Москвы, нежилое помещение по адресу:   (Этаж № 1)</t>
  </si>
  <si>
    <t>г Москва, ул Генерала Кузнецова, д 12, помещ 5/1</t>
  </si>
  <si>
    <t>27 07 22 12:00</t>
  </si>
  <si>
    <t>77:04:0005009:9697</t>
  </si>
  <si>
    <t>10875</t>
  </si>
  <si>
    <t>Продажа имущества, находящегося в собственности города Москвы, нежилое помещение по адресу: , цокольный этаж № 0</t>
  </si>
  <si>
    <t>г Москва, Ленинский пр-кт, д 95, помещ 2/Ц</t>
  </si>
  <si>
    <t>77:05:0001009:7426</t>
  </si>
  <si>
    <t>6957</t>
  </si>
  <si>
    <t>104</t>
  </si>
  <si>
    <t>Продажа имущества, находящегося в собственности города Москвы, нежилое помещение по адресу: ., Этаж № 1.</t>
  </si>
  <si>
    <t>г Москва, г Зеленоград, к 448</t>
  </si>
  <si>
    <t>13 07 22 12:00</t>
  </si>
  <si>
    <t>77:10:0000000:3341</t>
  </si>
  <si>
    <t>5259</t>
  </si>
  <si>
    <t>Продажа имущества, находящегося в собственности города Москвы, нежилое помещение по адресу: ., Цокольный этаж № 0.</t>
  </si>
  <si>
    <t>г Москва, ул Матвеевская, д 42 к 2, помещ 3Ц</t>
  </si>
  <si>
    <t>06 07 22 12:00</t>
  </si>
  <si>
    <t>77:07:0012010:14857</t>
  </si>
  <si>
    <t>5967</t>
  </si>
  <si>
    <t>г Москва, ул 1-я Тверская-Ямская, д 11, помещ 6Н</t>
  </si>
  <si>
    <t>77:01:0004012:5402</t>
  </si>
  <si>
    <t>7725</t>
  </si>
  <si>
    <t>288</t>
  </si>
  <si>
    <t xml:space="preserve">Продажа имущества, находящегося в хозяйственном ведении ГУП "ЦУГИ", расположенного по адресу: </t>
  </si>
  <si>
    <t>г Москва, ул 1905 года, д 17</t>
  </si>
  <si>
    <t>07 07 22 12:00</t>
  </si>
  <si>
    <t>77:01:0004026:3986</t>
  </si>
  <si>
    <t>8128</t>
  </si>
  <si>
    <t>92</t>
  </si>
  <si>
    <t>г Москва, ул Онежская, д 53 к 4</t>
  </si>
  <si>
    <t>05 07 22 12:00</t>
  </si>
  <si>
    <t>77:09:0001013:10378</t>
  </si>
  <si>
    <t>13959</t>
  </si>
  <si>
    <t xml:space="preserve">Продажа имущества, находящегося в хозяйственном ведении ГУП "ЦУГИ", нежилое помещение, расположенное по адресу: </t>
  </si>
  <si>
    <t>г Москва, наб Тараса Шевченко, д 1, помещ 30/9</t>
  </si>
  <si>
    <t>30 06 22 12:00</t>
  </si>
  <si>
    <t>77:07:0007003:7034</t>
  </si>
  <si>
    <t>6054</t>
  </si>
  <si>
    <t>г Москва, Варшавское шоссе, д 114 к 1, помещ 3/1</t>
  </si>
  <si>
    <t>28 06 22 12:00</t>
  </si>
  <si>
    <t>77:05:0001020:3772</t>
  </si>
  <si>
    <t>5046</t>
  </si>
  <si>
    <t xml:space="preserve">Продажа имущества, находящегося в собственности города Москвы, нежилое помещение по адресу: </t>
  </si>
  <si>
    <t>г Москва, Ленинский пр-кт, д 7, помещ 1/1</t>
  </si>
  <si>
    <t>77:01:0006004:3374</t>
  </si>
  <si>
    <t>9426</t>
  </si>
  <si>
    <t>80</t>
  </si>
  <si>
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 .</t>
  </si>
  <si>
    <t>г Москва, ул Руднёвка, д 14, помещ 20/1</t>
  </si>
  <si>
    <t>16 06 22 12:00</t>
  </si>
  <si>
    <t>77:03:0010008:5350</t>
  </si>
  <si>
    <t>9540</t>
  </si>
  <si>
    <t>г Москва, ул Раменки, д 21</t>
  </si>
  <si>
    <t>14 06 22 12:00</t>
  </si>
  <si>
    <t>77:07:0013005:12684</t>
  </si>
  <si>
    <t>11919</t>
  </si>
  <si>
    <t>г Москва, ул Изюмская, д 57 к 1, помещ 1/Н</t>
  </si>
  <si>
    <t>07 06 22 12:00</t>
  </si>
  <si>
    <t>77:06:0012001:9252</t>
  </si>
  <si>
    <t>7461</t>
  </si>
  <si>
    <t>Продажа имущества, находящегося в хозяйственном ведении ГУП "ЦУГИ", расположенного по адресу: , помещ. 1/Ч, общей площадью 61,3</t>
  </si>
  <si>
    <t>г Москва, ул Садовническая, д 78 стр 7, помещ 1/Ч</t>
  </si>
  <si>
    <t>09 06 22 12:00</t>
  </si>
  <si>
    <t>77:01:0002014:4154</t>
  </si>
  <si>
    <t>8154</t>
  </si>
  <si>
    <t>123</t>
  </si>
  <si>
    <t xml:space="preserve">Продажа имущества. находящегося в хозяйственном ведении ГУП «ЦУГИ». расположенного по адресу: </t>
  </si>
  <si>
    <t>г Москва, ул Новокузнецкая, д 20/21-19 стр 5, помещ 2/П</t>
  </si>
  <si>
    <t>01 06 22 12:00</t>
  </si>
  <si>
    <t>77:01:0002012:3467</t>
  </si>
  <si>
    <t>11184</t>
  </si>
  <si>
    <t>240</t>
  </si>
  <si>
    <t xml:space="preserve">Продажа имущества, находящегося в хозяйственном ведении ГУП "ЦУГИ", расположенное по адресу: </t>
  </si>
  <si>
    <t>г Москва, ул Вавилова, д 47 к 1, помещ 1/П</t>
  </si>
  <si>
    <t>23 05 22 12:00</t>
  </si>
  <si>
    <t>77:06:0002019:1142</t>
  </si>
  <si>
    <t>10473</t>
  </si>
  <si>
    <t>Аукцион в электронной форме по продаже нежилого помещения, закреплённого за КП «УГС» на праве оперативного управления, по адресу: , этаж 1</t>
  </si>
  <si>
    <t>г Москва, Береговой пр-д, д 1А, помещ 39Н</t>
  </si>
  <si>
    <t>77:07:0002003:13166</t>
  </si>
  <si>
    <t>г Москва, ул Маршала Федоренко, д 10А стр 1, помещ 1/1</t>
  </si>
  <si>
    <t>18 05 22 12:00</t>
  </si>
  <si>
    <t>77:09:0002015:6546</t>
  </si>
  <si>
    <t>7983</t>
  </si>
  <si>
    <t>87</t>
  </si>
  <si>
    <t>Продажа имущества, находящегося в собственности города Москвы, нежилое помещение по адресу: ., Цокольный этаж № 0</t>
  </si>
  <si>
    <t>г Москва, ул 6-я Парковая, д 29А, помещ 3/Н</t>
  </si>
  <si>
    <t xml:space="preserve">77:03:0005007:4939, </t>
  </si>
  <si>
    <t>12261</t>
  </si>
  <si>
    <t>г Москва, ул 6-я Парковая, д 29А, помещ 2/Н</t>
  </si>
  <si>
    <t xml:space="preserve">77:03:0005007:4938, </t>
  </si>
  <si>
    <t>г Москва, ул Парковая 3-я, д 38</t>
  </si>
  <si>
    <t xml:space="preserve">77:03:0005006:6292, </t>
  </si>
  <si>
    <t>7560</t>
  </si>
  <si>
    <t>Продажа имущества, находящегося в собственности города Москвы, нежилое помещение по адресу:  ., Цокольный этаж № 0.</t>
  </si>
  <si>
    <t>г Москва, ул Шарикоподшипниковская, д 9, помещ 17Ц</t>
  </si>
  <si>
    <t>77:04:0001018:10161</t>
  </si>
  <si>
    <t>6437</t>
  </si>
  <si>
    <t>Продажа имущества, находящегося в собственности города Москвы, нежилое помещение по адресу:  (Этаж № 1)</t>
  </si>
  <si>
    <t>г Москва, ул Косинская, д 4А</t>
  </si>
  <si>
    <t>05 05 22 12:00</t>
  </si>
  <si>
    <t>77:03:0007010:2178</t>
  </si>
  <si>
    <t>4197</t>
  </si>
  <si>
    <t>Продажа имущества, находящегося в собственности города Москвы, нежилое помещение по адресу: , этаж № 1</t>
  </si>
  <si>
    <t>г Москва, ул Генерала Тюленева, д 41Б</t>
  </si>
  <si>
    <t>19 04 22 12:00</t>
  </si>
  <si>
    <t xml:space="preserve">77:06:0007005:14417 </t>
  </si>
  <si>
    <t>3033</t>
  </si>
  <si>
    <t>г Москва, ул Изюмская, д 47 к 4, помещ 1/1</t>
  </si>
  <si>
    <t>18 04 22 12:00</t>
  </si>
  <si>
    <t xml:space="preserve">77:06:0012001:9222, </t>
  </si>
  <si>
    <t>7974</t>
  </si>
  <si>
    <t>г Москва, ул Черкизовская Б., д 22 к 6, помещ 4Ц</t>
  </si>
  <si>
    <t xml:space="preserve">77:03:0003016:7508, </t>
  </si>
  <si>
    <t>7013</t>
  </si>
  <si>
    <t>Продажа имущества, находящегося в собственности города Москвы, нежилое помещение по адресу:  (Цокольный этаж № 0)</t>
  </si>
  <si>
    <t>г Москва, ул Никитинская, д 1 к 3</t>
  </si>
  <si>
    <t xml:space="preserve">77:03:0005002:7761, </t>
  </si>
  <si>
    <t>13605</t>
  </si>
  <si>
    <t>Продажа имущества, находящегося в собственности города Москвы, нежилое помещение по адресу: ., Технический этаж № 0</t>
  </si>
  <si>
    <t>г Москва, Графский пер, д 14Б, помещ 7Т</t>
  </si>
  <si>
    <t>28 03 22 12:00</t>
  </si>
  <si>
    <t xml:space="preserve">77:02:0023016:3700, </t>
  </si>
  <si>
    <t>7662</t>
  </si>
  <si>
    <t>Продажа имущества, находящегося в собственности города Москвы, нежилое помещение по адресу: ., Этаж №1</t>
  </si>
  <si>
    <t>г Москва, Малый Купавенский проезд, д 3</t>
  </si>
  <si>
    <t xml:space="preserve">77:03:0005022:2848 </t>
  </si>
  <si>
    <t>5283</t>
  </si>
  <si>
    <t>г Москва, пр-кт Мира, д 38, помещ 1/1</t>
  </si>
  <si>
    <t>21 03 22 12:00</t>
  </si>
  <si>
    <t>77:01:0003050:2905</t>
  </si>
  <si>
    <t>10113</t>
  </si>
  <si>
    <t>163</t>
  </si>
  <si>
    <t>г Москва, Старослободский пер, д 4, помещ 3Ц</t>
  </si>
  <si>
    <t>22 02 22 12:00</t>
  </si>
  <si>
    <t>77:03:0003003:2239</t>
  </si>
  <si>
    <t>9154</t>
  </si>
  <si>
    <t>г Москва, ул Генерала Белова, д 45 к 1, помещ 1Н</t>
  </si>
  <si>
    <t>22 03 22 12:00</t>
  </si>
  <si>
    <t>77:05:0011006:9472</t>
  </si>
  <si>
    <t>11154</t>
  </si>
  <si>
    <t>97</t>
  </si>
  <si>
    <t>г Москва, ул Воронежская, д 56, помещ 1/1</t>
  </si>
  <si>
    <t>77:05:0011009:14783</t>
  </si>
  <si>
    <t>5122</t>
  </si>
  <si>
    <t>г Москва, ул 3-я Карачаровская, д 6 к 1, помещ 1/Н</t>
  </si>
  <si>
    <t>77:04:0002001:7376</t>
  </si>
  <si>
    <t>6372</t>
  </si>
  <si>
    <t>Продажа имущества, находящегося в хозяйственном ведении ГУП "ЦУГИ", расположенного по адресу: , площадь 99,1 м.кв.</t>
  </si>
  <si>
    <t>г Москва, ул Большая Набережная, д 21</t>
  </si>
  <si>
    <t>28 02 22 12:00</t>
  </si>
  <si>
    <t>77:08:0000000:3065</t>
  </si>
  <si>
    <t>6714</t>
  </si>
  <si>
    <t>Продажа имущества, находящегося в собственности города Москвы, нежилое помещение по адресу: , этаж № 1, кадастровый 77:07:0008004:11797</t>
  </si>
  <si>
    <t>г Москва, ул Беловежская, д 39 к 3, помещ 245</t>
  </si>
  <si>
    <t>77:07:0008004:11797</t>
  </si>
  <si>
    <t>13416</t>
  </si>
  <si>
    <t>г Москва, ул Донецкая, д 27, помещ 1/1</t>
  </si>
  <si>
    <t>77:04:0004019:30562</t>
  </si>
  <si>
    <t>8850</t>
  </si>
  <si>
    <t>96</t>
  </si>
  <si>
    <t>Продажа имущества, находящегося в собственности города Москвы, нежилое помещение по адресу:  (Этаж № 1), кадастровый паспорт: 77:04:0001011:3678</t>
  </si>
  <si>
    <t>г Москва, ул Волочаевская, д 19, помещ 3/1</t>
  </si>
  <si>
    <t>77:04:0001011:3678</t>
  </si>
  <si>
    <t>5811</t>
  </si>
  <si>
    <t>Продажа имущества, находящегося в собственности города Москвы, нежилое помещение по адресу: , этаж № 2, этаж № 1</t>
  </si>
  <si>
    <t>г Москва, ул Образцова, д 5А, помещ 2/1</t>
  </si>
  <si>
    <t>24 02 22 12:00</t>
  </si>
  <si>
    <t>77:02:0024029:4288</t>
  </si>
  <si>
    <t>10363</t>
  </si>
  <si>
    <t>48</t>
  </si>
  <si>
    <t>г Москва, ул Совхозная, д 18 к 4, помещ 1/1</t>
  </si>
  <si>
    <t xml:space="preserve">77:04:0004016:8581, </t>
  </si>
  <si>
    <t>9579</t>
  </si>
  <si>
    <t>г Москва, ул Корнейчука, д 33, помещ 1Н</t>
  </si>
  <si>
    <t>21 02 22 12:00</t>
  </si>
  <si>
    <t>77:02:0002007:2481</t>
  </si>
  <si>
    <t>3867</t>
  </si>
  <si>
    <t>78</t>
  </si>
  <si>
    <t>Нежилое помещение, расположенное по адресу: , назначение: нежилое, этаж №1</t>
  </si>
  <si>
    <t>г Санкт-Петербург, ул Достоевского, д 21 литера А, помещ 4-Н</t>
  </si>
  <si>
    <t>29 07 22 20:00</t>
  </si>
  <si>
    <t>78:31:0001692:2663</t>
  </si>
  <si>
    <t>8910</t>
  </si>
  <si>
    <t>336</t>
  </si>
  <si>
    <t>Нежилое помещение, расположенное по адресу: , назначение: нежилое помещение, этаж №1</t>
  </si>
  <si>
    <t>г Санкт-Петербург, ул Рубинштейна, д 3 литера А, помещ 2-Н</t>
  </si>
  <si>
    <t>78:31:0001225:2268</t>
  </si>
  <si>
    <t>5076</t>
  </si>
  <si>
    <t>313</t>
  </si>
  <si>
    <t>Нежилое помещение, расположенное по адресу: , назначение: нежилое помещение,  этаж № 1</t>
  </si>
  <si>
    <t>г Санкт-Петербург, Басков пер, д 21 литера А, помещ 12-Н</t>
  </si>
  <si>
    <t>78:31:0001216:2408</t>
  </si>
  <si>
    <t>8250</t>
  </si>
  <si>
    <t>235</t>
  </si>
  <si>
    <t>Нежилое помещение, расположенное по адресу: ., назначение: нежилое помещение, этаж №1</t>
  </si>
  <si>
    <t>г Санкт-Петербург, пл Островского, д 9 литера А, помещ 5-Н</t>
  </si>
  <si>
    <t>25 07 22 20:00</t>
  </si>
  <si>
    <t>78:31:0001139:3101</t>
  </si>
  <si>
    <t>1773</t>
  </si>
  <si>
    <t>193</t>
  </si>
  <si>
    <t>г Санкт-Петербург, ул Большая Подьяческая, д 7 литера А, помещ 6-Н</t>
  </si>
  <si>
    <t>78:32:0001239:2268</t>
  </si>
  <si>
    <t>8906</t>
  </si>
  <si>
    <t>199</t>
  </si>
  <si>
    <t>Нежилое помещение, расположенное по адресу: , назначение: нежилое помещение, наименование: помещение, этаж №1</t>
  </si>
  <si>
    <t>г Санкт-Петербург, ул Псковская, д 34 литера А, помещ 6-Н</t>
  </si>
  <si>
    <t>19 07 22 20:00</t>
  </si>
  <si>
    <t>78:32:0001077:1207</t>
  </si>
  <si>
    <t>9480</t>
  </si>
  <si>
    <t>Нежилое помещение, расположенное по адресу: , назначение: нежилое помещение, наименование: нежилое помещение, этаж: цокольный</t>
  </si>
  <si>
    <t>г Санкт-Петербург, ул Витебская, д 23 литера Б, помещ 4-Н</t>
  </si>
  <si>
    <t>78:32:0001079:1071</t>
  </si>
  <si>
    <t>10542</t>
  </si>
  <si>
    <t>г Санкт-Петербург, Невский пр-кт, д 11/2 литера А, помещ 8-Н</t>
  </si>
  <si>
    <t>18 07 22 20:00</t>
  </si>
  <si>
    <t>78:31:0001182:2183</t>
  </si>
  <si>
    <t>3924</t>
  </si>
  <si>
    <t>248</t>
  </si>
  <si>
    <t>Нежилое помещение, расположенное по адресу: ., назначение: нежилое помещение, наименование: нежилое помещение, этаж: цокольный</t>
  </si>
  <si>
    <t>г Санкт-Петербург, ул Витебская, д 31 литера А, помещ 1-Н</t>
  </si>
  <si>
    <t>78:32:0001079:1067</t>
  </si>
  <si>
    <t>8201</t>
  </si>
  <si>
    <t>Нежилое помещение, расположенное по адресу: , назначение: нежилое помещение, наименование: нежилое помещение, этаж №1</t>
  </si>
  <si>
    <t>г Санкт-Петербург, ул Михайлова, д 12 литера А, помещ 5-Н</t>
  </si>
  <si>
    <t>78:10:0511201:2810</t>
  </si>
  <si>
    <t>4557</t>
  </si>
  <si>
    <t>225</t>
  </si>
  <si>
    <t>Нежилое помещение, расположенное по адресу: , назначение: нежилое помещение, этаж: цокольный</t>
  </si>
  <si>
    <t>г Санкт-Петербург, ул Декабристов, д 17 литера А, помещ 5-Н</t>
  </si>
  <si>
    <t>12 07 22 20:00</t>
  </si>
  <si>
    <t>78:32:0001253:243</t>
  </si>
  <si>
    <t>8298</t>
  </si>
  <si>
    <t>148</t>
  </si>
  <si>
    <t>г Санкт-Петербург, ул Гражданская, д 14 литера А, помещ 4-Н</t>
  </si>
  <si>
    <t>78:32:0001233:397</t>
  </si>
  <si>
    <t>6298</t>
  </si>
  <si>
    <t>344</t>
  </si>
  <si>
    <t>г Санкт-Петербург, ул Большая Морская, д 46 литера А, помещ 2-Н</t>
  </si>
  <si>
    <t>78:32:0001256:182</t>
  </si>
  <si>
    <t>3357</t>
  </si>
  <si>
    <t>157</t>
  </si>
  <si>
    <t>Нежилое помещение, расположенное по адресу: ., назначение: нежилое помещение, этаж № 1</t>
  </si>
  <si>
    <t>г Санкт-Петербург, ул Чайковского, д 4 литера А, помещ 9-Н</t>
  </si>
  <si>
    <t>29 06 22 20:00</t>
  </si>
  <si>
    <t>78:31:0001108:2495</t>
  </si>
  <si>
    <t>4662</t>
  </si>
  <si>
    <t>112</t>
  </si>
  <si>
    <t>г Санкт-Петербург, ул Жени Егоровой, д 10 к 1 литера А, помещ 2-Н</t>
  </si>
  <si>
    <t>27 06 22 20:00</t>
  </si>
  <si>
    <t>78:36:0005502:2316</t>
  </si>
  <si>
    <t>4282</t>
  </si>
  <si>
    <t>г Санкт-Петербург, Угловой пер, д 9 литера А, помещ 3-Н</t>
  </si>
  <si>
    <t>78:32:0001717:1810</t>
  </si>
  <si>
    <t>8350</t>
  </si>
  <si>
    <t>г Санкт-Петербург, ул Кирочная, д 11 литера А, помещ 3-Н</t>
  </si>
  <si>
    <t>15 06 22 20:00</t>
  </si>
  <si>
    <t>78:31:0001271:2127</t>
  </si>
  <si>
    <t>8145</t>
  </si>
  <si>
    <t>307</t>
  </si>
  <si>
    <t>Нежилое помещение, расположенное по адресу: , назначение: нежилое помещение, наименование: нежилое помещение, этаж №2</t>
  </si>
  <si>
    <t>г Санкт-Петербург, пр-кт Римского-Корсакова, д 31 литера А, помещ 11-Н</t>
  </si>
  <si>
    <t>09 06 22 20:00</t>
  </si>
  <si>
    <t>78:32:0001250:2312</t>
  </si>
  <si>
    <t>7077</t>
  </si>
  <si>
    <t>146</t>
  </si>
  <si>
    <t>г Санкт-Петербург, Каменноостровский пр-кт, д 45 литера Г, помещ 6-н</t>
  </si>
  <si>
    <t>78:07:0003116:2244</t>
  </si>
  <si>
    <t>7458</t>
  </si>
  <si>
    <t>217</t>
  </si>
  <si>
    <t>г Санкт-Петербург, линия 10-я В.О., д 15б литера А, помещ 2-Н</t>
  </si>
  <si>
    <t>78:06:0002039:2704</t>
  </si>
  <si>
    <t>8669</t>
  </si>
  <si>
    <t>291</t>
  </si>
  <si>
    <t>Нежилое помещение, расположенное по адресу: , назначение: нежилое, наименование: нежилое помещение, этаж №1</t>
  </si>
  <si>
    <t>г Санкт-Петербург, ул Конторская, д 14 литера А, помещ 3-Н</t>
  </si>
  <si>
    <t>07 06 22 20:00</t>
  </si>
  <si>
    <t>78:11:0006065:3340</t>
  </si>
  <si>
    <t>6582</t>
  </si>
  <si>
    <t>105</t>
  </si>
  <si>
    <t>Нежилое помещение, расположенное по адресу: , назначение: нежилое, наименование: офис, этаж №2</t>
  </si>
  <si>
    <t>г Санкт-Петербург, пр-кт Обуховской Обороны, д 89 литера Б, помещ 15-Н</t>
  </si>
  <si>
    <t>06 06 22 20:00</t>
  </si>
  <si>
    <t>78:12:0007117:2692</t>
  </si>
  <si>
    <t>6306</t>
  </si>
  <si>
    <t>227</t>
  </si>
  <si>
    <t>г Санкт-Петербург, Сапёрный пер, д 10 литера Б, помещ 78-Н</t>
  </si>
  <si>
    <t>01 06 22 20:00</t>
  </si>
  <si>
    <t>78:31:0001278:2643</t>
  </si>
  <si>
    <t>9891</t>
  </si>
  <si>
    <t>268</t>
  </si>
  <si>
    <t>Нежилое помещение, расположенное по адресу: , назначение: нежилое помещение, этаж № 2</t>
  </si>
  <si>
    <t>г Санкт-Петербург, ул Итальянская, д 12 литера Е, помещ 6-Н</t>
  </si>
  <si>
    <t>18 05 22 20:00</t>
  </si>
  <si>
    <t>78:31:0001264:1185</t>
  </si>
  <si>
    <t>3708</t>
  </si>
  <si>
    <t>391</t>
  </si>
  <si>
    <t>г Санкт-Петербург, ул Марата, д 31 литера А, помещ 6-Н</t>
  </si>
  <si>
    <t>78:31:0001133:3737</t>
  </si>
  <si>
    <t>7069</t>
  </si>
  <si>
    <t>308</t>
  </si>
  <si>
    <t>Нежилое помещение, расположенное по адресу: , назначение: нежилое, наименование: нежилое помещение, этаж № 1</t>
  </si>
  <si>
    <t>г Санкт-Петербург, ул 12-я Красноармейская, д 10 литера А, помещ 2-Н</t>
  </si>
  <si>
    <t>78:32:0001719:3395</t>
  </si>
  <si>
    <t>7474</t>
  </si>
  <si>
    <t>101</t>
  </si>
  <si>
    <t>Нежилое помещение, расположенное по адресу: , назначение: нежилое помещение, наименование: нежилое помещение, этаж № 1</t>
  </si>
  <si>
    <t>г Санкт-Петербург, Невский пр-кт, д 11/2 литера А, помещ 7-Н</t>
  </si>
  <si>
    <t>30 05 22 20:00</t>
  </si>
  <si>
    <t>78:31:0001182:2180</t>
  </si>
  <si>
    <t>Нежилое помещение, расположенное по адресу: , назначение: нежилое помещение, этаж № 1</t>
  </si>
  <si>
    <t>г Санкт-Петербург, Английский пр-кт, д 17-19 литера А, помещ 40-Н</t>
  </si>
  <si>
    <t>78:32:0001083:2524</t>
  </si>
  <si>
    <t>14596</t>
  </si>
  <si>
    <t>Нежилое помещение, расположенное по адресу: , назначение: нежилое, наименование: нежилое помещение, этаж: цокольный</t>
  </si>
  <si>
    <t>г Санкт-Петербург, Апраксин пер, д 9 литера А, помещ 3-Н</t>
  </si>
  <si>
    <t>25 05 22 20:00</t>
  </si>
  <si>
    <t>78:31:0001057:3086</t>
  </si>
  <si>
    <t>6414</t>
  </si>
  <si>
    <t>367</t>
  </si>
  <si>
    <t>Нежилое помещение, расположенное по адресу: , назначение: нежилое помещение, наименование: магазин, этаж: цокольный</t>
  </si>
  <si>
    <t>г Санкт-Петербург, ул Ленская, д 16 к 3 литера Б, помещ 11-Н</t>
  </si>
  <si>
    <t>23 05 22 20:00</t>
  </si>
  <si>
    <t>78:11:0006105:8335</t>
  </si>
  <si>
    <t>7686</t>
  </si>
  <si>
    <t>Нежилое помещение, расположенное по адресу: , назначение: нежилое, этаж: цокольный</t>
  </si>
  <si>
    <t>г Санкт-Петербург, наб Канала Грибоедова, д 96 литера А, помещ 8-Н</t>
  </si>
  <si>
    <t>20 05 22 20:00</t>
  </si>
  <si>
    <t>78:32:0001240:1493</t>
  </si>
  <si>
    <t>10681</t>
  </si>
  <si>
    <t>180</t>
  </si>
  <si>
    <t>г Санкт-Петербург, ул Витебская, д 31 литера Б, помещ 2-н</t>
  </si>
  <si>
    <t>78:32:0001079:1293</t>
  </si>
  <si>
    <t>г Санкт-Петербург, ул Будапештская, д 95 к 1 литера А, помещ 6-Н</t>
  </si>
  <si>
    <t>78:13:0007438:2355</t>
  </si>
  <si>
    <t>4493</t>
  </si>
  <si>
    <t>224</t>
  </si>
  <si>
    <t>г Санкт-Петербург, ул Белы Куна, д 16 литера В, помещ 5-Н</t>
  </si>
  <si>
    <t>17 05 22 20:00</t>
  </si>
  <si>
    <t>78:13:0007406:3526</t>
  </si>
  <si>
    <t>6808</t>
  </si>
  <si>
    <t>83</t>
  </si>
  <si>
    <t>г Санкт-Петербург, ул Мясная, д 19-21 литера А, помещ 17-Н</t>
  </si>
  <si>
    <t>11 05 22 20:00</t>
  </si>
  <si>
    <t>78:32:0001077:1223</t>
  </si>
  <si>
    <t>13893</t>
  </si>
  <si>
    <t>86</t>
  </si>
  <si>
    <t>Нежилое помещение, расположенное по адресу: ., назначение: нежилое, этаж № 1(далее Объект 1); пом. 2-Н, назначение: нежилое, этаж № 1, № 2(далее Объект 2).</t>
  </si>
  <si>
    <t>г Санкт-Петербург, г Петергоф, ул Прудовая, д 3а литера б, помещ 1-н</t>
  </si>
  <si>
    <t xml:space="preserve">78:40:0019218:1283 </t>
  </si>
  <si>
    <t>900</t>
  </si>
  <si>
    <t>Нежилое помещение, расположенное по адресу: ., назначение: нежилое, этаж: цокольный</t>
  </si>
  <si>
    <t>г Санкт-Петербург, наб Реки Фонтанки, д 189 литера А, помещ 2-Н</t>
  </si>
  <si>
    <t>20 04 22 20:00</t>
  </si>
  <si>
    <t>78:32:0001074:1432</t>
  </si>
  <si>
    <t>8739</t>
  </si>
  <si>
    <t>г Санкт-Петербург, ул Таллинская, д 12/18 литера А, помещ 18-Н</t>
  </si>
  <si>
    <t>78:11:0006025:4808</t>
  </si>
  <si>
    <t>6343</t>
  </si>
  <si>
    <t>г Санкт-Петербург, Свердловская наб, д 60 литера А, помещ 7-Н</t>
  </si>
  <si>
    <t>78:11:0006068:4755</t>
  </si>
  <si>
    <t>6076</t>
  </si>
  <si>
    <t>г Санкт-Петербург, ул Конторская, д 14 литера А, помещ 4-Н</t>
  </si>
  <si>
    <t>78:11:0006065:3341</t>
  </si>
  <si>
    <t>г Санкт-Петербург, ул Ковалёвская, д 14 литера А, помещ 1-Н</t>
  </si>
  <si>
    <t>78:11:0613501:1295</t>
  </si>
  <si>
    <t>4150</t>
  </si>
  <si>
    <t>Нежилое помещение, расположенное по адресу: ., наименование: нежилое помещение, назначение: нежилое помещение, этаж: цокольный</t>
  </si>
  <si>
    <t>г Санкт-Петербург, Кузнечный пер, д 19-21 литера П, помещ 5-Н</t>
  </si>
  <si>
    <t>19 04 22 20:00</t>
  </si>
  <si>
    <t>78:31:0001047:2742</t>
  </si>
  <si>
    <t>5157</t>
  </si>
  <si>
    <t>329</t>
  </si>
  <si>
    <t>г Санкт-Петербург, ул Большая Подьяческая, д 5 литера А, помещ 7-Н</t>
  </si>
  <si>
    <t>13 04 22 20:00</t>
  </si>
  <si>
    <t>78:32:0001239:2288</t>
  </si>
  <si>
    <t>9209</t>
  </si>
  <si>
    <t>204</t>
  </si>
  <si>
    <t>Нежилое помещение, расположенное по адресу: ., этаж: цокольный, назначение: нежилое</t>
  </si>
  <si>
    <t>г Санкт-Петербург, Рижский пр-кт, д 25 литера А, помещ 6-Н</t>
  </si>
  <si>
    <t>01 04 22 20:00</t>
  </si>
  <si>
    <t>78:32:0001611:1079</t>
  </si>
  <si>
    <t>6762</t>
  </si>
  <si>
    <t>г Санкт-Петербург, ул Олеко Дундича, д 35 к 1 литера А, помещ 4-Н</t>
  </si>
  <si>
    <t>78:13:0007448:3519</t>
  </si>
  <si>
    <t>5092</t>
  </si>
  <si>
    <t>159</t>
  </si>
  <si>
    <t>г Санкт-Петербург, Приморский пр-кт, д 145 к 3 литера А, помещ 5-Н</t>
  </si>
  <si>
    <t>25 03 22 20:00</t>
  </si>
  <si>
    <t>78:34:0004164:2662</t>
  </si>
  <si>
    <t>3997</t>
  </si>
  <si>
    <t>Нежилое помещение, расположенное по адресу: ., назначение: нежилое помещение, наименование: салон красоты, этаж: цокольный</t>
  </si>
  <si>
    <t>г Санкт-Петербург, ул Садовая, д 101 литера А, помещ 5-Н</t>
  </si>
  <si>
    <t>23 03 22 20:00</t>
  </si>
  <si>
    <t>78:32:0001156:1320</t>
  </si>
  <si>
    <t>18515</t>
  </si>
  <si>
    <t>205</t>
  </si>
  <si>
    <t>Нежилое помещение, расположенное по адресу: ., назначение: нежилое помещение, наименование: помещение, этаж № 1</t>
  </si>
  <si>
    <t>г Санкт-Петербург, ул 8-я Советская, д 14 литера А, помещ 5-Н</t>
  </si>
  <si>
    <t>22 03 22 20:00</t>
  </si>
  <si>
    <t>78:31:0001422:1235</t>
  </si>
  <si>
    <t>6366</t>
  </si>
  <si>
    <t>177</t>
  </si>
  <si>
    <t>г Санкт-Петербург, ул 8-я Красноармейская, д 4/5 литера А, помещ 1-Н</t>
  </si>
  <si>
    <t>21 03 22 20:00</t>
  </si>
  <si>
    <t>78:32:0001651:1077</t>
  </si>
  <si>
    <t>8249</t>
  </si>
  <si>
    <t>г Санкт-Петербург, ул Большая Конюшенная, д 15 литера Б, помещ 4-Н</t>
  </si>
  <si>
    <t>16 03 22 20:00</t>
  </si>
  <si>
    <t>78:31:0001184:4148</t>
  </si>
  <si>
    <t>4878</t>
  </si>
  <si>
    <t>298</t>
  </si>
  <si>
    <t>Нежилое помещение, расположенное по адресу: , назначение: нежилое помещение, наименование: офис, этаж № 1</t>
  </si>
  <si>
    <t>г Санкт-Петербург, ул Ивановская, д 15 литера А, помещ 3-Н</t>
  </si>
  <si>
    <t>15 03 22 20:00</t>
  </si>
  <si>
    <t>78:12:0713901:3356</t>
  </si>
  <si>
    <t>8937</t>
  </si>
  <si>
    <t>315</t>
  </si>
  <si>
    <t>Помещение, расположенное по адресу: , этаж № 2, назначение: нежилое помещение, наименование: нежилое помещение</t>
  </si>
  <si>
    <t>г Санкт-Петербург, г Ломоносов, Дворцовый пр-кт, д 63 литера А, помещ 8-Н</t>
  </si>
  <si>
    <t>78:40:2054701:1030</t>
  </si>
  <si>
    <t>990</t>
  </si>
  <si>
    <t>Нежилое помещение, расположенное по адресу: , назначение: нежилое помещение, наименование: контора, этаж №1</t>
  </si>
  <si>
    <t>г Санкт-Петербург, Столярный пер, д 18/69 литера А, помещ 33-Н</t>
  </si>
  <si>
    <t>11 03 22 20:00</t>
  </si>
  <si>
    <t>78:32:0001234:1114</t>
  </si>
  <si>
    <t>5920</t>
  </si>
  <si>
    <t>436</t>
  </si>
  <si>
    <t>г Санкт-Петербург, Английский пр-кт, д 17-19 литера С, помещ 13-Н</t>
  </si>
  <si>
    <t>09 03 22 20:00</t>
  </si>
  <si>
    <t>78:32:0001083:2584</t>
  </si>
  <si>
    <t>Нежилое помещение, расположенное по адресу: , назначение: нежилое помещение, наименование: служебное, этаж № 1</t>
  </si>
  <si>
    <t>г Санкт-Петербург, Шлиссельбургский пр-кт, д 23 литера А, помещ 5-Н</t>
  </si>
  <si>
    <t>05 03 22 20:00</t>
  </si>
  <si>
    <t>78:12:0007202:4512</t>
  </si>
  <si>
    <t>6918</t>
  </si>
  <si>
    <t>г Санкт-Петербург, Петергофское шоссе, д 3 к 1 литера Д, помещ 5-Н</t>
  </si>
  <si>
    <t>78:40:0008309:5227</t>
  </si>
  <si>
    <t>5250</t>
  </si>
  <si>
    <t>г Санкт-Петербург, ул Малая Морская, д 19 литера А, помещ 19-Н</t>
  </si>
  <si>
    <t>78:32:0001094:1202</t>
  </si>
  <si>
    <t>3030</t>
  </si>
  <si>
    <t>378</t>
  </si>
  <si>
    <t>г Санкт-Петербург, ул Кавалергардская, д 10 литера А, помещ 3-Н</t>
  </si>
  <si>
    <t>78:31:0001209:3242</t>
  </si>
  <si>
    <t>7011</t>
  </si>
  <si>
    <t>106</t>
  </si>
  <si>
    <t>г Санкт-Петербург, наб Обводного канала, д 142/16 литера А, помещ 7-Н</t>
  </si>
  <si>
    <t>03 03 22 20:00</t>
  </si>
  <si>
    <t>78:32:0008004:2838</t>
  </si>
  <si>
    <t>3268</t>
  </si>
  <si>
    <t>г Санкт-Петербург, наб Обводного канала, д 209 литера А, помещ 15-Н</t>
  </si>
  <si>
    <t>78:32:0001663:3051</t>
  </si>
  <si>
    <t>4271</t>
  </si>
  <si>
    <t>111</t>
  </si>
  <si>
    <t>Нежилое помещение, расположенное по адресу: ., назначение: нежилое помещение, наименование: нежилое помещение, этаж №1</t>
  </si>
  <si>
    <t>г Санкт-Петербург, ул Наличная, д 44 к 2 литера А, помещ 24-Н</t>
  </si>
  <si>
    <t>01 03 22 20:00</t>
  </si>
  <si>
    <t>78:06:0002202:12857</t>
  </si>
  <si>
    <t>6740</t>
  </si>
  <si>
    <t>г Санкт-Петербург, наб Канала Грибоедова, д 68 литера А, помещ 1-Н</t>
  </si>
  <si>
    <t>78:32:0001149:3350</t>
  </si>
  <si>
    <t>4974</t>
  </si>
  <si>
    <t>401</t>
  </si>
  <si>
    <t>г Санкт-Петербург, г Колпино, Заводской пр-кт, д 34 литера А, помещ 1-Н</t>
  </si>
  <si>
    <t>78:37:1711202:1778</t>
  </si>
  <si>
    <t>3468</t>
  </si>
  <si>
    <t>г Санкт-Петербург, линия 16-я В.О., д 97 литера А, помещ 7-Н</t>
  </si>
  <si>
    <t>78:06:0002057:2692</t>
  </si>
  <si>
    <t>3057</t>
  </si>
  <si>
    <t>г Санкт-Петербург, ул 4-я Красноармейская, д 14 литера А, помещ 2-Н</t>
  </si>
  <si>
    <t>78:32:0001669:225</t>
  </si>
  <si>
    <t>15154</t>
  </si>
  <si>
    <t>г Санкт-Петербург, пр-кт Стачек, д 38 литера А, помещ 4-Н</t>
  </si>
  <si>
    <t>24 02 22 20:00</t>
  </si>
  <si>
    <t>78:15:0008052:1865</t>
  </si>
  <si>
    <t>8163</t>
  </si>
  <si>
    <t>г Санкт-Петербург, ул Краснопутиловская, д 14/12 литера А, помещ 18-Н</t>
  </si>
  <si>
    <t>78:15:0008205:2861</t>
  </si>
  <si>
    <t>7938</t>
  </si>
  <si>
    <t>Нежилое помещение, расположенное по адресу: ., этаж: цокольный, назначение: нежилое, наименование: нежилое помещение</t>
  </si>
  <si>
    <t>г Санкт-Петербург, Поварской пер, д 14 литера А, помещ 4-Н</t>
  </si>
  <si>
    <t>22 02 22 20:00</t>
  </si>
  <si>
    <t>78:31:0001221:2345</t>
  </si>
  <si>
    <t>4288</t>
  </si>
  <si>
    <t>383</t>
  </si>
  <si>
    <t>Нежилое помещение, расположенное по адресу: ., этаж №1, назначение: нежилое помещение, наименование: контора</t>
  </si>
  <si>
    <t>г Санкт-Петербург, наб Реки Пряжки, д 48 литера А, помещ 4-Н</t>
  </si>
  <si>
    <t>78:32:0001164:1183</t>
  </si>
  <si>
    <t>13477</t>
  </si>
  <si>
    <t>г Санкт-Петербург, пер Макаренко, д 3 литера А, помещ 2-Н</t>
  </si>
  <si>
    <t>78:32:0001068:1514</t>
  </si>
  <si>
    <t>13366</t>
  </si>
  <si>
    <t>142</t>
  </si>
  <si>
    <t>Нежилое помещение, расположенное по адресу: ., назначение: нежилое помещение, этаж: цокольный</t>
  </si>
  <si>
    <t>г Санкт-Петербург, Климов пер, д 3 литера А, помещ 4-Н</t>
  </si>
  <si>
    <t>21 02 22 20:00</t>
  </si>
  <si>
    <t>78:32:0001070:3166</t>
  </si>
  <si>
    <t>17188</t>
  </si>
  <si>
    <t>183</t>
  </si>
  <si>
    <t>г Санкт-Петербург, Климов пер, д 3 литера А, помещ 3-Н</t>
  </si>
  <si>
    <t>78:32:0001070:3164</t>
  </si>
  <si>
    <t>г Биробиджан, ул Шолом-Алейхема, д 39</t>
  </si>
  <si>
    <t>23 05 22 14:30</t>
  </si>
  <si>
    <t>79:01:0200034:1064</t>
  </si>
  <si>
    <t>7210</t>
  </si>
  <si>
    <t>этажность -2.</t>
  </si>
  <si>
    <t>г.Нефтеюганск, мкр-н 6, здание 47, пом. 1</t>
  </si>
  <si>
    <t>18 04 22 12:30</t>
  </si>
  <si>
    <t>86:10:0000000:19032</t>
  </si>
  <si>
    <t>8391</t>
  </si>
  <si>
    <t xml:space="preserve">этаж 1, адрес: </t>
  </si>
  <si>
    <t>Ханты-Мансийский автономный округ – Югра, г. Нижневартовск, ул. Ленина, 5/п, строение 4, помещение 1003</t>
  </si>
  <si>
    <t>25 03 22 14:00</t>
  </si>
  <si>
    <t xml:space="preserve">86:11:0000000:75741, </t>
  </si>
  <si>
    <t>89</t>
  </si>
  <si>
    <t xml:space="preserve">Недвижимое имущество – нежилое помещение.РНФИ П13460001325, расположенное по адресу: </t>
  </si>
  <si>
    <t>г Салехард, ул Чапаева, д 22, помещ 1</t>
  </si>
  <si>
    <t>09 03 22 09:00</t>
  </si>
  <si>
    <t xml:space="preserve">89:08:030201:936, </t>
  </si>
  <si>
    <t>231</t>
  </si>
  <si>
    <t>22000066460000000003_1</t>
  </si>
  <si>
    <t>44.604739, 40.108358</t>
  </si>
  <si>
    <t>44.604739_40.108358.json</t>
  </si>
  <si>
    <t>21000022850000000050_26</t>
  </si>
  <si>
    <t>53.645922, 55.932047</t>
  </si>
  <si>
    <t>53.645922_55.932047.json</t>
  </si>
  <si>
    <t>21000002210000000564_3</t>
  </si>
  <si>
    <t>54.727588, 55.947723</t>
  </si>
  <si>
    <t>54.727588_55.947723.json</t>
  </si>
  <si>
    <t>22000022990000000003_1</t>
  </si>
  <si>
    <t>55.052923, 55.993393</t>
  </si>
  <si>
    <t>55.052923_55.993393.json</t>
  </si>
  <si>
    <t>21000028230000000013_1</t>
  </si>
  <si>
    <t>54.099747, 54.104973</t>
  </si>
  <si>
    <t>54.099747_54.104973.json</t>
  </si>
  <si>
    <t>21000022850000000030_11</t>
  </si>
  <si>
    <t>56.267822, 54.9341</t>
  </si>
  <si>
    <t>56.267822_54.9341.json</t>
  </si>
  <si>
    <t>22000029100000000001_1</t>
  </si>
  <si>
    <t>54.599618, 53.679773</t>
  </si>
  <si>
    <t>54.599618_53.679773.json</t>
  </si>
  <si>
    <t>21000009380000000003_1</t>
  </si>
  <si>
    <t>55.492474, 54.84453</t>
  </si>
  <si>
    <t>55.492474_54.84453.json</t>
  </si>
  <si>
    <t>22000014830000000004_1</t>
  </si>
  <si>
    <t>54.217415, 55.049246</t>
  </si>
  <si>
    <t>54.217415_55.049246.json</t>
  </si>
  <si>
    <t>22000053850000000001_1</t>
  </si>
  <si>
    <t>54.60266, 53.694893</t>
  </si>
  <si>
    <t>54.60266_53.694893.json</t>
  </si>
  <si>
    <t>22000036990000000001_1</t>
  </si>
  <si>
    <t>54.48299, 53.46805</t>
  </si>
  <si>
    <t>54.48299_53.46805.json</t>
  </si>
  <si>
    <t>22000039540000000001_1</t>
  </si>
  <si>
    <t>55.104079, 55.368992</t>
  </si>
  <si>
    <t>55.104079_55.368992.json</t>
  </si>
  <si>
    <t>21000028230000000001_1</t>
  </si>
  <si>
    <t>54.101536, 54.10925</t>
  </si>
  <si>
    <t>54.101536_54.10925.json</t>
  </si>
  <si>
    <t>22000016660000000004_5</t>
  </si>
  <si>
    <t>55.634132, 109.31769</t>
  </si>
  <si>
    <t>55.634132_109.31769.json</t>
  </si>
  <si>
    <t>21000003120000000003_1</t>
  </si>
  <si>
    <t>51.77594, 107.552926</t>
  </si>
  <si>
    <t>51.77594_107.552926.json</t>
  </si>
  <si>
    <t>21000013200000000031_1</t>
  </si>
  <si>
    <t>42.982006, 47.500378</t>
  </si>
  <si>
    <t>42.982006_47.500378.json</t>
  </si>
  <si>
    <t>22000078070000000003_1</t>
  </si>
  <si>
    <t>61.269279, 29.857736</t>
  </si>
  <si>
    <t>61.269279_29.857736.json</t>
  </si>
  <si>
    <t>22000014990000000001_2</t>
  </si>
  <si>
    <t>61.701971, 30.690618</t>
  </si>
  <si>
    <t>61.701971_30.690618.json</t>
  </si>
  <si>
    <t>22000083510000000001_2</t>
  </si>
  <si>
    <t>61.542702, 34.685094</t>
  </si>
  <si>
    <t>61.542702_34.685094.json</t>
  </si>
  <si>
    <t>22000007320000000008_1</t>
  </si>
  <si>
    <t>22000020710000000001_3</t>
  </si>
  <si>
    <t>61.758864, 34.311808</t>
  </si>
  <si>
    <t>61.758864_34.311808.json</t>
  </si>
  <si>
    <t>21000016640000000006_7</t>
  </si>
  <si>
    <t>63.563084, 53.660748</t>
  </si>
  <si>
    <t>63.563084_53.660748.json</t>
  </si>
  <si>
    <t>21000004300000000002_1</t>
  </si>
  <si>
    <t>56.645054, 47.863422</t>
  </si>
  <si>
    <t>56.645054_47.863422.json</t>
  </si>
  <si>
    <t>22000065910000000001_1</t>
  </si>
  <si>
    <t>56.671281, 47.824294</t>
  </si>
  <si>
    <t>56.671281_47.824294.json</t>
  </si>
  <si>
    <t>22000059440000000022_10</t>
  </si>
  <si>
    <t>54.1707765, 45.139448</t>
  </si>
  <si>
    <t>54.1707765_45.139448.json</t>
  </si>
  <si>
    <t>21000014540000000031_4</t>
  </si>
  <si>
    <t>62.05524, 129.721371</t>
  </si>
  <si>
    <t>62.05524_129.721371.json</t>
  </si>
  <si>
    <t>21000006210000000010_4</t>
  </si>
  <si>
    <t>54.904877, 52.263435</t>
  </si>
  <si>
    <t>54.904877_52.263435.json</t>
  </si>
  <si>
    <t>21000012500000000001_2</t>
  </si>
  <si>
    <t>55.30343, 51.9898</t>
  </si>
  <si>
    <t>55.30343_51.9898.json</t>
  </si>
  <si>
    <t>21000026240000000005_1</t>
  </si>
  <si>
    <t>55.829219, 49.083282</t>
  </si>
  <si>
    <t>55.829219_49.083282.json</t>
  </si>
  <si>
    <t>21000015480000000017_1</t>
  </si>
  <si>
    <t>56.470835, 53.80348</t>
  </si>
  <si>
    <t>56.470835_53.80348.json</t>
  </si>
  <si>
    <t>21000009460000000001_1</t>
  </si>
  <si>
    <t>52.649969, 90.085159</t>
  </si>
  <si>
    <t>52.649969_90.085159.json</t>
  </si>
  <si>
    <t>22000012370000000016_1</t>
  </si>
  <si>
    <t>55.492447, 46.414288</t>
  </si>
  <si>
    <t>55.492447_46.414288.json</t>
  </si>
  <si>
    <t>21000025550000000028_13</t>
  </si>
  <si>
    <t>56.15064, 47.183184</t>
  </si>
  <si>
    <t>56.15064_47.183184.json</t>
  </si>
  <si>
    <t>22000030000000000021_1</t>
  </si>
  <si>
    <t>55.161923, 48.002807</t>
  </si>
  <si>
    <t>55.161923_48.002807.json</t>
  </si>
  <si>
    <t>21000010370000000036_1</t>
  </si>
  <si>
    <t>56.095072, 47.275486</t>
  </si>
  <si>
    <t>56.095072_47.275486.json</t>
  </si>
  <si>
    <t>21000010370000000033_1</t>
  </si>
  <si>
    <t>56.10183, 47.294243</t>
  </si>
  <si>
    <t>56.10183_47.294243.json</t>
  </si>
  <si>
    <t>22000053090000000003_2</t>
  </si>
  <si>
    <t>55.51748, 47.495303</t>
  </si>
  <si>
    <t>55.51748_47.495303.json</t>
  </si>
  <si>
    <t>22000053090000000003_3</t>
  </si>
  <si>
    <t>55.510136, 47.502068</t>
  </si>
  <si>
    <t>55.510136_47.502068.json</t>
  </si>
  <si>
    <t>22000053090000000003_1</t>
  </si>
  <si>
    <t>22000053090000000002_1</t>
  </si>
  <si>
    <t>55.515273, 47.503137</t>
  </si>
  <si>
    <t>55.515273_47.503137.json</t>
  </si>
  <si>
    <t>22000053090000000001_1</t>
  </si>
  <si>
    <t>22000003210000000001_1</t>
  </si>
  <si>
    <t>54.843025, 46.587116</t>
  </si>
  <si>
    <t>54.843025_46.587116.json</t>
  </si>
  <si>
    <t>22000098680000000005_1</t>
  </si>
  <si>
    <t>51.954252, 85.813355</t>
  </si>
  <si>
    <t>51.954252_85.813355.json</t>
  </si>
  <si>
    <t>22000022080000000003_1</t>
  </si>
  <si>
    <t>51.640116, 84.329213</t>
  </si>
  <si>
    <t>51.640116_84.329213.json</t>
  </si>
  <si>
    <t>22000022080000000003_2</t>
  </si>
  <si>
    <t>21000015510000000014_2</t>
  </si>
  <si>
    <t>53.344955, 83.70897</t>
  </si>
  <si>
    <t>53.344955_83.70897.json</t>
  </si>
  <si>
    <t>21000016450000000002_1</t>
  </si>
  <si>
    <t>51.523357, 81.22472</t>
  </si>
  <si>
    <t>51.523357_81.22472.json</t>
  </si>
  <si>
    <t>21000015510000000006_1</t>
  </si>
  <si>
    <t>53.332577, 83.791214</t>
  </si>
  <si>
    <t>53.332577_83.791214.json</t>
  </si>
  <si>
    <t>21000015510000000003_8</t>
  </si>
  <si>
    <t>53.370193, 83.6869</t>
  </si>
  <si>
    <t>53.370193_83.6869.json</t>
  </si>
  <si>
    <t>22000010840000000002_1</t>
  </si>
  <si>
    <t>45.9165001, 40.1523854</t>
  </si>
  <si>
    <t>45.9165001_40.1523854.json</t>
  </si>
  <si>
    <t>22000097040000000001_1</t>
  </si>
  <si>
    <t>44.32913, 38.699252</t>
  </si>
  <si>
    <t>44.32913_38.699252.json</t>
  </si>
  <si>
    <t>21000003580000000001_15</t>
  </si>
  <si>
    <t>44.992212, 41.105596</t>
  </si>
  <si>
    <t>44.992212_41.105596.json</t>
  </si>
  <si>
    <t>22000034760000000117_1</t>
  </si>
  <si>
    <t>56.046383, 92.773331</t>
  </si>
  <si>
    <t>56.046383_92.773331.json</t>
  </si>
  <si>
    <t>22000004950000000002_2</t>
  </si>
  <si>
    <t>56.053432, 92.86393</t>
  </si>
  <si>
    <t>56.053432_92.86393.json</t>
  </si>
  <si>
    <t>22000004950000000002_1</t>
  </si>
  <si>
    <t>56.0197094, 92.8602308</t>
  </si>
  <si>
    <t>56.0197094_92.8602308.json</t>
  </si>
  <si>
    <t>22000024070000000006_5</t>
  </si>
  <si>
    <t>56.262582, 90.48181</t>
  </si>
  <si>
    <t>56.262582_90.48181.json</t>
  </si>
  <si>
    <t>21000014890000000014_1</t>
  </si>
  <si>
    <t>56.034843, 92.919092</t>
  </si>
  <si>
    <t>56.034843_92.919092.json</t>
  </si>
  <si>
    <t>21000014890000000011_1</t>
  </si>
  <si>
    <t>55.976074, 92.886795</t>
  </si>
  <si>
    <t>55.976074_92.886795.json</t>
  </si>
  <si>
    <t>21000014890000000009_1</t>
  </si>
  <si>
    <t>56.066957, 92.93227</t>
  </si>
  <si>
    <t>56.066957_92.93227.json</t>
  </si>
  <si>
    <t>21000014890000000002_1</t>
  </si>
  <si>
    <t>55.999943, 93.01335</t>
  </si>
  <si>
    <t>55.999943_93.01335.json</t>
  </si>
  <si>
    <t>22000104060000000019_4</t>
  </si>
  <si>
    <t>43.158554, 131.92978</t>
  </si>
  <si>
    <t>43.158554_131.92978.json</t>
  </si>
  <si>
    <t>22000033790000000004_1</t>
  </si>
  <si>
    <t>44.742153, 132.04353</t>
  </si>
  <si>
    <t>44.742153_132.04353.json</t>
  </si>
  <si>
    <t>21000011380000000001_1</t>
  </si>
  <si>
    <t>44.109623, 42.98381</t>
  </si>
  <si>
    <t>44.109623_42.98381.json</t>
  </si>
  <si>
    <t>22000102650000000001_2</t>
  </si>
  <si>
    <t>43.897697, 42.713787</t>
  </si>
  <si>
    <t>43.897697_42.713787.json</t>
  </si>
  <si>
    <t>21000003150000000002_5</t>
  </si>
  <si>
    <t>44.637857, 41.952402</t>
  </si>
  <si>
    <t>44.637857_41.952402.json</t>
  </si>
  <si>
    <t>21000004820000000003_3</t>
  </si>
  <si>
    <t>44.057153, 43.066097</t>
  </si>
  <si>
    <t>44.057153_43.066097.json</t>
  </si>
  <si>
    <t>21000016400000000002_14</t>
  </si>
  <si>
    <t>44.134393, 43.026095</t>
  </si>
  <si>
    <t>44.134393_43.026095.json</t>
  </si>
  <si>
    <t>21000004820000000001_5</t>
  </si>
  <si>
    <t>44.052625,  42.983928</t>
  </si>
  <si>
    <t>44.052625_42.983928.json</t>
  </si>
  <si>
    <t>21000019020000000011_1</t>
  </si>
  <si>
    <t>50.218704, 136.90366</t>
  </si>
  <si>
    <t>50.218704_136.90366.json</t>
  </si>
  <si>
    <t>21000005750000000037_1</t>
  </si>
  <si>
    <t>50.578453, 137.05286</t>
  </si>
  <si>
    <t>50.578453_137.05286.json</t>
  </si>
  <si>
    <t>21000005750000000024_1</t>
  </si>
  <si>
    <t>50.577845, 137.05652</t>
  </si>
  <si>
    <t>50.577845_137.05652.json</t>
  </si>
  <si>
    <t>21000034110000000003_1</t>
  </si>
  <si>
    <t>49.606242, 128.005984</t>
  </si>
  <si>
    <t>49.606242_128.005984.json</t>
  </si>
  <si>
    <t>21000003100000000008_1</t>
  </si>
  <si>
    <t>50.916283, 128.48146</t>
  </si>
  <si>
    <t>50.916283_128.48146.json</t>
  </si>
  <si>
    <t>21000031630000000010_1</t>
  </si>
  <si>
    <t>64.53915, 39.799698</t>
  </si>
  <si>
    <t>64.53915_39.799698.json</t>
  </si>
  <si>
    <t>21000006750000000006_8</t>
  </si>
  <si>
    <t>64.543696, 40.5679</t>
  </si>
  <si>
    <t>64.543696_40.5679.json</t>
  </si>
  <si>
    <t>21000031630000000007_2</t>
  </si>
  <si>
    <t>64.553811, 39.800029</t>
  </si>
  <si>
    <t>64.553811_39.800029.json</t>
  </si>
  <si>
    <t>22000037620000000002_1</t>
  </si>
  <si>
    <t>61.309, 47.191269</t>
  </si>
  <si>
    <t>61.309_47.191269.json</t>
  </si>
  <si>
    <t>21000026630000000004_1</t>
  </si>
  <si>
    <t>51.306128, 37.892484</t>
  </si>
  <si>
    <t>51.306128_37.892484.json</t>
  </si>
  <si>
    <t>21000026630000000002_1</t>
  </si>
  <si>
    <t>51.303886, 37.888603</t>
  </si>
  <si>
    <t>51.303886_37.888603.json</t>
  </si>
  <si>
    <t>21000008500000000083_1</t>
  </si>
  <si>
    <t>53.301632, 34.29324</t>
  </si>
  <si>
    <t>53.301632_34.29324.json</t>
  </si>
  <si>
    <t>21000008500000000063_1</t>
  </si>
  <si>
    <t>53.304996, 34.2944</t>
  </si>
  <si>
    <t>53.304996_34.2944.json</t>
  </si>
  <si>
    <t>21000008500000000043_1</t>
  </si>
  <si>
    <t>53.248675, 34.448226</t>
  </si>
  <si>
    <t>53.248675_34.448226.json</t>
  </si>
  <si>
    <t>21000030690000000016_2</t>
  </si>
  <si>
    <t>53.051819, 32.084606</t>
  </si>
  <si>
    <t>53.051819_32.084606.json</t>
  </si>
  <si>
    <t>21000030690000000016_3</t>
  </si>
  <si>
    <t>52.993109, 31.955347</t>
  </si>
  <si>
    <t>52.993109_31.955347.json</t>
  </si>
  <si>
    <t>21000013350000000014_1</t>
  </si>
  <si>
    <t>53.013468, 31.58578</t>
  </si>
  <si>
    <t>53.013468_31.58578.json</t>
  </si>
  <si>
    <t>21000008500000000009_1</t>
  </si>
  <si>
    <t>53.25897, 34.442783</t>
  </si>
  <si>
    <t>53.25897_34.442783.json</t>
  </si>
  <si>
    <t>21000008500000000006_1</t>
  </si>
  <si>
    <t>53.2517967, 34.4422385</t>
  </si>
  <si>
    <t>53.2517967_34.4422385.json</t>
  </si>
  <si>
    <t>22000112030000000001_1</t>
  </si>
  <si>
    <t>56.34432, 41.295544</t>
  </si>
  <si>
    <t>56.34432_41.295544.json</t>
  </si>
  <si>
    <t>21000004310000000145_4</t>
  </si>
  <si>
    <t>56.132138, 40.389944</t>
  </si>
  <si>
    <t>56.132138_40.389944.json</t>
  </si>
  <si>
    <t>21000001470000000002_1</t>
  </si>
  <si>
    <t>56.29895, 39.37774</t>
  </si>
  <si>
    <t>56.29895_39.37774.json</t>
  </si>
  <si>
    <t>21000028510000000004_1</t>
  </si>
  <si>
    <t>49.767542, 43.640022</t>
  </si>
  <si>
    <t>49.767542_43.640022.json</t>
  </si>
  <si>
    <t>21000029410000000004_1</t>
  </si>
  <si>
    <t>50.049374, 43.224488</t>
  </si>
  <si>
    <t>50.049374_43.224488.json</t>
  </si>
  <si>
    <t>21000004930000000009_1</t>
  </si>
  <si>
    <t>49.066343, 44.817911</t>
  </si>
  <si>
    <t>49.066343_44.817911.json</t>
  </si>
  <si>
    <t>22000117350000000001_1</t>
  </si>
  <si>
    <t>58.842931, 36.428517</t>
  </si>
  <si>
    <t>58.842931_36.428517.json</t>
  </si>
  <si>
    <t>22000003620000000002_1</t>
  </si>
  <si>
    <t>59.386623, 35.951523</t>
  </si>
  <si>
    <t>59.386623_35.951523.json</t>
  </si>
  <si>
    <t>21000002750000000022_1</t>
  </si>
  <si>
    <t>59.204586, 39.843536</t>
  </si>
  <si>
    <t>59.204586_39.843536.json</t>
  </si>
  <si>
    <t>22000036740000000002_1</t>
  </si>
  <si>
    <t>59.456734, 40.124454</t>
  </si>
  <si>
    <t>59.456734_40.124454.json</t>
  </si>
  <si>
    <t>21000002750000000019_1</t>
  </si>
  <si>
    <t>59.223835, 39.936528</t>
  </si>
  <si>
    <t>59.223835_39.936528.json</t>
  </si>
  <si>
    <t>21000035130000000005_1</t>
  </si>
  <si>
    <t>51.348079, 42.131122</t>
  </si>
  <si>
    <t>51.348079_42.131122.json</t>
  </si>
  <si>
    <t>22000022930000000029_10</t>
  </si>
  <si>
    <t>51.673546, 39.197495</t>
  </si>
  <si>
    <t>51.673546_39.197495.json</t>
  </si>
  <si>
    <t>22000008510000000003_1</t>
  </si>
  <si>
    <t>51.095874, 40.039853</t>
  </si>
  <si>
    <t>51.095874_40.039853.json</t>
  </si>
  <si>
    <t>22000008510000000002_1</t>
  </si>
  <si>
    <t>21000033070000000010_1</t>
  </si>
  <si>
    <t>51.67364, 39.15688</t>
  </si>
  <si>
    <t>51.67364_39.15688.json</t>
  </si>
  <si>
    <t>21000033070000000002_1</t>
  </si>
  <si>
    <t>51.651707, 39.170912</t>
  </si>
  <si>
    <t>51.651707_39.170912.json</t>
  </si>
  <si>
    <t>21000031780000000003_1</t>
  </si>
  <si>
    <t>50.712498, 39.43391</t>
  </si>
  <si>
    <t>50.712498_39.43391.json</t>
  </si>
  <si>
    <t>21000023350000000001_1</t>
  </si>
  <si>
    <t>50.196065, 39.573052</t>
  </si>
  <si>
    <t>50.196065_39.573052.json</t>
  </si>
  <si>
    <t>21000023350000000002_1</t>
  </si>
  <si>
    <t>22000022930000000009_1</t>
  </si>
  <si>
    <t>51.703472, 39.161947</t>
  </si>
  <si>
    <t>51.703472_39.161947.json</t>
  </si>
  <si>
    <t>22000079930000000006_1</t>
  </si>
  <si>
    <t>57.4741, 41.961277</t>
  </si>
  <si>
    <t>57.4741_41.961277.json</t>
  </si>
  <si>
    <t>21000020930000000001_1</t>
  </si>
  <si>
    <t>57.030083, 40.368214</t>
  </si>
  <si>
    <t>57.030083_40.368214.json</t>
  </si>
  <si>
    <t>21000012970000000013_1</t>
  </si>
  <si>
    <t>56.849915, 41.356064</t>
  </si>
  <si>
    <t>56.849915_41.356064.json</t>
  </si>
  <si>
    <t>21000010870000000002_3</t>
  </si>
  <si>
    <t>56.991302, 40.931529</t>
  </si>
  <si>
    <t>56.991302_40.931529.json</t>
  </si>
  <si>
    <t>21000007300000000003_1</t>
  </si>
  <si>
    <t>56.850697, 41.369038</t>
  </si>
  <si>
    <t>56.850697_41.369038.json</t>
  </si>
  <si>
    <t>21000007110000000014_3</t>
  </si>
  <si>
    <t>52.51086, 103.838234</t>
  </si>
  <si>
    <t>52.51086_103.838234.json</t>
  </si>
  <si>
    <t>21000030270000000003_1</t>
  </si>
  <si>
    <t>57.848919, 114.19763</t>
  </si>
  <si>
    <t>57.848919_114.19763.json</t>
  </si>
  <si>
    <t>22000092900000000001_1</t>
  </si>
  <si>
    <t>52.308495, 104.176096</t>
  </si>
  <si>
    <t>52.308495_104.176096.json</t>
  </si>
  <si>
    <t>21000007110000000006_3</t>
  </si>
  <si>
    <t>52.53228, 103.89681</t>
  </si>
  <si>
    <t>52.53228_103.89681.json</t>
  </si>
  <si>
    <t>22000061890000000001_1</t>
  </si>
  <si>
    <t>53.075596, 103.34048</t>
  </si>
  <si>
    <t>53.075596_103.34048.json</t>
  </si>
  <si>
    <t>21000015330000000004_1</t>
  </si>
  <si>
    <t>56.283729, 101.881143</t>
  </si>
  <si>
    <t>56.283729_101.881143.json</t>
  </si>
  <si>
    <t>21000019000000000003_1</t>
  </si>
  <si>
    <t>52.36115, 104.21175</t>
  </si>
  <si>
    <t>52.36115_104.21175.json</t>
  </si>
  <si>
    <t>22000054080000000004_1</t>
  </si>
  <si>
    <t>54.446863, 21.017658</t>
  </si>
  <si>
    <t>54.446863_21.017658.json</t>
  </si>
  <si>
    <t>22000054080000000009_1</t>
  </si>
  <si>
    <t>54.356088, 21.322591</t>
  </si>
  <si>
    <t>54.356088_21.322591.json</t>
  </si>
  <si>
    <t>21000029430000000015_16</t>
  </si>
  <si>
    <t>54.711868, 20.58202</t>
  </si>
  <si>
    <t>54.711868_20.58202.json</t>
  </si>
  <si>
    <t>22000014810000000024_1</t>
  </si>
  <si>
    <t>54.518732, 36.259922</t>
  </si>
  <si>
    <t>54.518732_36.259922.json</t>
  </si>
  <si>
    <t>22000014810000000003_1</t>
  </si>
  <si>
    <t>54.552807, 36.29545</t>
  </si>
  <si>
    <t>54.552807_36.29545.json</t>
  </si>
  <si>
    <t>21000034040000000002_1</t>
  </si>
  <si>
    <t>53.122253, 157.74729</t>
  </si>
  <si>
    <t>53.122253_157.74729.json</t>
  </si>
  <si>
    <t>21000029740000000018_1</t>
  </si>
  <si>
    <t>53.063845, 158.553465</t>
  </si>
  <si>
    <t>53.063845_158.553465.json</t>
  </si>
  <si>
    <t>21000033300000000017_11</t>
  </si>
  <si>
    <t>53.863757, 86.625279</t>
  </si>
  <si>
    <t>53.863757_86.625279.json</t>
  </si>
  <si>
    <t>22000017180000000001_9</t>
  </si>
  <si>
    <t>55.397415, 86.00817</t>
  </si>
  <si>
    <t>55.397415_86.00817.json</t>
  </si>
  <si>
    <t>21000033300000000011_8</t>
  </si>
  <si>
    <t>53.879721, 86.611293</t>
  </si>
  <si>
    <t>53.879721_86.611293.json</t>
  </si>
  <si>
    <t>22000014620000000002_1</t>
  </si>
  <si>
    <t>55.66111, 86.266852</t>
  </si>
  <si>
    <t>55.66111_86.266852.json</t>
  </si>
  <si>
    <t>22000012150000000006_4</t>
  </si>
  <si>
    <t>53.713634, 87.80065</t>
  </si>
  <si>
    <t>53.713634_87.80065.json</t>
  </si>
  <si>
    <t>21000002310000000037_1</t>
  </si>
  <si>
    <t>55.281672, 85.627242</t>
  </si>
  <si>
    <t>55.281672_85.627242.json</t>
  </si>
  <si>
    <t>21000000010000000003_4</t>
  </si>
  <si>
    <t>56.078564, 86.013824</t>
  </si>
  <si>
    <t>56.078564_86.013824.json</t>
  </si>
  <si>
    <t>21000000010000000003_12</t>
  </si>
  <si>
    <t>55.41167, 86.05477</t>
  </si>
  <si>
    <t>55.41167_86.05477.json</t>
  </si>
  <si>
    <t>21000000010000000003_10</t>
  </si>
  <si>
    <t>54.004427, 86.638467</t>
  </si>
  <si>
    <t>54.004427_86.638467.json</t>
  </si>
  <si>
    <t>21000000010000000002_2</t>
  </si>
  <si>
    <t>53.908273, 86.789662</t>
  </si>
  <si>
    <t>53.908273_86.789662.json</t>
  </si>
  <si>
    <t>21000000010000000002_1</t>
  </si>
  <si>
    <t>53.86843, 86.75309</t>
  </si>
  <si>
    <t>53.86843_86.75309.json</t>
  </si>
  <si>
    <t>21000000010000000002_4</t>
  </si>
  <si>
    <t>53.865637, 86.645231</t>
  </si>
  <si>
    <t>53.865637_86.645231.json</t>
  </si>
  <si>
    <t>22000110650000000001_1</t>
  </si>
  <si>
    <t>58.497129, 49.025862</t>
  </si>
  <si>
    <t>58.497129_49.025862.json</t>
  </si>
  <si>
    <t>22000006140000000033_1</t>
  </si>
  <si>
    <t>58.540024, 50.030798</t>
  </si>
  <si>
    <t>58.540024_50.030798.json</t>
  </si>
  <si>
    <t>21000016080000000100_1</t>
  </si>
  <si>
    <t>56.21733, 51.03541</t>
  </si>
  <si>
    <t>56.21733_51.03541.json</t>
  </si>
  <si>
    <t>21000016080000000030_4</t>
  </si>
  <si>
    <t>58.60358, 49.67942</t>
  </si>
  <si>
    <t>58.60358_49.67942.json</t>
  </si>
  <si>
    <t>22000006140000000014_1</t>
  </si>
  <si>
    <t>58.5342016, 50.0221059</t>
  </si>
  <si>
    <t>58.5342016_50.0221059.json</t>
  </si>
  <si>
    <t>21000013520000000001_2</t>
  </si>
  <si>
    <t>58.601987, 49.674248</t>
  </si>
  <si>
    <t>58.601987_49.674248.json</t>
  </si>
  <si>
    <t>21000013520000000001_3</t>
  </si>
  <si>
    <t>21000013520000000001_1</t>
  </si>
  <si>
    <t>22000005110000000002_1</t>
  </si>
  <si>
    <t>58.477207, 41.544135</t>
  </si>
  <si>
    <t>58.477207_41.544135.json</t>
  </si>
  <si>
    <t>21000012860000000007_3</t>
  </si>
  <si>
    <t>57.7481, 41.001232</t>
  </si>
  <si>
    <t>57.7481_41.001232.json</t>
  </si>
  <si>
    <t>21000024540000000002_1</t>
  </si>
  <si>
    <t>58.380085,  45.515165</t>
  </si>
  <si>
    <t>58.380085_45.515165.json</t>
  </si>
  <si>
    <t>21000012860000000001_12</t>
  </si>
  <si>
    <t>57.772243, 40.952882</t>
  </si>
  <si>
    <t>57.772243_40.952882.json</t>
  </si>
  <si>
    <t>21000009230000000114_1</t>
  </si>
  <si>
    <t>55.437107, 65.353587</t>
  </si>
  <si>
    <t>55.437107_65.353587.json</t>
  </si>
  <si>
    <t>21000020130000000007_1</t>
  </si>
  <si>
    <t>55.277565, 66.509808</t>
  </si>
  <si>
    <t>55.277565_66.509808.json</t>
  </si>
  <si>
    <t>22000039800000000001_1</t>
  </si>
  <si>
    <t>56.261707, 62.934074</t>
  </si>
  <si>
    <t>56.261707_62.934074.json</t>
  </si>
  <si>
    <t>21000016220000000010_2</t>
  </si>
  <si>
    <t>51.74719, 36.19498</t>
  </si>
  <si>
    <t>51.74719_36.19498.json</t>
  </si>
  <si>
    <t>21000029540000000001_1</t>
  </si>
  <si>
    <t>60.104836, 32.313137</t>
  </si>
  <si>
    <t>60.104836_32.313137.json</t>
  </si>
  <si>
    <t>22000031890000000003_1</t>
  </si>
  <si>
    <t>59.813889, 29.982126</t>
  </si>
  <si>
    <t>59.813889_29.982126.json</t>
  </si>
  <si>
    <t>22000031890000000002_1</t>
  </si>
  <si>
    <t>59.81674, 29.980823</t>
  </si>
  <si>
    <t>59.81674_29.980823.json</t>
  </si>
  <si>
    <t>21000013960000000004_8</t>
  </si>
  <si>
    <t>59.58926, 150.83209</t>
  </si>
  <si>
    <t>59.58926_150.83209.json</t>
  </si>
  <si>
    <t>21000013960000000004_29</t>
  </si>
  <si>
    <t>62.087879, 150.521071</t>
  </si>
  <si>
    <t>62.087879_150.521071.json</t>
  </si>
  <si>
    <t>21000013960000000004_26</t>
  </si>
  <si>
    <t>62.08512, 150.52081</t>
  </si>
  <si>
    <t>62.08512_150.52081.json</t>
  </si>
  <si>
    <t>22000038950000000001_1</t>
  </si>
  <si>
    <t>62.523613, 149.62122</t>
  </si>
  <si>
    <t>62.523613_149.62122.json</t>
  </si>
  <si>
    <t>21000004710000001532_1</t>
  </si>
  <si>
    <t>55.577638, 38.24289</t>
  </si>
  <si>
    <t>55.577638_38.24289.json</t>
  </si>
  <si>
    <t>21000004710000000856_1</t>
  </si>
  <si>
    <t>56.293163, 38.119316</t>
  </si>
  <si>
    <t>56.293163_38.119316.json</t>
  </si>
  <si>
    <t>21000004710000001361_1</t>
  </si>
  <si>
    <t>56.433814,  37.158228</t>
  </si>
  <si>
    <t>56.433814_37.158228.json</t>
  </si>
  <si>
    <t>21000004710000000239_1</t>
  </si>
  <si>
    <t>55.928658,  37.800766</t>
  </si>
  <si>
    <t>55.928658_37.800766.json</t>
  </si>
  <si>
    <t>21000004710000001028_1</t>
  </si>
  <si>
    <t>55.923096, 37.85644</t>
  </si>
  <si>
    <t>55.923096_37.85644.json</t>
  </si>
  <si>
    <t>21000004710000000454_1</t>
  </si>
  <si>
    <t>55.35637, 37.525163</t>
  </si>
  <si>
    <t>55.35637_37.525163.json</t>
  </si>
  <si>
    <t>21000004710000000453_1</t>
  </si>
  <si>
    <t>55.375521, 37.537658</t>
  </si>
  <si>
    <t>55.375521_37.537658.json</t>
  </si>
  <si>
    <t>21000004710000000765_1</t>
  </si>
  <si>
    <t>55.881545, 38.436638</t>
  </si>
  <si>
    <t>55.881545_38.436638.json</t>
  </si>
  <si>
    <t>21000004710000000512_1</t>
  </si>
  <si>
    <t>55.76424, 37.85888</t>
  </si>
  <si>
    <t>55.76424_37.85888.json</t>
  </si>
  <si>
    <t>21000004710000000472_1</t>
  </si>
  <si>
    <t>55.937003, 37.852572</t>
  </si>
  <si>
    <t>55.937003_37.852572.json</t>
  </si>
  <si>
    <t>21000004710000000452_1</t>
  </si>
  <si>
    <t>55.699299,  36.193536</t>
  </si>
  <si>
    <t>55.699299_36.193536.json</t>
  </si>
  <si>
    <t>22000011690000000016_3</t>
  </si>
  <si>
    <t>67.661255, 33.721024</t>
  </si>
  <si>
    <t>67.661255_33.721024.json</t>
  </si>
  <si>
    <t>21000007760000000002_1</t>
  </si>
  <si>
    <t>68.919669, 33.095166</t>
  </si>
  <si>
    <t>68.919669_33.095166.json</t>
  </si>
  <si>
    <t>21000007760000000001_1</t>
  </si>
  <si>
    <t>68.93968, 33.11737</t>
  </si>
  <si>
    <t>68.93968_33.11737.json</t>
  </si>
  <si>
    <t>21000011320000000084_1</t>
  </si>
  <si>
    <t>56.268387, 43.761375</t>
  </si>
  <si>
    <t>56.268387_43.761375.json</t>
  </si>
  <si>
    <t>21000011320000000078_3</t>
  </si>
  <si>
    <t>56.271481, 43.89367</t>
  </si>
  <si>
    <t>56.271481_43.89367.json</t>
  </si>
  <si>
    <t>21000019800000000012_1</t>
  </si>
  <si>
    <t>56.6463735, 43.4647325</t>
  </si>
  <si>
    <t>56.6463735_43.4647325.json</t>
  </si>
  <si>
    <t>22000095400000000001_1</t>
  </si>
  <si>
    <t>56.208454,  44.099896</t>
  </si>
  <si>
    <t>56.208454_44.099896.json</t>
  </si>
  <si>
    <t>21000012580000000003_1</t>
  </si>
  <si>
    <t>56.839527, 35.93424</t>
  </si>
  <si>
    <t>56.839527_35.93424.json</t>
  </si>
  <si>
    <t>21000009830000000001_1</t>
  </si>
  <si>
    <t>56.274329, 43.091834</t>
  </si>
  <si>
    <t>56.274329_43.091834.json</t>
  </si>
  <si>
    <t>21000019830000000001_1</t>
  </si>
  <si>
    <t>55.554603, 45.917763</t>
  </si>
  <si>
    <t>55.554603_45.917763.json</t>
  </si>
  <si>
    <t>21000011320000000001_3</t>
  </si>
  <si>
    <t>56.328998, 43.992368</t>
  </si>
  <si>
    <t>56.328998_43.992368.json</t>
  </si>
  <si>
    <t>21000017500000000091_1</t>
  </si>
  <si>
    <t>58.523891, 31.289947</t>
  </si>
  <si>
    <t>58.523891_31.289947.json</t>
  </si>
  <si>
    <t>22000022680000000001_1</t>
  </si>
  <si>
    <t>57.990744, 31.368667</t>
  </si>
  <si>
    <t>57.990744_31.368667.json</t>
  </si>
  <si>
    <t>21000023030000000007_1</t>
  </si>
  <si>
    <t>55.078267, 82.906919</t>
  </si>
  <si>
    <t>55.078267_82.906919.json</t>
  </si>
  <si>
    <t>21000030710000000003_1</t>
  </si>
  <si>
    <t>54.225822, 83.39888</t>
  </si>
  <si>
    <t>54.225822_83.39888.json</t>
  </si>
  <si>
    <t>21000008240000000005_1</t>
  </si>
  <si>
    <t>55.011144, 82.856505</t>
  </si>
  <si>
    <t>55.011144_82.856505.json</t>
  </si>
  <si>
    <t>21000008240000000005_4</t>
  </si>
  <si>
    <t>54.966086, 82.8994</t>
  </si>
  <si>
    <t>54.966086_82.8994.json</t>
  </si>
  <si>
    <t>22000083180000000002_1</t>
  </si>
  <si>
    <t>55.018154, 73.578786</t>
  </si>
  <si>
    <t>55.018154_73.578786.json</t>
  </si>
  <si>
    <t>22000012250000000003_3</t>
  </si>
  <si>
    <t>54.971967, 73.452842</t>
  </si>
  <si>
    <t>54.971967_73.452842.json</t>
  </si>
  <si>
    <t>22000101880000000001_1</t>
  </si>
  <si>
    <t>51.667953, 54.198029</t>
  </si>
  <si>
    <t>51.667953_54.198029.json</t>
  </si>
  <si>
    <t>21000028810000000001_1</t>
  </si>
  <si>
    <t>51.766443, 52.750637</t>
  </si>
  <si>
    <t>51.766443_52.750637.json</t>
  </si>
  <si>
    <t>21000020880000000004_1</t>
  </si>
  <si>
    <t>52.224378, 37.026984</t>
  </si>
  <si>
    <t>52.224378_37.026984.json</t>
  </si>
  <si>
    <t>22000057140000000005_1</t>
  </si>
  <si>
    <t>52.42687, 37.610188</t>
  </si>
  <si>
    <t>52.42687_37.610188.json</t>
  </si>
  <si>
    <t>22000042460000000004_5</t>
  </si>
  <si>
    <t>53.00078, 36.1259</t>
  </si>
  <si>
    <t>53.00078_36.1259.json</t>
  </si>
  <si>
    <t>22000072770000000002_1</t>
  </si>
  <si>
    <t>53.932034, 43.188663</t>
  </si>
  <si>
    <t>53.932034_43.188663.json</t>
  </si>
  <si>
    <t>21000025550000000019_8</t>
  </si>
  <si>
    <t>52.477464, 44.21683</t>
  </si>
  <si>
    <t>52.477464_44.21683.json</t>
  </si>
  <si>
    <t>21000015830000000002_1</t>
  </si>
  <si>
    <t>52.785229, 46.748714</t>
  </si>
  <si>
    <t>52.785229_46.748714.json</t>
  </si>
  <si>
    <t>22000061470000000001_10</t>
  </si>
  <si>
    <t>52.460484, 44.205044</t>
  </si>
  <si>
    <t>52.460484_44.205044.json</t>
  </si>
  <si>
    <t>21000020210000000032_12</t>
  </si>
  <si>
    <t>59.428734, 56.68382</t>
  </si>
  <si>
    <t>59.428734_56.68382.json</t>
  </si>
  <si>
    <t>22000022050000000014_1</t>
  </si>
  <si>
    <t>58.085632, 55.76859</t>
  </si>
  <si>
    <t>58.085632_55.76859.json</t>
  </si>
  <si>
    <t>21000012310000000007_2</t>
  </si>
  <si>
    <t>58.114758, 56.31765</t>
  </si>
  <si>
    <t>58.114758_56.31765.json</t>
  </si>
  <si>
    <t>22000013150000000007_1</t>
  </si>
  <si>
    <t>59.640835, 56.749783</t>
  </si>
  <si>
    <t>59.640835_56.749783.json</t>
  </si>
  <si>
    <t>21000032160000000004_1</t>
  </si>
  <si>
    <t>58.100716, 57.806335</t>
  </si>
  <si>
    <t>58.100716_57.806335.json</t>
  </si>
  <si>
    <t>22000013150000000004_1</t>
  </si>
  <si>
    <t>59.637165, 56.74355</t>
  </si>
  <si>
    <t>59.637165_56.74355.json</t>
  </si>
  <si>
    <t>21000023740000000001_3</t>
  </si>
  <si>
    <t>58.467343, 56.397779</t>
  </si>
  <si>
    <t>58.467343_56.397779.json</t>
  </si>
  <si>
    <t>21000012310000000004_3</t>
  </si>
  <si>
    <t>58.107048, 56.298634</t>
  </si>
  <si>
    <t>58.107048_56.298634.json</t>
  </si>
  <si>
    <t>21000012310000000004_4</t>
  </si>
  <si>
    <t>58.13516, 56.381195</t>
  </si>
  <si>
    <t>58.13516_56.381195.json</t>
  </si>
  <si>
    <t>21000012310000000004_1</t>
  </si>
  <si>
    <t>57.999315, 56.290232</t>
  </si>
  <si>
    <t>57.999315_56.290232.json</t>
  </si>
  <si>
    <t>21000012310000000004_2</t>
  </si>
  <si>
    <t>58.01732, 56.242406</t>
  </si>
  <si>
    <t>58.01732_56.242406.json</t>
  </si>
  <si>
    <t>21000012310000000003_2</t>
  </si>
  <si>
    <t>57.997913, 56.1437</t>
  </si>
  <si>
    <t>57.997913_56.1437.json</t>
  </si>
  <si>
    <t>21000033830000000006_1</t>
  </si>
  <si>
    <t>57.813397, 27.613826</t>
  </si>
  <si>
    <t>57.813397_27.613826.json</t>
  </si>
  <si>
    <t>21000018880000000001_1</t>
  </si>
  <si>
    <t>57.825256, 28.330519</t>
  </si>
  <si>
    <t>57.825256_28.330519.json</t>
  </si>
  <si>
    <t>22000056320000000003_3</t>
  </si>
  <si>
    <t>47.718725, 40.234221</t>
  </si>
  <si>
    <t>47.718725_40.234221.json</t>
  </si>
  <si>
    <t>21000002520000000004_1</t>
  </si>
  <si>
    <t>53.188913, 50.189737</t>
  </si>
  <si>
    <t>53.188913_50.189737.json</t>
  </si>
  <si>
    <t>21000002520000000004_5</t>
  </si>
  <si>
    <t>53.145057, 50.046609</t>
  </si>
  <si>
    <t>53.145057_50.046609.json</t>
  </si>
  <si>
    <t>21000005400000000042_1</t>
  </si>
  <si>
    <t>53.52945, 49.26407</t>
  </si>
  <si>
    <t>53.52945_49.26407.json</t>
  </si>
  <si>
    <t>22000071240000000002_1</t>
  </si>
  <si>
    <t>52.794323, 51.156445</t>
  </si>
  <si>
    <t>52.794323_51.156445.json</t>
  </si>
  <si>
    <t>21000014860000000002_2</t>
  </si>
  <si>
    <t>53.08905, 49.989243</t>
  </si>
  <si>
    <t>53.08905_49.989243.json</t>
  </si>
  <si>
    <t>21000014860000000002_1</t>
  </si>
  <si>
    <t>53.092045, 49.98071</t>
  </si>
  <si>
    <t>53.092045_49.98071.json</t>
  </si>
  <si>
    <t>21000002520000000001_9</t>
  </si>
  <si>
    <t>53.216783, 50.252485</t>
  </si>
  <si>
    <t>53.216783_50.252485.json</t>
  </si>
  <si>
    <t>21000002520000000001_10</t>
  </si>
  <si>
    <t>21000002520000000001_7</t>
  </si>
  <si>
    <t>53.198775, 50.128679</t>
  </si>
  <si>
    <t>53.198775_50.128679.json</t>
  </si>
  <si>
    <t>21000002520000000001_11</t>
  </si>
  <si>
    <t>53.249493, 50.2018</t>
  </si>
  <si>
    <t>53.249493_50.2018.json</t>
  </si>
  <si>
    <t>21000002520000000001_16</t>
  </si>
  <si>
    <t>53.200808, 50.225966</t>
  </si>
  <si>
    <t>53.200808_50.225966.json</t>
  </si>
  <si>
    <t>21000002520000000001_12</t>
  </si>
  <si>
    <t>53.215763, 50.271313</t>
  </si>
  <si>
    <t>53.215763_50.271313.json</t>
  </si>
  <si>
    <t>21000015660000000024_1</t>
  </si>
  <si>
    <t>51.481354, 46.14403</t>
  </si>
  <si>
    <t>51.481354_46.14403.json</t>
  </si>
  <si>
    <t>21000014250000000031_1</t>
  </si>
  <si>
    <t>57.908356, 59.95094</t>
  </si>
  <si>
    <t>57.908356_59.95094.json</t>
  </si>
  <si>
    <t>21000000900000000002_7</t>
  </si>
  <si>
    <t>57.245434, 60.087276</t>
  </si>
  <si>
    <t>57.245434_60.087276.json</t>
  </si>
  <si>
    <t>21000020190000000001_3</t>
  </si>
  <si>
    <t>56.90548, 59.92929</t>
  </si>
  <si>
    <t>56.90548_59.92929.json</t>
  </si>
  <si>
    <t>22000034760000000022_1</t>
  </si>
  <si>
    <t>56.842384, 60.621172</t>
  </si>
  <si>
    <t>56.842384_60.621172.json</t>
  </si>
  <si>
    <t>22000040720000000001_1</t>
  </si>
  <si>
    <t>57.01859, 61.465696</t>
  </si>
  <si>
    <t>57.01859_61.465696.json</t>
  </si>
  <si>
    <t>22000109930000000001_1</t>
  </si>
  <si>
    <t>52.649563, 42.726326</t>
  </si>
  <si>
    <t>52.649563_42.726326.json</t>
  </si>
  <si>
    <t>22000009410000000002_1</t>
  </si>
  <si>
    <t>52.585243, 41.49728</t>
  </si>
  <si>
    <t>52.585243_41.49728.json</t>
  </si>
  <si>
    <t>22000032990000000006_1</t>
  </si>
  <si>
    <t>53.441117, 41.776673</t>
  </si>
  <si>
    <t>53.441117_41.776673.json</t>
  </si>
  <si>
    <t>21000014400000000011_5</t>
  </si>
  <si>
    <t>56.830615, 35.924491</t>
  </si>
  <si>
    <t>56.830615_35.924491.json</t>
  </si>
  <si>
    <t>21000007870000000002_1</t>
  </si>
  <si>
    <t>56.428722, 36.065472</t>
  </si>
  <si>
    <t>56.428722_36.065472.json</t>
  </si>
  <si>
    <t>22000009580000000001_1</t>
  </si>
  <si>
    <t>56.269581, 34.328391</t>
  </si>
  <si>
    <t>56.269581_34.328391.json</t>
  </si>
  <si>
    <t>21000014400000000005_10</t>
  </si>
  <si>
    <t>56.860029, 35.886142</t>
  </si>
  <si>
    <t>56.860029_35.886142.json</t>
  </si>
  <si>
    <t>21000014400000000005_5</t>
  </si>
  <si>
    <t>22000007080000000003_1</t>
  </si>
  <si>
    <t>21000035450000000001_1</t>
  </si>
  <si>
    <t>56.862625, 37.35082</t>
  </si>
  <si>
    <t>56.862625_37.35082.json</t>
  </si>
  <si>
    <t>21000018800000000002_1</t>
  </si>
  <si>
    <t>54.205135, 37.619125</t>
  </si>
  <si>
    <t>54.205135_37.619125.json</t>
  </si>
  <si>
    <t>21000018800000000001_2</t>
  </si>
  <si>
    <t>54.118553,  37.545941</t>
  </si>
  <si>
    <t>54.118553_37.545941.json</t>
  </si>
  <si>
    <t>21000034510000000011_1</t>
  </si>
  <si>
    <t>57.674473, 66.17964</t>
  </si>
  <si>
    <t>57.674473_66.17964.json</t>
  </si>
  <si>
    <t>21000013570000000004_3</t>
  </si>
  <si>
    <t>54.29175, 48.3157</t>
  </si>
  <si>
    <t>54.29175_48.3157.json</t>
  </si>
  <si>
    <t>21000017550000000039_1</t>
  </si>
  <si>
    <t>56.046006, 60.733893</t>
  </si>
  <si>
    <t>56.046006_60.733893.json</t>
  </si>
  <si>
    <t>21000017550000000037_1</t>
  </si>
  <si>
    <t>54.750718, 61.313998</t>
  </si>
  <si>
    <t>54.750718_61.313998.json</t>
  </si>
  <si>
    <t>22000019790000000033_1</t>
  </si>
  <si>
    <t>53.42643, 58.995037</t>
  </si>
  <si>
    <t>53.42643_58.995037.json</t>
  </si>
  <si>
    <t>21000017550000000021_1</t>
  </si>
  <si>
    <t>55.192893, 61.442627</t>
  </si>
  <si>
    <t>55.192893_61.442627.json</t>
  </si>
  <si>
    <t>21000007680000000006_1</t>
  </si>
  <si>
    <t>54.07909, 61.531265</t>
  </si>
  <si>
    <t>54.07909_61.531265.json</t>
  </si>
  <si>
    <t>22000044760000000001_1</t>
  </si>
  <si>
    <t>55.048714, 60.1157</t>
  </si>
  <si>
    <t>55.048714_60.1157.json</t>
  </si>
  <si>
    <t>21000004870000000001_2</t>
  </si>
  <si>
    <t>55.255575, 61.389546</t>
  </si>
  <si>
    <t>55.255575_61.389546.json</t>
  </si>
  <si>
    <t>21000034280000000004_1</t>
  </si>
  <si>
    <t>55.899684, 60.735914</t>
  </si>
  <si>
    <t>55.899684_60.735914.json</t>
  </si>
  <si>
    <t>21000017550000000005_1</t>
  </si>
  <si>
    <t>21000012550000000044_1</t>
  </si>
  <si>
    <t>57.691284, 39.80356</t>
  </si>
  <si>
    <t>57.691284_39.80356.json</t>
  </si>
  <si>
    <t>21000012550000000039_1</t>
  </si>
  <si>
    <t>57.580948, 39.8358</t>
  </si>
  <si>
    <t>57.580948_39.8358.json</t>
  </si>
  <si>
    <t>21000012550000000033_1</t>
  </si>
  <si>
    <t>57.623642, 39.88226</t>
  </si>
  <si>
    <t>57.623642_39.88226.json</t>
  </si>
  <si>
    <t>21000008680000000006_1</t>
  </si>
  <si>
    <t>58.037984, 38.862934</t>
  </si>
  <si>
    <t>58.037984_38.862934.json</t>
  </si>
  <si>
    <t>22000034760000000055_1</t>
  </si>
  <si>
    <t>57.6224, 39.880222</t>
  </si>
  <si>
    <t>57.6224_39.880222.json</t>
  </si>
  <si>
    <t>21000019870000000003_1</t>
  </si>
  <si>
    <t>57.305371, 39.86125</t>
  </si>
  <si>
    <t>57.305371_39.86125.json</t>
  </si>
  <si>
    <t>21000012550000000012_1</t>
  </si>
  <si>
    <t>57.55079, 39.937741</t>
  </si>
  <si>
    <t>57.55079_39.937741.json</t>
  </si>
  <si>
    <t>21000012550000000011_1</t>
  </si>
  <si>
    <t>21000005000000002256_1</t>
  </si>
  <si>
    <t>55.816495, 37.662569</t>
  </si>
  <si>
    <t>55.816495_37.662569.json</t>
  </si>
  <si>
    <t>21000005000000002218_1</t>
  </si>
  <si>
    <t>55.690821, 37.858824</t>
  </si>
  <si>
    <t>55.690821_37.858824.json</t>
  </si>
  <si>
    <t>21000005000000002217_1</t>
  </si>
  <si>
    <t>55.673976, 37.525872</t>
  </si>
  <si>
    <t>55.673976_37.525872.json</t>
  </si>
  <si>
    <t>21000005000000002048_1</t>
  </si>
  <si>
    <t>55.990891, 37.208893</t>
  </si>
  <si>
    <t>55.990891_37.208893.json</t>
  </si>
  <si>
    <t>21000005000000001941_1</t>
  </si>
  <si>
    <t>55.707573, 37.460421</t>
  </si>
  <si>
    <t>55.707573_37.460421.json</t>
  </si>
  <si>
    <t>21000005000000001935_1</t>
  </si>
  <si>
    <t>55.772578, 37.591027</t>
  </si>
  <si>
    <t>55.772578_37.591027.json</t>
  </si>
  <si>
    <t>21000005000000001853_1</t>
  </si>
  <si>
    <t>55.766106, 37.559245</t>
  </si>
  <si>
    <t>55.766106_37.559245.json</t>
  </si>
  <si>
    <t>21000005000000001869_1</t>
  </si>
  <si>
    <t>55.859302, 37.504942</t>
  </si>
  <si>
    <t>55.859302_37.504942.json</t>
  </si>
  <si>
    <t>21000005000000001838_1</t>
  </si>
  <si>
    <t>55.746292, 37.57193</t>
  </si>
  <si>
    <t>55.746292_37.57193.json</t>
  </si>
  <si>
    <t>21000005000000001753_1</t>
  </si>
  <si>
    <t>55.638114, 37.617159</t>
  </si>
  <si>
    <t>55.638114_37.617159.json</t>
  </si>
  <si>
    <t>21000005000000001605_1</t>
  </si>
  <si>
    <t>55.724738, 37.60637</t>
  </si>
  <si>
    <t>55.724738_37.60637.json</t>
  </si>
  <si>
    <t>21000005000000001540_1</t>
  </si>
  <si>
    <t>55.715124, 37.89181</t>
  </si>
  <si>
    <t>55.715124_37.89181.json</t>
  </si>
  <si>
    <t>21000005000000001486_1</t>
  </si>
  <si>
    <t>55.69008, 37.492006</t>
  </si>
  <si>
    <t>55.69008_37.492006.json</t>
  </si>
  <si>
    <t>21000005000000001432_1</t>
  </si>
  <si>
    <t>55.543526, 37.563548</t>
  </si>
  <si>
    <t>55.543526_37.563548.json</t>
  </si>
  <si>
    <t>21000005000000001416_1</t>
  </si>
  <si>
    <t>55.73795, 37.640156</t>
  </si>
  <si>
    <t>55.73795_37.640156.json</t>
  </si>
  <si>
    <t>21000005000000001412_1</t>
  </si>
  <si>
    <t>55.7362574, 37.6311334</t>
  </si>
  <si>
    <t>55.7362574_37.6311334.json</t>
  </si>
  <si>
    <t>21000005000000001116_1</t>
  </si>
  <si>
    <t>55.693617, 37.565461</t>
  </si>
  <si>
    <t>55.693617_37.565461.json</t>
  </si>
  <si>
    <t>21000005000000001101_1</t>
  </si>
  <si>
    <t>55.7573443, 37.5119741</t>
  </si>
  <si>
    <t>55.7573443_37.5119741.json</t>
  </si>
  <si>
    <t>21000005000000000924_1</t>
  </si>
  <si>
    <t>55.881763, 37.492168</t>
  </si>
  <si>
    <t>55.881763_37.492168.json</t>
  </si>
  <si>
    <t>21000005000000000821_1</t>
  </si>
  <si>
    <t>55.795753, 37.790104</t>
  </si>
  <si>
    <t>55.795753_37.790104.json</t>
  </si>
  <si>
    <t>21000005000000000820_1</t>
  </si>
  <si>
    <t>21000005000000000819_1</t>
  </si>
  <si>
    <t>55.8018915, 37.782743</t>
  </si>
  <si>
    <t>55.8018915_37.782743.json</t>
  </si>
  <si>
    <t>21000005000000000826_1</t>
  </si>
  <si>
    <t>55.721503, 37.672334</t>
  </si>
  <si>
    <t>55.721503_37.672334.json</t>
  </si>
  <si>
    <t>21000005000000000752_1</t>
  </si>
  <si>
    <t>55.726923, 37.832117</t>
  </si>
  <si>
    <t>55.726923_37.832117.json</t>
  </si>
  <si>
    <t>21000005000000000696_1</t>
  </si>
  <si>
    <t>55.614296, 37.49481</t>
  </si>
  <si>
    <t>55.614296_37.49481.json</t>
  </si>
  <si>
    <t>21000005000000000691_1</t>
  </si>
  <si>
    <t>55.547204, 37.569459</t>
  </si>
  <si>
    <t>55.547204_37.569459.json</t>
  </si>
  <si>
    <t>21000005000000000690_1</t>
  </si>
  <si>
    <t>55.794877, 37.734596</t>
  </si>
  <si>
    <t>55.794877_37.734596.json</t>
  </si>
  <si>
    <t>21000005000000000584_1</t>
  </si>
  <si>
    <t>55.7954689, 37.7732247</t>
  </si>
  <si>
    <t>55.7954689_37.7732247.json</t>
  </si>
  <si>
    <t>21000005000000000444_1</t>
  </si>
  <si>
    <t>55.802715, 37.641846</t>
  </si>
  <si>
    <t>55.802715_37.641846.json</t>
  </si>
  <si>
    <t>21000005000000000392_1</t>
  </si>
  <si>
    <t>55.77836, 37.83774</t>
  </si>
  <si>
    <t>55.77836_37.83774.json</t>
  </si>
  <si>
    <t>21000005000000000327_1</t>
  </si>
  <si>
    <t>55.779606, 37.633706</t>
  </si>
  <si>
    <t>55.779606_37.633706.json</t>
  </si>
  <si>
    <t>21000005000000000011_1</t>
  </si>
  <si>
    <t>55.79057, 37.668148</t>
  </si>
  <si>
    <t>55.79057_37.668148.json</t>
  </si>
  <si>
    <t>21000005000000000228_1</t>
  </si>
  <si>
    <t>55.606945, 37.72538</t>
  </si>
  <si>
    <t>55.606945_37.72538.json</t>
  </si>
  <si>
    <t>21000005000000000195_1</t>
  </si>
  <si>
    <t>55.61061, 37.760124</t>
  </si>
  <si>
    <t>55.61061_37.760124.json</t>
  </si>
  <si>
    <t>21000005000000000135_1</t>
  </si>
  <si>
    <t>55.733788, 37.74567</t>
  </si>
  <si>
    <t>55.733788_37.74567.json</t>
  </si>
  <si>
    <t>21000005000000000130_1</t>
  </si>
  <si>
    <t>55.832435, 37.4589756</t>
  </si>
  <si>
    <t>55.832435_37.4589756.json</t>
  </si>
  <si>
    <t>21000005000000000128_1</t>
  </si>
  <si>
    <t>55.711072, 37.39453</t>
  </si>
  <si>
    <t>55.711072_37.39453.json</t>
  </si>
  <si>
    <t>21000005000000000124_1</t>
  </si>
  <si>
    <t>55.645431, 37.71133</t>
  </si>
  <si>
    <t>55.645431_37.71133.json</t>
  </si>
  <si>
    <t>21000005000000000105_1</t>
  </si>
  <si>
    <t>55.75007, 37.677177</t>
  </si>
  <si>
    <t>55.75007_37.677177.json</t>
  </si>
  <si>
    <t>21000005000000000067_1</t>
  </si>
  <si>
    <t>55.78604, 37.606873</t>
  </si>
  <si>
    <t>55.78604_37.606873.json</t>
  </si>
  <si>
    <t>21000005000000000087_1</t>
  </si>
  <si>
    <t>55.68027, 37.766727</t>
  </si>
  <si>
    <t>55.68027_37.766727.json</t>
  </si>
  <si>
    <t>21000005000000000048_1</t>
  </si>
  <si>
    <t>55.896458, 37.635557</t>
  </si>
  <si>
    <t>55.896458_37.635557.json</t>
  </si>
  <si>
    <t>21000002210000000741_1</t>
  </si>
  <si>
    <t>59.923265, 30.346231</t>
  </si>
  <si>
    <t>59.923265_30.346231.json</t>
  </si>
  <si>
    <t>21000002210000000716_1</t>
  </si>
  <si>
    <t>59.932103, 30.345369</t>
  </si>
  <si>
    <t>59.932103_30.345369.json</t>
  </si>
  <si>
    <t>21000002210000000707_1</t>
  </si>
  <si>
    <t>59.939379, 30.357766</t>
  </si>
  <si>
    <t>59.939379_30.357766.json</t>
  </si>
  <si>
    <t>21000002210000000700_1</t>
  </si>
  <si>
    <t>59.931481, 30.334724</t>
  </si>
  <si>
    <t>59.931481_30.334724.json</t>
  </si>
  <si>
    <t>21000002210000000696_1</t>
  </si>
  <si>
    <t>59.925732, 30.305313</t>
  </si>
  <si>
    <t>59.925732_30.305313.json</t>
  </si>
  <si>
    <t>21000002210000000654_1</t>
  </si>
  <si>
    <t>59.918214, 30.278166</t>
  </si>
  <si>
    <t>59.918214_30.278166.json</t>
  </si>
  <si>
    <t>21000002210000000649_1</t>
  </si>
  <si>
    <t>59.919712, 30.277555</t>
  </si>
  <si>
    <t>59.919712_30.277555.json</t>
  </si>
  <si>
    <t>21000002210000000639_1</t>
  </si>
  <si>
    <t>59.9363379, 30.3159641</t>
  </si>
  <si>
    <t>59.9363379_30.3159641.json</t>
  </si>
  <si>
    <t>21000002210000000636_1</t>
  </si>
  <si>
    <t>59.919193, 30.276378</t>
  </si>
  <si>
    <t>59.919193_30.276378.json</t>
  </si>
  <si>
    <t>21000002210000000615_1</t>
  </si>
  <si>
    <t>59.956566, 30.359769</t>
  </si>
  <si>
    <t>59.956566_30.359769.json</t>
  </si>
  <si>
    <t>21000002210000000610_1</t>
  </si>
  <si>
    <t>59.92796, 30.30163</t>
  </si>
  <si>
    <t>59.92796_30.30163.json</t>
  </si>
  <si>
    <t>21000002210000000603_1</t>
  </si>
  <si>
    <t>59.92784, 30.312534</t>
  </si>
  <si>
    <t>59.92784_30.312534.json</t>
  </si>
  <si>
    <t>21000002210000000602_1</t>
  </si>
  <si>
    <t>59.931783, 30.306256</t>
  </si>
  <si>
    <t>59.931783_30.306256.json</t>
  </si>
  <si>
    <t>21000002210000000578_1</t>
  </si>
  <si>
    <t>59.946851, 30.343689</t>
  </si>
  <si>
    <t>59.946851_30.343689.json</t>
  </si>
  <si>
    <t>21000002210000000562_1</t>
  </si>
  <si>
    <t>60.064953, 30.311377</t>
  </si>
  <si>
    <t>60.064953_30.311377.json</t>
  </si>
  <si>
    <t>21000002210000000560_1</t>
  </si>
  <si>
    <t>59.909815, 30.315787</t>
  </si>
  <si>
    <t>59.909815_30.315787.json</t>
  </si>
  <si>
    <t>21000002210000000535_1</t>
  </si>
  <si>
    <t>59.943787, 30.354559</t>
  </si>
  <si>
    <t>59.943787_30.354559.json</t>
  </si>
  <si>
    <t>21000002210000000514_1</t>
  </si>
  <si>
    <t>59.924055, 30.300794</t>
  </si>
  <si>
    <t>59.924055_30.300794.json</t>
  </si>
  <si>
    <t>21000002210000000508_1</t>
  </si>
  <si>
    <t>59.968871, 30.308996</t>
  </si>
  <si>
    <t>59.968871_30.308996.json</t>
  </si>
  <si>
    <t>21000002210000000505_1</t>
  </si>
  <si>
    <t>59.939753, 30.276163</t>
  </si>
  <si>
    <t>59.939753_30.276163.json</t>
  </si>
  <si>
    <t>21000002210000000495_1</t>
  </si>
  <si>
    <t>59.947167, 30.412132</t>
  </si>
  <si>
    <t>59.947167_30.412132.json</t>
  </si>
  <si>
    <t>21000002210000000477_1</t>
  </si>
  <si>
    <t>59.8989631, 30.4278453</t>
  </si>
  <si>
    <t>59.8989631_30.4278453.json</t>
  </si>
  <si>
    <t>21000002210000000451_1</t>
  </si>
  <si>
    <t>59.941141, 30.358206</t>
  </si>
  <si>
    <t>59.941141_30.358206.json</t>
  </si>
  <si>
    <t>21000002210000000428_1</t>
  </si>
  <si>
    <t>59.936079, 30.33776</t>
  </si>
  <si>
    <t>59.936079_30.33776.json</t>
  </si>
  <si>
    <t>21000002210000000419_1</t>
  </si>
  <si>
    <t>59.92649, 30.3519</t>
  </si>
  <si>
    <t>59.92649_30.3519.json</t>
  </si>
  <si>
    <t>21000002210000000414_1</t>
  </si>
  <si>
    <t>59.911404, 30.304604</t>
  </si>
  <si>
    <t>59.911404_30.304604.json</t>
  </si>
  <si>
    <t>21000002210000000404_1</t>
  </si>
  <si>
    <t>21000002210000000398_1</t>
  </si>
  <si>
    <t>59.924149, 30.283708</t>
  </si>
  <si>
    <t>59.924149_30.283708.json</t>
  </si>
  <si>
    <t>21000002210000000383_1</t>
  </si>
  <si>
    <t>59.928176, 30.326082</t>
  </si>
  <si>
    <t>59.928176_30.326082.json</t>
  </si>
  <si>
    <t>21000002210000000357_1</t>
  </si>
  <si>
    <t>59.941651, 30.497588</t>
  </si>
  <si>
    <t>59.941651_30.497588.json</t>
  </si>
  <si>
    <t>21000002210000000346_1</t>
  </si>
  <si>
    <t>59.926715, 30.302447</t>
  </si>
  <si>
    <t>59.926715_30.302447.json</t>
  </si>
  <si>
    <t>21000002210000000343_1</t>
  </si>
  <si>
    <t>21000002210000000342_1</t>
  </si>
  <si>
    <t>59.83049, 30.402933</t>
  </si>
  <si>
    <t>59.83049_30.402933.json</t>
  </si>
  <si>
    <t>21000002210000000321_1</t>
  </si>
  <si>
    <t>59.873451, 30.384005</t>
  </si>
  <si>
    <t>59.873451_30.384005.json</t>
  </si>
  <si>
    <t>21000002210000000298_1</t>
  </si>
  <si>
    <t>59.918751, 30.280825</t>
  </si>
  <si>
    <t>59.918751_30.280825.json</t>
  </si>
  <si>
    <t>21000002210000000296_1</t>
  </si>
  <si>
    <t>59.88306, 29.900676</t>
  </si>
  <si>
    <t>59.88306_29.900676.json</t>
  </si>
  <si>
    <t>21000002210000000274_1</t>
  </si>
  <si>
    <t>59.916649, 30.286098</t>
  </si>
  <si>
    <t>59.916649_30.286098.json</t>
  </si>
  <si>
    <t>21000002210000000273_1</t>
  </si>
  <si>
    <t>59.923836, 30.412355</t>
  </si>
  <si>
    <t>59.923836_30.412355.json</t>
  </si>
  <si>
    <t>21000002210000000271_1</t>
  </si>
  <si>
    <t>59.954502, 30.409113</t>
  </si>
  <si>
    <t>59.954502_30.409113.json</t>
  </si>
  <si>
    <t>21000002210000000267_1</t>
  </si>
  <si>
    <t>21000002210000000268_1</t>
  </si>
  <si>
    <t>59.977008, 30.508539</t>
  </si>
  <si>
    <t>59.977008_30.508539.json</t>
  </si>
  <si>
    <t>21000002210000000258_1</t>
  </si>
  <si>
    <t>59.926535, 30.357173</t>
  </si>
  <si>
    <t>59.926535_30.357173.json</t>
  </si>
  <si>
    <t>21000002210000000236_1</t>
  </si>
  <si>
    <t>59.925908, 30.305322</t>
  </si>
  <si>
    <t>59.925908_30.305322.json</t>
  </si>
  <si>
    <t>21000002210000000212_1</t>
  </si>
  <si>
    <t>59.913618, 30.281301</t>
  </si>
  <si>
    <t>59.913618_30.281301.json</t>
  </si>
  <si>
    <t>21000002210000000211_1</t>
  </si>
  <si>
    <t>59.833787, 30.42328</t>
  </si>
  <si>
    <t>59.833787_30.42328.json</t>
  </si>
  <si>
    <t>21000002210000000183_1</t>
  </si>
  <si>
    <t>59.98523, 30.207064</t>
  </si>
  <si>
    <t>59.98523_30.207064.json</t>
  </si>
  <si>
    <t>21000002210000000173_1</t>
  </si>
  <si>
    <t>59.91908, 30.289503</t>
  </si>
  <si>
    <t>59.91908_30.289503.json</t>
  </si>
  <si>
    <t>21000002210000000161_1</t>
  </si>
  <si>
    <t>59.937247, 30.372767</t>
  </si>
  <si>
    <t>59.937247_30.372767.json</t>
  </si>
  <si>
    <t>21000002210000000147_1</t>
  </si>
  <si>
    <t>59.91432, 30.30535</t>
  </si>
  <si>
    <t>59.91432_30.30535.json</t>
  </si>
  <si>
    <t>21000002210000000124_1</t>
  </si>
  <si>
    <t>59.939, 30.323234</t>
  </si>
  <si>
    <t>59.939_30.323234.json</t>
  </si>
  <si>
    <t>21000002210000000116_1</t>
  </si>
  <si>
    <t>59.875181, 30.440096</t>
  </si>
  <si>
    <t>59.875181_30.440096.json</t>
  </si>
  <si>
    <t>21000002210000000115_1</t>
  </si>
  <si>
    <t>59.91586, 29.764913</t>
  </si>
  <si>
    <t>59.91586_29.764913.json</t>
  </si>
  <si>
    <t>21000002210000000097_1</t>
  </si>
  <si>
    <t>59.92639, 30.313281</t>
  </si>
  <si>
    <t>59.92639_30.313281.json</t>
  </si>
  <si>
    <t>21000002210000000077_1</t>
  </si>
  <si>
    <t>21000002210000000075_1</t>
  </si>
  <si>
    <t>59.838385, 30.498792</t>
  </si>
  <si>
    <t>59.838385_30.498792.json</t>
  </si>
  <si>
    <t>21000002210000000072_1</t>
  </si>
  <si>
    <t>59.847652, 30.205474</t>
  </si>
  <si>
    <t>59.847652_30.205474.json</t>
  </si>
  <si>
    <t>21000002210000000068_1</t>
  </si>
  <si>
    <t>59.934853, 30.310245</t>
  </si>
  <si>
    <t>59.934853_30.310245.json</t>
  </si>
  <si>
    <t>21000002210000000066_1</t>
  </si>
  <si>
    <t>59.944256, 30.382388</t>
  </si>
  <si>
    <t>59.944256_30.382388.json</t>
  </si>
  <si>
    <t>21000002210000000061_1</t>
  </si>
  <si>
    <t>59.908678, 30.275938</t>
  </si>
  <si>
    <t>59.908678_30.275938.json</t>
  </si>
  <si>
    <t>21000002210000000060_1</t>
  </si>
  <si>
    <t>59.909612, 30.278498</t>
  </si>
  <si>
    <t>59.909612_30.278498.json</t>
  </si>
  <si>
    <t>21000002210000000045_1</t>
  </si>
  <si>
    <t>59.952074, 30.232891</t>
  </si>
  <si>
    <t>59.952074_30.232891.json</t>
  </si>
  <si>
    <t>21000002210000000043_1</t>
  </si>
  <si>
    <t>59.925619, 30.312455</t>
  </si>
  <si>
    <t>59.925619_30.312455.json</t>
  </si>
  <si>
    <t>21000002210000000041_1</t>
  </si>
  <si>
    <t>59.7308532, 30.5769343</t>
  </si>
  <si>
    <t>59.7308532_30.5769343.json</t>
  </si>
  <si>
    <t>21000002210000000037_1</t>
  </si>
  <si>
    <t>59.9465586, 30.2585423</t>
  </si>
  <si>
    <t>59.9465586_30.2585423.json</t>
  </si>
  <si>
    <t>21000002210000000038_1</t>
  </si>
  <si>
    <t>59.91365, 30.313191</t>
  </si>
  <si>
    <t>59.91365_30.313191.json</t>
  </si>
  <si>
    <t>21000002210000000033_1</t>
  </si>
  <si>
    <t>59.887747, 30.270261</t>
  </si>
  <si>
    <t>59.887747_30.270261.json</t>
  </si>
  <si>
    <t>21000002210000000029_1</t>
  </si>
  <si>
    <t>59.872493, 30.26594</t>
  </si>
  <si>
    <t>59.872493_30.26594.json</t>
  </si>
  <si>
    <t>21000002210000000024_1</t>
  </si>
  <si>
    <t>59.928983, 30.351998</t>
  </si>
  <si>
    <t>59.928983_30.351998.json</t>
  </si>
  <si>
    <t>21000002210000000023_1</t>
  </si>
  <si>
    <t>59.921209, 30.278525</t>
  </si>
  <si>
    <t>59.921209_30.278525.json</t>
  </si>
  <si>
    <t>21000002210000000022_1</t>
  </si>
  <si>
    <t>59.919491, 30.297363</t>
  </si>
  <si>
    <t>59.919491_30.297363.json</t>
  </si>
  <si>
    <t>21000002210000000016_1</t>
  </si>
  <si>
    <t>59.917917, 30.294282</t>
  </si>
  <si>
    <t>59.917917_30.294282.json</t>
  </si>
  <si>
    <t>21000002210000000015_1</t>
  </si>
  <si>
    <t>22000034760000000039_1</t>
  </si>
  <si>
    <t>48.79526, 132.91965</t>
  </si>
  <si>
    <t>48.79526_132.91965.json</t>
  </si>
  <si>
    <t>21000010520000000003_1</t>
  </si>
  <si>
    <t>61.094214,  72.619260</t>
  </si>
  <si>
    <t>61.094214_72.61926.json</t>
  </si>
  <si>
    <t>21000034510000000014_1</t>
  </si>
  <si>
    <t>66.557754, 66.56545</t>
  </si>
  <si>
    <t>66.557754_66.56545.json</t>
  </si>
  <si>
    <t>21000026240000000015_8</t>
  </si>
  <si>
    <t>63.018836, 112.468867</t>
  </si>
  <si>
    <t>21000026240000000015_5</t>
  </si>
  <si>
    <t>55.685432, 37.570123</t>
  </si>
  <si>
    <t>21000026240000000015_4</t>
  </si>
  <si>
    <t>59.933352, 30.354055</t>
  </si>
  <si>
    <t>22000037220000000034_1</t>
  </si>
  <si>
    <t>43.196626,  45.779665</t>
  </si>
  <si>
    <t>21000013350000000020_1</t>
  </si>
  <si>
    <t>52.990291, 31.621938</t>
  </si>
  <si>
    <t>21000030690000000016_1</t>
  </si>
  <si>
    <t>52.965224, 31.968822</t>
  </si>
  <si>
    <t>21000013350000000010_1</t>
  </si>
  <si>
    <t>53.012044, 31.58048</t>
  </si>
  <si>
    <t>21000003300000000015_8</t>
  </si>
  <si>
    <t>51.018955, 45.706257</t>
  </si>
  <si>
    <t>21000003300000000015_9</t>
  </si>
  <si>
    <t>51.01828, 45.70426</t>
  </si>
  <si>
    <t>21000025240000000011_1</t>
  </si>
  <si>
    <t>55.023926, 82.95924</t>
  </si>
</sst>
</file>

<file path=xl/styles.xml><?xml version="1.0" encoding="utf-8"?>
<styleSheet xmlns="http://schemas.openxmlformats.org/spreadsheetml/2006/main">
  <numFmts count="3">
    <numFmt numFmtId="164" formatCode="#\ ##0.0\ \м\2"/>
    <numFmt numFmtId="165" formatCode="#\ ###\ ##0\ \₽"/>
    <numFmt numFmtId="166" formatCode="_-* #\ ##0.00\ \₽_-;\-* #\ ##0.00\ \₽_-"/>
  </numFmts>
  <fonts count="4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6" fontId="0" fillId="0" borderId="0" xfId="0" applyNumberFormat="1"/>
    <xf numFmtId="0" fontId="3" fillId="0" borderId="0" xfId="0" applyFont="1"/>
  </cellXfs>
  <cellStyles count="1">
    <cellStyle name="Обычный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S1000"/>
  <sheetViews>
    <sheetView tabSelected="1" workbookViewId="0">
      <selection activeCell="F1" sqref="F1"/>
    </sheetView>
  </sheetViews>
  <sheetFormatPr defaultRowHeight="15"/>
  <cols>
    <col min="2" max="2" width="3.7109375" customWidth="1"/>
    <col min="3" max="3" width="9.7109375" style="1" customWidth="1"/>
    <col min="4" max="4" width="22.7109375" style="2" customWidth="1"/>
    <col min="5" max="5" width="40.7109375" customWidth="1"/>
    <col min="6" max="7" width="12.7109375" style="3" customWidth="1"/>
    <col min="8" max="8" width="56.7109375" customWidth="1"/>
    <col min="9" max="9" width="12.7109375" customWidth="1"/>
    <col min="10" max="10" width="18.7109375" customWidth="1"/>
    <col min="11" max="11" width="12.7109375" style="3" customWidth="1"/>
    <col min="14" max="14" width="22.7109375" style="2" customWidth="1"/>
    <col min="17" max="17" width="22.7109375" style="2" customWidth="1"/>
  </cols>
  <sheetData>
    <row r="1" spans="1:19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5" t="s">
        <v>16</v>
      </c>
      <c r="S1" s="4" t="s">
        <v>17</v>
      </c>
    </row>
    <row r="2" spans="1:19">
      <c r="A2" s="4"/>
      <c r="B2" t="s">
        <v>1044</v>
      </c>
      <c r="C2" s="1">
        <v>150.80000000000001</v>
      </c>
      <c r="D2" s="2" t="str">
        <f>HYPERLINK("https://torgi.gov.ru/new/public/lots/lot/21000019800000000012_1/(lotInfo:info)", "21000019800000000012_1")</f>
        <v>21000019800000000012_1</v>
      </c>
      <c r="E2" t="s">
        <v>1055</v>
      </c>
      <c r="F2" s="3">
        <v>3448.2758620689651</v>
      </c>
      <c r="G2" s="3">
        <v>520000</v>
      </c>
      <c r="H2" t="s">
        <v>1056</v>
      </c>
      <c r="I2" t="s">
        <v>1057</v>
      </c>
      <c r="J2" t="s">
        <v>1058</v>
      </c>
      <c r="K2" s="6">
        <v>0.22</v>
      </c>
      <c r="L2" t="s">
        <v>592</v>
      </c>
      <c r="M2" t="s">
        <v>24</v>
      </c>
      <c r="N2" s="2" t="str">
        <f>HYPERLINK("https://yandex.ru/maps/?&amp;text=56.6463735, 43.4647325", "56.6463735, 43.4647325")</f>
        <v>56.6463735, 43.4647325</v>
      </c>
      <c r="O2" t="s">
        <v>1059</v>
      </c>
      <c r="P2" t="s">
        <v>125</v>
      </c>
      <c r="Q2" s="7" t="str">
        <f>HYPERLINK("D:\torgi_project\venv_torgi\cache\objs_in_district/56.6463735_43.4647325.json", "56.6463735_43.4647325.json")</f>
        <v>56.6463735_43.4647325.json</v>
      </c>
      <c r="R2">
        <v>1469</v>
      </c>
      <c r="S2" s="6">
        <v>2.35</v>
      </c>
    </row>
    <row r="3" spans="1:19" hidden="1">
      <c r="A3" s="4"/>
      <c r="B3" t="s">
        <v>27</v>
      </c>
      <c r="C3" s="1">
        <v>50.2</v>
      </c>
      <c r="D3" s="2" t="str">
        <f>HYPERLINK("https://torgi.gov.ru/new/public/lots/lot/21000015350000000006_1/(lotInfo:info)", "21000015350000000006_1")</f>
        <v>21000015350000000006_1</v>
      </c>
      <c r="E3" t="s">
        <v>28</v>
      </c>
      <c r="F3" s="3">
        <v>134180.796812749</v>
      </c>
      <c r="G3" s="3">
        <v>6735876</v>
      </c>
      <c r="I3" t="s">
        <v>29</v>
      </c>
      <c r="J3" t="s">
        <v>30</v>
      </c>
      <c r="L3" t="s">
        <v>23</v>
      </c>
      <c r="M3" t="s">
        <v>24</v>
      </c>
    </row>
    <row r="4" spans="1:19">
      <c r="A4" s="4"/>
      <c r="B4" t="s">
        <v>1495</v>
      </c>
      <c r="C4" s="1">
        <v>1031.4000000000001</v>
      </c>
      <c r="D4" s="2" t="str">
        <f>HYPERLINK("https://torgi.gov.ru/new/public/lots/lot/21000008680000000006_1/(lotInfo:info)", "21000008680000000006_1")</f>
        <v>21000008680000000006_1</v>
      </c>
      <c r="E4" t="s">
        <v>1509</v>
      </c>
      <c r="F4" s="3">
        <v>2443.7200019391121</v>
      </c>
      <c r="G4" s="3">
        <v>2520452.81</v>
      </c>
      <c r="H4" t="s">
        <v>1510</v>
      </c>
      <c r="I4" t="s">
        <v>1511</v>
      </c>
      <c r="J4" t="s">
        <v>1512</v>
      </c>
      <c r="K4" s="6">
        <v>0.33</v>
      </c>
      <c r="L4" t="s">
        <v>23</v>
      </c>
      <c r="M4" t="s">
        <v>24</v>
      </c>
      <c r="N4" s="2" t="str">
        <f>HYPERLINK("https://yandex.ru/maps/?&amp;text=58.037984, 38.862934", "58.037984, 38.862934")</f>
        <v>58.037984, 38.862934</v>
      </c>
      <c r="O4" t="s">
        <v>1513</v>
      </c>
      <c r="P4" t="s">
        <v>130</v>
      </c>
      <c r="Q4" s="7" t="str">
        <f>HYPERLINK("D:\torgi_project\venv_torgi\cache\objs_in_district/58.037984_38.862934.json", "58.037984_38.862934.json")</f>
        <v>58.037984_38.862934.json</v>
      </c>
      <c r="R4">
        <v>106</v>
      </c>
      <c r="S4" s="6">
        <v>23.05</v>
      </c>
    </row>
    <row r="5" spans="1:19">
      <c r="A5" s="4"/>
      <c r="B5" t="s">
        <v>1426</v>
      </c>
      <c r="C5" s="1">
        <v>327.60000000000002</v>
      </c>
      <c r="D5" s="2" t="str">
        <f>HYPERLINK("https://torgi.gov.ru/new/public/lots/lot/21000013570000000004_3/(lotInfo:info)", "21000013570000000004_3")</f>
        <v>21000013570000000004_3</v>
      </c>
      <c r="E5" t="s">
        <v>1434</v>
      </c>
      <c r="F5" s="3">
        <v>2478.6657509157508</v>
      </c>
      <c r="G5" s="3">
        <v>812010.9</v>
      </c>
      <c r="H5" t="s">
        <v>1435</v>
      </c>
      <c r="I5" t="s">
        <v>1436</v>
      </c>
      <c r="K5" s="6">
        <v>0.49</v>
      </c>
      <c r="L5" t="s">
        <v>23</v>
      </c>
      <c r="M5" t="s">
        <v>24</v>
      </c>
      <c r="N5" s="2" t="str">
        <f>HYPERLINK("https://yandex.ru/maps/?&amp;text=54.29175, 48.3157", "54.29175, 48.3157")</f>
        <v>54.29175, 48.3157</v>
      </c>
      <c r="O5" t="s">
        <v>1437</v>
      </c>
      <c r="P5" t="s">
        <v>61</v>
      </c>
      <c r="Q5" s="7" t="str">
        <f>HYPERLINK("D:\torgi_project\venv_torgi\cache\objs_in_district/54.29175_48.3157.json", "54.29175_48.3157.json")</f>
        <v>54.29175_48.3157.json</v>
      </c>
      <c r="R5">
        <v>4129</v>
      </c>
      <c r="S5" s="6">
        <v>0.6</v>
      </c>
    </row>
    <row r="6" spans="1:19">
      <c r="A6" s="4"/>
      <c r="B6" t="s">
        <v>1879</v>
      </c>
      <c r="C6" s="1">
        <v>519.6</v>
      </c>
      <c r="D6" s="2" t="str">
        <f>HYPERLINK("https://torgi.gov.ru/new/public/lots/lot/21000010520000000003_1/(lotInfo:info)", "21000010520000000003_1")</f>
        <v>21000010520000000003_1</v>
      </c>
      <c r="E6" t="s">
        <v>2039</v>
      </c>
      <c r="F6" s="3">
        <v>4170.9006928406461</v>
      </c>
      <c r="G6" s="3">
        <v>2167200</v>
      </c>
      <c r="H6" t="s">
        <v>2040</v>
      </c>
      <c r="I6" t="s">
        <v>2041</v>
      </c>
      <c r="J6" t="s">
        <v>2042</v>
      </c>
      <c r="K6" s="6">
        <v>0.5</v>
      </c>
      <c r="L6" t="s">
        <v>23</v>
      </c>
      <c r="M6" t="s">
        <v>24</v>
      </c>
      <c r="N6" s="2" t="str">
        <f>HYPERLINK("https://yandex.ru/maps/?&amp;text=61.094214,  72.619260", "61.094214,  72.619260")</f>
        <v>61.094214,  72.619260</v>
      </c>
      <c r="O6" t="s">
        <v>2043</v>
      </c>
      <c r="P6" t="s">
        <v>1838</v>
      </c>
      <c r="Q6" s="7" t="str">
        <f>HYPERLINK("D:\torgi_project\venv_torgi\cache\objs_in_district/61.094214_72.61926.json", "61.094214_72.61926.json")</f>
        <v>61.094214_72.61926.json</v>
      </c>
      <c r="R6">
        <v>2335</v>
      </c>
      <c r="S6" s="6">
        <v>1.79</v>
      </c>
    </row>
    <row r="7" spans="1:19">
      <c r="A7" s="4"/>
      <c r="B7" t="s">
        <v>1406</v>
      </c>
      <c r="C7" s="1">
        <v>256.10000000000002</v>
      </c>
      <c r="D7" s="2" t="str">
        <f>HYPERLINK("https://torgi.gov.ru/new/public/lots/lot/21000018800000000001_2/(lotInfo:info)", "21000018800000000001_2")</f>
        <v>21000018800000000001_2</v>
      </c>
      <c r="E7" t="s">
        <v>1416</v>
      </c>
      <c r="F7" s="3">
        <v>4295.1971885982039</v>
      </c>
      <c r="G7" s="3">
        <v>1100000</v>
      </c>
      <c r="H7" t="s">
        <v>1417</v>
      </c>
      <c r="I7" t="s">
        <v>207</v>
      </c>
      <c r="J7" t="s">
        <v>1418</v>
      </c>
      <c r="K7" s="6">
        <v>0.62</v>
      </c>
      <c r="L7" t="s">
        <v>90</v>
      </c>
      <c r="M7" t="s">
        <v>24</v>
      </c>
      <c r="N7" s="2" t="str">
        <f>HYPERLINK("https://yandex.ru/maps/?&amp;text=54.118553,  37.545941", "54.118553,  37.545941")</f>
        <v>54.118553,  37.545941</v>
      </c>
      <c r="O7" t="s">
        <v>1419</v>
      </c>
      <c r="P7" t="s">
        <v>1406</v>
      </c>
      <c r="Q7" s="7" t="str">
        <f>HYPERLINK("D:\torgi_project\venv_torgi\cache\objs_in_district/54.118553_37.545941.json", "54.118553_37.545941.json")</f>
        <v>54.118553_37.545941.json</v>
      </c>
      <c r="R7">
        <v>2902</v>
      </c>
      <c r="S7" s="6">
        <v>1.48</v>
      </c>
    </row>
    <row r="8" spans="1:19">
      <c r="A8" s="4"/>
      <c r="B8" t="s">
        <v>1438</v>
      </c>
      <c r="C8" s="1">
        <v>169.1</v>
      </c>
      <c r="D8" s="2" t="str">
        <f>HYPERLINK("https://torgi.gov.ru/new/public/lots/lot/21000004870000000001_2/(lotInfo:info)", "21000004870000000001_2")</f>
        <v>21000004870000000001_2</v>
      </c>
      <c r="E8" t="s">
        <v>1484</v>
      </c>
      <c r="F8" s="3">
        <v>6513.3057362507398</v>
      </c>
      <c r="G8" s="3">
        <v>1101400</v>
      </c>
      <c r="H8" t="s">
        <v>1485</v>
      </c>
      <c r="I8" t="s">
        <v>1486</v>
      </c>
      <c r="J8" t="s">
        <v>1487</v>
      </c>
      <c r="K8" s="6">
        <v>0.63</v>
      </c>
      <c r="L8" t="s">
        <v>23</v>
      </c>
      <c r="M8" t="s">
        <v>24</v>
      </c>
      <c r="N8" s="2" t="str">
        <f>HYPERLINK("https://yandex.ru/maps/?&amp;text=55.255575, 61.389546", "55.255575, 61.389546")</f>
        <v>55.255575, 61.389546</v>
      </c>
      <c r="O8" t="s">
        <v>1488</v>
      </c>
      <c r="P8" t="s">
        <v>125</v>
      </c>
      <c r="Q8" s="7" t="str">
        <f>HYPERLINK("D:\torgi_project\venv_torgi\cache\objs_in_district/55.255575_61.389546.json", "55.255575_61.389546.json")</f>
        <v>55.255575_61.389546.json</v>
      </c>
      <c r="R8">
        <v>3523</v>
      </c>
      <c r="S8" s="6">
        <v>1.85</v>
      </c>
    </row>
    <row r="9" spans="1:19">
      <c r="A9" s="4"/>
      <c r="B9" t="s">
        <v>415</v>
      </c>
      <c r="C9" s="1">
        <v>291</v>
      </c>
      <c r="D9" s="2" t="str">
        <f>HYPERLINK("https://torgi.gov.ru/new/public/lots/lot/22000006140000000033_1/(lotInfo:info)", "22000006140000000033_1")</f>
        <v>22000006140000000033_1</v>
      </c>
      <c r="E9" t="s">
        <v>849</v>
      </c>
      <c r="F9" s="3">
        <v>2852.2336769759449</v>
      </c>
      <c r="G9" s="3">
        <v>830000</v>
      </c>
      <c r="H9" t="s">
        <v>850</v>
      </c>
      <c r="I9" t="s">
        <v>851</v>
      </c>
      <c r="J9" t="s">
        <v>852</v>
      </c>
      <c r="K9" s="6">
        <v>0.7</v>
      </c>
      <c r="L9" t="s">
        <v>592</v>
      </c>
      <c r="M9" t="s">
        <v>24</v>
      </c>
      <c r="N9" s="2" t="str">
        <f>HYPERLINK("https://yandex.ru/maps/?&amp;text=58.540024, 50.030798", "58.540024, 50.030798")</f>
        <v>58.540024, 50.030798</v>
      </c>
      <c r="O9" t="s">
        <v>853</v>
      </c>
      <c r="P9" t="s">
        <v>291</v>
      </c>
      <c r="Q9" s="7" t="str">
        <f>HYPERLINK("D:\torgi_project\venv_torgi\cache\objs_in_district/58.540024_50.030798.json", "58.540024_50.030798.json")</f>
        <v>58.540024_50.030798.json</v>
      </c>
      <c r="R9">
        <v>1108</v>
      </c>
      <c r="S9" s="6">
        <v>2.57</v>
      </c>
    </row>
    <row r="10" spans="1:19">
      <c r="A10" s="4"/>
      <c r="B10" t="s">
        <v>107</v>
      </c>
      <c r="C10" s="1">
        <v>1392</v>
      </c>
      <c r="D10" s="2" t="str">
        <f>HYPERLINK("https://torgi.gov.ru/new/public/lots/lot/22000024070000000006_5/(lotInfo:info)", "22000024070000000006_5")</f>
        <v>22000024070000000006_5</v>
      </c>
      <c r="E10" t="s">
        <v>356</v>
      </c>
      <c r="F10" s="3">
        <v>2692.875</v>
      </c>
      <c r="G10" s="3">
        <v>3748482</v>
      </c>
      <c r="H10" t="s">
        <v>357</v>
      </c>
      <c r="I10" t="s">
        <v>358</v>
      </c>
      <c r="J10" t="s">
        <v>359</v>
      </c>
      <c r="K10" s="6">
        <v>0.72</v>
      </c>
      <c r="L10" t="s">
        <v>90</v>
      </c>
      <c r="M10" t="s">
        <v>24</v>
      </c>
      <c r="N10" s="2" t="str">
        <f>HYPERLINK("https://yandex.ru/maps/?&amp;text=56.262582, 90.48181", "56.262582, 90.48181")</f>
        <v>56.262582, 90.48181</v>
      </c>
      <c r="O10" t="s">
        <v>360</v>
      </c>
      <c r="P10" t="s">
        <v>49</v>
      </c>
      <c r="Q10" s="7" t="str">
        <f>HYPERLINK("D:\torgi_project\venv_torgi\cache\objs_in_district/56.262582_90.48181.json", "56.262582_90.48181.json")</f>
        <v>56.262582_90.48181.json</v>
      </c>
      <c r="R10">
        <v>2346</v>
      </c>
      <c r="S10" s="6">
        <v>1.1499999999999999</v>
      </c>
    </row>
    <row r="11" spans="1:19">
      <c r="A11" s="4"/>
      <c r="B11" t="s">
        <v>1438</v>
      </c>
      <c r="C11" s="1">
        <v>129.9</v>
      </c>
      <c r="D11" s="2" t="str">
        <f>HYPERLINK("https://torgi.gov.ru/new/public/lots/lot/21000017550000000037_1/(lotInfo:info)", "21000017550000000037_1")</f>
        <v>21000017550000000037_1</v>
      </c>
      <c r="E11" t="s">
        <v>1446</v>
      </c>
      <c r="F11" s="3">
        <v>5025.2270977675134</v>
      </c>
      <c r="G11" s="3">
        <v>652777</v>
      </c>
      <c r="H11" t="s">
        <v>1447</v>
      </c>
      <c r="I11" t="s">
        <v>1444</v>
      </c>
      <c r="J11" t="s">
        <v>1448</v>
      </c>
      <c r="K11" s="6">
        <v>0.8</v>
      </c>
      <c r="L11" t="s">
        <v>592</v>
      </c>
      <c r="M11" t="s">
        <v>24</v>
      </c>
      <c r="N11" s="2" t="str">
        <f>HYPERLINK("https://yandex.ru/maps/?&amp;text=54.750718, 61.313998", "54.750718, 61.313998")</f>
        <v>54.750718, 61.313998</v>
      </c>
      <c r="O11" t="s">
        <v>1449</v>
      </c>
      <c r="P11" t="s">
        <v>216</v>
      </c>
      <c r="Q11" s="7" t="str">
        <f>HYPERLINK("D:\torgi_project\venv_torgi\cache\objs_in_district/54.750718_61.313998.json", "54.750718_61.313998.json")</f>
        <v>54.750718_61.313998.json</v>
      </c>
      <c r="R11">
        <v>1902</v>
      </c>
      <c r="S11" s="6">
        <v>2.64</v>
      </c>
    </row>
    <row r="12" spans="1:19">
      <c r="A12" s="4"/>
      <c r="B12" t="s">
        <v>1358</v>
      </c>
      <c r="C12" s="1">
        <v>467.8</v>
      </c>
      <c r="D12" s="2" t="str">
        <f>HYPERLINK("https://torgi.gov.ru/new/public/lots/lot/22000009410000000002_1/(lotInfo:info)", "22000009410000000002_1")</f>
        <v>22000009410000000002_1</v>
      </c>
      <c r="E12" t="s">
        <v>1364</v>
      </c>
      <c r="F12" s="3">
        <v>3743.629756306113</v>
      </c>
      <c r="G12" s="3">
        <v>1751270</v>
      </c>
      <c r="H12" t="s">
        <v>1365</v>
      </c>
      <c r="I12" t="s">
        <v>1194</v>
      </c>
      <c r="J12" t="s">
        <v>1366</v>
      </c>
      <c r="K12" s="6">
        <v>0.86</v>
      </c>
      <c r="L12" t="s">
        <v>23</v>
      </c>
      <c r="M12" t="s">
        <v>24</v>
      </c>
      <c r="N12" s="2" t="str">
        <f>HYPERLINK("https://yandex.ru/maps/?&amp;text=52.585243, 41.49728", "52.585243, 41.49728")</f>
        <v>52.585243, 41.49728</v>
      </c>
      <c r="O12" t="s">
        <v>1367</v>
      </c>
      <c r="P12" t="s">
        <v>1368</v>
      </c>
      <c r="Q12" s="7" t="str">
        <f>HYPERLINK("D:\torgi_project\venv_torgi\cache\objs_in_district/52.585243_41.49728.json", "52.585243_41.49728.json")</f>
        <v>52.585243_41.49728.json</v>
      </c>
      <c r="R12">
        <v>3345</v>
      </c>
      <c r="S12" s="6">
        <v>1.1200000000000001</v>
      </c>
    </row>
    <row r="13" spans="1:19">
      <c r="A13" s="4"/>
      <c r="B13" t="s">
        <v>37</v>
      </c>
      <c r="C13" s="1">
        <v>676.4</v>
      </c>
      <c r="D13" s="2" t="str">
        <f>HYPERLINK("https://torgi.gov.ru/new/public/lots/lot/21000004300000000002_1/(lotInfo:info)", "21000004300000000002_1")</f>
        <v>21000004300000000002_1</v>
      </c>
      <c r="E13" t="s">
        <v>159</v>
      </c>
      <c r="F13" s="3">
        <v>8015.005913660556</v>
      </c>
      <c r="G13" s="3">
        <v>5421350</v>
      </c>
      <c r="H13" t="s">
        <v>160</v>
      </c>
      <c r="I13" t="s">
        <v>161</v>
      </c>
      <c r="J13" t="s">
        <v>162</v>
      </c>
      <c r="K13" s="6">
        <v>0.87</v>
      </c>
      <c r="L13" t="s">
        <v>90</v>
      </c>
      <c r="M13" t="s">
        <v>24</v>
      </c>
      <c r="N13" s="2" t="str">
        <f>HYPERLINK("https://yandex.ru/maps/?&amp;text=56.645054, 47.863422", "56.645054, 47.863422")</f>
        <v>56.645054, 47.863422</v>
      </c>
      <c r="O13" t="s">
        <v>163</v>
      </c>
      <c r="P13" t="s">
        <v>164</v>
      </c>
      <c r="Q13" s="7" t="str">
        <f>HYPERLINK("D:\torgi_project\venv_torgi\cache\objs_in_district/56.645054_47.863422.json", "56.645054_47.863422.json")</f>
        <v>56.645054_47.863422.json</v>
      </c>
      <c r="R13">
        <v>5064</v>
      </c>
      <c r="S13" s="6">
        <v>1.58</v>
      </c>
    </row>
    <row r="14" spans="1:19" hidden="1">
      <c r="A14" s="4"/>
      <c r="B14" t="s">
        <v>27</v>
      </c>
      <c r="C14" s="1">
        <v>38.799999999999997</v>
      </c>
      <c r="D14" s="2" t="str">
        <f>HYPERLINK("https://torgi.gov.ru/new/public/lots/lot/22000014830000000002_1/(lotInfo:info)", "22000014830000000002_1")</f>
        <v>22000014830000000002_1</v>
      </c>
      <c r="E14" t="s">
        <v>93</v>
      </c>
      <c r="F14" s="3">
        <v>35992.268041237119</v>
      </c>
      <c r="G14" s="3">
        <v>1396500</v>
      </c>
      <c r="H14" t="s">
        <v>94</v>
      </c>
      <c r="I14" t="s">
        <v>95</v>
      </c>
      <c r="J14" t="s">
        <v>96</v>
      </c>
      <c r="L14" t="s">
        <v>23</v>
      </c>
      <c r="M14" t="s">
        <v>24</v>
      </c>
    </row>
    <row r="15" spans="1:19">
      <c r="A15" s="4"/>
      <c r="B15" t="s">
        <v>634</v>
      </c>
      <c r="C15" s="1">
        <v>485</v>
      </c>
      <c r="D15" s="2" t="str">
        <f>HYPERLINK("https://torgi.gov.ru/new/public/lots/lot/22000022930000000009_1/(lotInfo:info)", "22000022930000000009_1")</f>
        <v>22000022930000000009_1</v>
      </c>
      <c r="E15" t="s">
        <v>677</v>
      </c>
      <c r="F15" s="3">
        <v>6597.9381443298971</v>
      </c>
      <c r="G15" s="3">
        <v>3200000</v>
      </c>
      <c r="H15" t="s">
        <v>678</v>
      </c>
      <c r="I15" t="s">
        <v>679</v>
      </c>
      <c r="J15" t="s">
        <v>680</v>
      </c>
      <c r="K15" s="6">
        <v>0.87</v>
      </c>
      <c r="L15" t="s">
        <v>592</v>
      </c>
      <c r="M15" t="s">
        <v>24</v>
      </c>
      <c r="N15" s="2" t="str">
        <f>HYPERLINK("https://yandex.ru/maps/?&amp;text=51.703472, 39.161947", "51.703472, 39.161947")</f>
        <v>51.703472, 39.161947</v>
      </c>
      <c r="O15" t="s">
        <v>681</v>
      </c>
      <c r="P15" t="s">
        <v>682</v>
      </c>
      <c r="Q15" s="7" t="str">
        <f>HYPERLINK("D:\torgi_project\venv_torgi\cache\objs_in_district/51.703472_39.161947.json", "51.703472_39.161947.json")</f>
        <v>51.703472_39.161947.json</v>
      </c>
      <c r="R15">
        <v>3926</v>
      </c>
      <c r="S15" s="6">
        <v>1.68</v>
      </c>
    </row>
    <row r="16" spans="1:19">
      <c r="A16" s="4"/>
      <c r="B16" t="s">
        <v>1130</v>
      </c>
      <c r="C16" s="1">
        <v>125.3</v>
      </c>
      <c r="D16" s="2" t="str">
        <f>HYPERLINK("https://torgi.gov.ru/new/public/lots/lot/21000014250000000031_1/(lotInfo:info)", "21000014250000000031_1")</f>
        <v>21000014250000000031_1</v>
      </c>
      <c r="E16" t="s">
        <v>1325</v>
      </c>
      <c r="F16" s="3">
        <v>5754.1899441340784</v>
      </c>
      <c r="G16" s="3">
        <v>721000</v>
      </c>
      <c r="H16" t="s">
        <v>1326</v>
      </c>
      <c r="I16" t="s">
        <v>1327</v>
      </c>
      <c r="J16" t="s">
        <v>1328</v>
      </c>
      <c r="K16" s="6">
        <v>0.98</v>
      </c>
      <c r="L16" t="s">
        <v>23</v>
      </c>
      <c r="M16" t="s">
        <v>24</v>
      </c>
      <c r="N16" s="2" t="str">
        <f>HYPERLINK("https://yandex.ru/maps/?&amp;text=57.908356, 59.95094", "57.908356, 59.95094")</f>
        <v>57.908356, 59.95094</v>
      </c>
      <c r="O16" t="s">
        <v>1329</v>
      </c>
      <c r="P16" t="s">
        <v>291</v>
      </c>
      <c r="Q16" s="7" t="str">
        <f>HYPERLINK("D:\torgi_project\venv_torgi\cache\objs_in_district/57.908356_59.95094.json", "57.908356_59.95094.json")</f>
        <v>57.908356_59.95094.json</v>
      </c>
      <c r="R16">
        <v>2282</v>
      </c>
      <c r="S16" s="6">
        <v>2.52</v>
      </c>
    </row>
    <row r="17" spans="1:19">
      <c r="A17" s="4"/>
      <c r="B17" t="s">
        <v>729</v>
      </c>
      <c r="C17" s="1">
        <v>1527.9</v>
      </c>
      <c r="D17" s="2" t="str">
        <f>HYPERLINK("https://torgi.gov.ru/new/public/lots/lot/21000005400000000042_1/(lotInfo:info)", "21000005400000000042_1")</f>
        <v>21000005400000000042_1</v>
      </c>
      <c r="E17" t="s">
        <v>1284</v>
      </c>
      <c r="F17" s="3">
        <v>2195.0003272465469</v>
      </c>
      <c r="G17" s="3">
        <v>3353741</v>
      </c>
      <c r="H17" t="s">
        <v>1285</v>
      </c>
      <c r="I17" t="s">
        <v>1286</v>
      </c>
      <c r="J17" t="s">
        <v>1287</v>
      </c>
      <c r="K17" s="6">
        <v>1.01</v>
      </c>
      <c r="L17" t="s">
        <v>23</v>
      </c>
      <c r="M17" t="s">
        <v>24</v>
      </c>
      <c r="N17" s="2" t="str">
        <f>HYPERLINK("https://yandex.ru/maps/?&amp;text=53.52945, 49.26407", "53.52945, 49.26407")</f>
        <v>53.52945, 49.26407</v>
      </c>
      <c r="O17" t="s">
        <v>1288</v>
      </c>
      <c r="P17" t="s">
        <v>216</v>
      </c>
      <c r="Q17" s="7" t="str">
        <f>HYPERLINK("D:\torgi_project\venv_torgi\cache\objs_in_district/53.52945_49.26407.json", "53.52945_49.26407.json")</f>
        <v>53.52945_49.26407.json</v>
      </c>
      <c r="R17">
        <v>3650</v>
      </c>
      <c r="S17" s="6">
        <v>0.6</v>
      </c>
    </row>
    <row r="18" spans="1:19">
      <c r="A18" s="4"/>
      <c r="B18" t="s">
        <v>1438</v>
      </c>
      <c r="C18" s="1">
        <v>845.2</v>
      </c>
      <c r="D18" s="2" t="str">
        <f>HYPERLINK("https://torgi.gov.ru/new/public/lots/lot/21000017550000000021_1/(lotInfo:info)", "21000017550000000021_1")</f>
        <v>21000017550000000021_1</v>
      </c>
      <c r="E18" t="s">
        <v>1466</v>
      </c>
      <c r="F18" s="3">
        <v>2638.4287742546139</v>
      </c>
      <c r="G18" s="3">
        <v>2230000</v>
      </c>
      <c r="H18" t="s">
        <v>1467</v>
      </c>
      <c r="I18" t="s">
        <v>1468</v>
      </c>
      <c r="J18" t="s">
        <v>1469</v>
      </c>
      <c r="K18" s="6">
        <v>1.05</v>
      </c>
      <c r="L18" t="s">
        <v>592</v>
      </c>
      <c r="M18" t="s">
        <v>24</v>
      </c>
      <c r="N18" s="2" t="str">
        <f>HYPERLINK("https://yandex.ru/maps/?&amp;text=55.192893, 61.442627", "55.192893, 61.442627")</f>
        <v>55.192893, 61.442627</v>
      </c>
      <c r="O18" t="s">
        <v>507</v>
      </c>
      <c r="P18" t="s">
        <v>67</v>
      </c>
      <c r="Q18" s="7" t="str">
        <f>HYPERLINK("D:\torgi_project\venv_torgi\cache\objs_in_district/55.192893_61.442627.json", "55.192893_61.442627.json")</f>
        <v>55.192893_61.442627.json</v>
      </c>
      <c r="R18">
        <v>4681</v>
      </c>
      <c r="S18" s="6">
        <v>0.56000000000000005</v>
      </c>
    </row>
    <row r="19" spans="1:19">
      <c r="A19" s="4"/>
      <c r="B19" t="s">
        <v>1438</v>
      </c>
      <c r="C19" s="1">
        <v>116.1</v>
      </c>
      <c r="D19" s="2" t="str">
        <f>HYPERLINK("https://torgi.gov.ru/new/public/lots/lot/21000007680000000006_1/(lotInfo:info)", "21000007680000000006_1")</f>
        <v>21000007680000000006_1</v>
      </c>
      <c r="E19" t="s">
        <v>1470</v>
      </c>
      <c r="F19" s="3">
        <v>5628.9147286821708</v>
      </c>
      <c r="G19" s="3">
        <v>653517</v>
      </c>
      <c r="H19" t="s">
        <v>1474</v>
      </c>
      <c r="I19" t="s">
        <v>1475</v>
      </c>
      <c r="J19" t="s">
        <v>1476</v>
      </c>
      <c r="K19" s="6">
        <v>1.07</v>
      </c>
      <c r="L19" t="s">
        <v>23</v>
      </c>
      <c r="M19" t="s">
        <v>24</v>
      </c>
      <c r="N19" s="2" t="str">
        <f>HYPERLINK("https://yandex.ru/maps/?&amp;text=54.07909, 61.531265", "54.07909, 61.531265")</f>
        <v>54.07909, 61.531265</v>
      </c>
      <c r="O19" t="s">
        <v>1477</v>
      </c>
      <c r="P19" t="s">
        <v>1478</v>
      </c>
      <c r="Q19" s="7" t="str">
        <f>HYPERLINK("D:\torgi_project\venv_torgi\cache\objs_in_district/54.07909_61.531265.json", "54.07909_61.531265.json")</f>
        <v>54.07909_61.531265.json</v>
      </c>
      <c r="R19">
        <v>869</v>
      </c>
      <c r="S19" s="6">
        <v>6.48</v>
      </c>
    </row>
    <row r="20" spans="1:19">
      <c r="A20" s="4"/>
      <c r="B20" t="s">
        <v>1438</v>
      </c>
      <c r="C20" s="1">
        <v>904</v>
      </c>
      <c r="D20" s="2" t="str">
        <f>HYPERLINK("https://torgi.gov.ru/new/public/lots/lot/22000019790000000033_1/(lotInfo:info)", "22000019790000000033_1")</f>
        <v>22000019790000000033_1</v>
      </c>
      <c r="E20" t="s">
        <v>1461</v>
      </c>
      <c r="F20" s="3">
        <v>10607.30088495575</v>
      </c>
      <c r="G20" s="3">
        <v>9589000</v>
      </c>
      <c r="H20" t="s">
        <v>1462</v>
      </c>
      <c r="I20" t="s">
        <v>1463</v>
      </c>
      <c r="J20" t="s">
        <v>1464</v>
      </c>
      <c r="K20" s="6">
        <v>1.54</v>
      </c>
      <c r="L20" t="s">
        <v>23</v>
      </c>
      <c r="M20" t="s">
        <v>24</v>
      </c>
      <c r="N20" s="2" t="str">
        <f>HYPERLINK("https://yandex.ru/maps/?&amp;text=53.42643, 58.995037", "53.42643, 58.995037")</f>
        <v>53.42643, 58.995037</v>
      </c>
      <c r="O20" t="s">
        <v>1465</v>
      </c>
      <c r="P20" t="s">
        <v>498</v>
      </c>
      <c r="Q20" s="7" t="str">
        <f>HYPERLINK("D:\torgi_project\venv_torgi\cache\objs_in_district/53.42643_58.995037.json", "53.42643_58.995037.json")</f>
        <v>53.42643_58.995037.json</v>
      </c>
      <c r="R20">
        <v>1862</v>
      </c>
      <c r="S20" s="6">
        <v>5.7</v>
      </c>
    </row>
    <row r="21" spans="1:19">
      <c r="A21" s="4"/>
      <c r="B21" t="s">
        <v>554</v>
      </c>
      <c r="C21" s="1">
        <v>467.8</v>
      </c>
      <c r="D21" s="2" t="str">
        <f>HYPERLINK("https://torgi.gov.ru/new/public/lots/lot/22000112030000000001_1/(lotInfo:info)", "22000112030000000001_1")</f>
        <v>22000112030000000001_1</v>
      </c>
      <c r="E21" t="s">
        <v>559</v>
      </c>
      <c r="F21" s="3">
        <v>3420.2650705429669</v>
      </c>
      <c r="G21" s="3">
        <v>1600000</v>
      </c>
      <c r="H21" t="s">
        <v>560</v>
      </c>
      <c r="I21" t="s">
        <v>250</v>
      </c>
      <c r="J21" t="s">
        <v>561</v>
      </c>
      <c r="K21" s="6">
        <v>1.65</v>
      </c>
      <c r="L21" t="s">
        <v>23</v>
      </c>
      <c r="M21" t="s">
        <v>24</v>
      </c>
      <c r="N21" s="2" t="str">
        <f>HYPERLINK("https://yandex.ru/maps/?&amp;text=56.34432, 41.295544", "56.34432, 41.295544")</f>
        <v>56.34432, 41.295544</v>
      </c>
      <c r="O21" t="s">
        <v>562</v>
      </c>
      <c r="P21" t="s">
        <v>216</v>
      </c>
      <c r="Q21" s="7" t="str">
        <f>HYPERLINK("D:\torgi_project\venv_torgi\cache\objs_in_district/56.34432_41.295544.json", "56.34432_41.295544.json")</f>
        <v>56.34432_41.295544.json</v>
      </c>
      <c r="R21">
        <v>3414</v>
      </c>
      <c r="S21" s="6">
        <v>1</v>
      </c>
    </row>
    <row r="22" spans="1:19">
      <c r="A22" s="4"/>
      <c r="B22" t="s">
        <v>508</v>
      </c>
      <c r="C22" s="1">
        <v>319.3</v>
      </c>
      <c r="D22" s="2" t="str">
        <f>HYPERLINK("https://torgi.gov.ru/new/public/lots/lot/22000013150000000004_1/(lotInfo:info)", "22000013150000000004_1")</f>
        <v>22000013150000000004_1</v>
      </c>
      <c r="E22" t="s">
        <v>1222</v>
      </c>
      <c r="F22" s="3">
        <v>5693.7049796429692</v>
      </c>
      <c r="G22" s="3">
        <v>1818000</v>
      </c>
      <c r="H22" t="s">
        <v>1223</v>
      </c>
      <c r="I22" t="s">
        <v>1224</v>
      </c>
      <c r="J22" t="s">
        <v>1225</v>
      </c>
      <c r="K22" s="6">
        <v>1.83</v>
      </c>
      <c r="L22" t="s">
        <v>23</v>
      </c>
      <c r="M22" t="s">
        <v>24</v>
      </c>
      <c r="N22" s="2" t="str">
        <f>HYPERLINK("https://yandex.ru/maps/?&amp;text=59.637165, 56.74355", "59.637165, 56.74355")</f>
        <v>59.637165, 56.74355</v>
      </c>
      <c r="O22" t="s">
        <v>1226</v>
      </c>
      <c r="P22" t="s">
        <v>55</v>
      </c>
      <c r="Q22" s="7" t="str">
        <f>HYPERLINK("D:\torgi_project\venv_torgi\cache\objs_in_district/59.637165_56.74355.json", "59.637165_56.74355.json")</f>
        <v>59.637165_56.74355.json</v>
      </c>
      <c r="R22">
        <v>1064</v>
      </c>
      <c r="S22" s="6">
        <v>5.35</v>
      </c>
    </row>
    <row r="23" spans="1:19">
      <c r="A23" s="4"/>
      <c r="B23" t="s">
        <v>291</v>
      </c>
      <c r="C23" s="1">
        <v>118.1</v>
      </c>
      <c r="D23" s="2" t="str">
        <f>HYPERLINK("https://torgi.gov.ru/new/public/lots/lot/21000016450000000002_1/(lotInfo:info)", "21000016450000000002_1")</f>
        <v>21000016450000000002_1</v>
      </c>
      <c r="E23" t="s">
        <v>308</v>
      </c>
      <c r="F23" s="3">
        <v>9278.0016934801024</v>
      </c>
      <c r="G23" s="3">
        <v>1095732</v>
      </c>
      <c r="H23" t="s">
        <v>309</v>
      </c>
      <c r="I23" t="s">
        <v>310</v>
      </c>
      <c r="J23" t="s">
        <v>311</v>
      </c>
      <c r="K23" s="6">
        <v>1.84</v>
      </c>
      <c r="L23" t="s">
        <v>23</v>
      </c>
      <c r="M23" t="s">
        <v>24</v>
      </c>
      <c r="N23" s="2" t="str">
        <f>HYPERLINK("https://yandex.ru/maps/?&amp;text=51.523357, 81.22472", "51.523357, 81.22472")</f>
        <v>51.523357, 81.22472</v>
      </c>
      <c r="O23" t="s">
        <v>312</v>
      </c>
      <c r="P23" t="s">
        <v>313</v>
      </c>
      <c r="Q23" s="7" t="str">
        <f>HYPERLINK("D:\torgi_project\venv_torgi\cache\objs_in_district/51.523357_81.22472.json", "51.523357_81.22472.json")</f>
        <v>51.523357_81.22472.json</v>
      </c>
      <c r="R23">
        <v>1956</v>
      </c>
      <c r="S23" s="6">
        <v>4.74</v>
      </c>
    </row>
    <row r="24" spans="1:19">
      <c r="A24" s="4"/>
      <c r="B24" t="s">
        <v>1526</v>
      </c>
      <c r="C24" s="1">
        <v>268.2</v>
      </c>
      <c r="D24" s="2" t="str">
        <f>HYPERLINK("https://torgi.gov.ru/new/public/lots/lot/21000005000000000584_1/(lotInfo:info)", "21000005000000000584_1")</f>
        <v>21000005000000000584_1</v>
      </c>
      <c r="E24" t="s">
        <v>1648</v>
      </c>
      <c r="F24" s="3">
        <v>25167.785234899329</v>
      </c>
      <c r="G24" s="3">
        <v>6750000</v>
      </c>
      <c r="H24" t="s">
        <v>1649</v>
      </c>
      <c r="I24" t="s">
        <v>631</v>
      </c>
      <c r="J24" t="s">
        <v>1650</v>
      </c>
      <c r="K24" s="6">
        <v>1.85</v>
      </c>
      <c r="L24" t="s">
        <v>592</v>
      </c>
      <c r="M24" t="s">
        <v>24</v>
      </c>
      <c r="N24" s="2" t="str">
        <f>HYPERLINK("https://yandex.ru/maps/?&amp;text=55.7954689, 37.7732247", "55.7954689, 37.7732247")</f>
        <v>55.7954689, 37.7732247</v>
      </c>
      <c r="O24" t="s">
        <v>1651</v>
      </c>
      <c r="P24" t="s">
        <v>277</v>
      </c>
      <c r="Q24" s="7" t="str">
        <f>HYPERLINK("D:\torgi_project\venv_torgi\cache\objs_in_district/55.7954689_37.7732247.json", "55.7954689_37.7732247.json")</f>
        <v>55.7954689_37.7732247.json</v>
      </c>
      <c r="R24">
        <v>8027</v>
      </c>
      <c r="S24" s="6">
        <v>3.14</v>
      </c>
    </row>
    <row r="25" spans="1:19">
      <c r="A25" s="4"/>
      <c r="B25" t="s">
        <v>1495</v>
      </c>
      <c r="C25" s="1">
        <v>187.1</v>
      </c>
      <c r="D25" s="2" t="str">
        <f>HYPERLINK("https://torgi.gov.ru/new/public/lots/lot/21000012550000000044_1/(lotInfo:info)", "21000012550000000044_1")</f>
        <v>21000012550000000044_1</v>
      </c>
      <c r="E25" t="s">
        <v>1496</v>
      </c>
      <c r="F25" s="3">
        <v>9599.1448423303045</v>
      </c>
      <c r="G25" s="3">
        <v>1796000</v>
      </c>
      <c r="H25" t="s">
        <v>1497</v>
      </c>
      <c r="I25" t="s">
        <v>1498</v>
      </c>
      <c r="K25" s="6">
        <v>1.88</v>
      </c>
      <c r="L25" t="s">
        <v>90</v>
      </c>
      <c r="M25" t="s">
        <v>24</v>
      </c>
      <c r="N25" s="2" t="str">
        <f>HYPERLINK("https://yandex.ru/maps/?&amp;text=57.691284, 39.80356", "57.691284, 39.80356")</f>
        <v>57.691284, 39.80356</v>
      </c>
      <c r="O25" t="s">
        <v>1499</v>
      </c>
      <c r="P25" t="s">
        <v>107</v>
      </c>
      <c r="Q25" s="7" t="str">
        <f>HYPERLINK("D:\torgi_project\venv_torgi\cache\objs_in_district/57.691284_39.80356.json", "57.691284_39.80356.json")</f>
        <v>57.691284_39.80356.json</v>
      </c>
      <c r="R25">
        <v>743</v>
      </c>
      <c r="S25" s="6">
        <v>12.92</v>
      </c>
    </row>
    <row r="26" spans="1:19">
      <c r="A26" s="4"/>
      <c r="B26" t="s">
        <v>508</v>
      </c>
      <c r="C26" s="1">
        <v>128.9</v>
      </c>
      <c r="D26" s="2" t="str">
        <f>HYPERLINK("https://torgi.gov.ru/new/public/lots/lot/21000032160000000004_1/(lotInfo:info)", "21000032160000000004_1")</f>
        <v>21000032160000000004_1</v>
      </c>
      <c r="E26" t="s">
        <v>1217</v>
      </c>
      <c r="F26" s="3">
        <v>6749.4181536074466</v>
      </c>
      <c r="G26" s="3">
        <v>870000</v>
      </c>
      <c r="H26" t="s">
        <v>1218</v>
      </c>
      <c r="I26" t="s">
        <v>1219</v>
      </c>
      <c r="J26" t="s">
        <v>1220</v>
      </c>
      <c r="K26" s="6">
        <v>1.93</v>
      </c>
      <c r="L26" t="s">
        <v>23</v>
      </c>
      <c r="M26" t="s">
        <v>24</v>
      </c>
      <c r="N26" s="2" t="str">
        <f>HYPERLINK("https://yandex.ru/maps/?&amp;text=58.100716, 57.806335", "58.100716, 57.806335")</f>
        <v>58.100716, 57.806335</v>
      </c>
      <c r="O26" t="s">
        <v>1221</v>
      </c>
      <c r="P26" t="s">
        <v>73</v>
      </c>
      <c r="Q26" s="7" t="str">
        <f>HYPERLINK("D:\torgi_project\venv_torgi\cache\objs_in_district/58.100716_57.806335.json", "58.100716_57.806335.json")</f>
        <v>58.100716_57.806335.json</v>
      </c>
      <c r="R26">
        <v>3423</v>
      </c>
      <c r="S26" s="6">
        <v>1.97</v>
      </c>
    </row>
    <row r="27" spans="1:19" hidden="1">
      <c r="A27" s="4"/>
      <c r="B27" t="s">
        <v>37</v>
      </c>
      <c r="C27" s="1">
        <v>166.7</v>
      </c>
      <c r="D27" s="2" t="str">
        <f>HYPERLINK("https://torgi.gov.ru/new/public/lots/lot/22000043340000000002_1/(lotInfo:info)", "22000043340000000002_1")</f>
        <v>22000043340000000002_1</v>
      </c>
      <c r="E27" t="s">
        <v>165</v>
      </c>
      <c r="F27" s="3">
        <v>3167.3665266946609</v>
      </c>
      <c r="G27" s="3">
        <v>528000</v>
      </c>
      <c r="H27" t="s">
        <v>166</v>
      </c>
      <c r="I27" t="s">
        <v>167</v>
      </c>
      <c r="J27" t="s">
        <v>168</v>
      </c>
      <c r="L27" t="s">
        <v>23</v>
      </c>
      <c r="M27" t="s">
        <v>24</v>
      </c>
    </row>
    <row r="28" spans="1:19" hidden="1">
      <c r="A28" s="4"/>
      <c r="B28" t="s">
        <v>37</v>
      </c>
      <c r="C28" s="1">
        <v>141</v>
      </c>
      <c r="D28" s="2" t="str">
        <f>HYPERLINK("https://torgi.gov.ru/new/public/lots/lot/21000025550000000003_1/(lotInfo:info)", "21000025550000000003_1")</f>
        <v>21000025550000000003_1</v>
      </c>
      <c r="E28" t="s">
        <v>169</v>
      </c>
      <c r="F28" s="3">
        <v>21368.794326241139</v>
      </c>
      <c r="G28" s="3">
        <v>3013000</v>
      </c>
      <c r="H28" t="s">
        <v>170</v>
      </c>
      <c r="I28" t="s">
        <v>171</v>
      </c>
      <c r="J28" t="s">
        <v>172</v>
      </c>
      <c r="L28" t="s">
        <v>23</v>
      </c>
      <c r="M28" t="s">
        <v>35</v>
      </c>
    </row>
    <row r="29" spans="1:19">
      <c r="A29" s="4"/>
      <c r="B29" t="s">
        <v>488</v>
      </c>
      <c r="C29" s="1">
        <v>169.9</v>
      </c>
      <c r="D29" s="2" t="str">
        <f>HYPERLINK("https://torgi.gov.ru/new/public/lots/lot/21000004710000000856_1/(lotInfo:info)", "21000004710000000856_1")</f>
        <v>21000004710000000856_1</v>
      </c>
      <c r="E29" t="s">
        <v>967</v>
      </c>
      <c r="F29" s="3">
        <v>12875.809299587991</v>
      </c>
      <c r="G29" s="3">
        <v>2187600</v>
      </c>
      <c r="H29" t="s">
        <v>968</v>
      </c>
      <c r="I29" t="s">
        <v>969</v>
      </c>
      <c r="J29" t="s">
        <v>970</v>
      </c>
      <c r="K29" s="6">
        <v>1.95</v>
      </c>
      <c r="L29" t="s">
        <v>90</v>
      </c>
      <c r="M29" t="s">
        <v>24</v>
      </c>
      <c r="N29" s="2" t="str">
        <f>HYPERLINK("https://yandex.ru/maps/?&amp;text=56.293163, 38.119316", "56.293163, 38.119316")</f>
        <v>56.293163, 38.119316</v>
      </c>
      <c r="O29" t="s">
        <v>971</v>
      </c>
      <c r="P29" t="s">
        <v>234</v>
      </c>
      <c r="Q29" s="7" t="str">
        <f>HYPERLINK("D:\torgi_project\venv_torgi\cache\objs_in_district/56.293163_38.119316.json", "56.293163_38.119316.json")</f>
        <v>56.293163_38.119316.json</v>
      </c>
      <c r="R29">
        <v>934</v>
      </c>
      <c r="S29" s="6">
        <v>13.79</v>
      </c>
    </row>
    <row r="30" spans="1:19">
      <c r="A30" s="4"/>
      <c r="B30" t="s">
        <v>61</v>
      </c>
      <c r="C30" s="1">
        <v>226.9</v>
      </c>
      <c r="D30" s="2" t="str">
        <f>HYPERLINK("https://torgi.gov.ru/new/public/lots/lot/21000020930000000001_1/(lotInfo:info)", "21000020930000000001_1")</f>
        <v>21000020930000000001_1</v>
      </c>
      <c r="E30" t="s">
        <v>687</v>
      </c>
      <c r="F30" s="3">
        <v>2286.0290877038342</v>
      </c>
      <c r="G30" s="3">
        <v>518700</v>
      </c>
      <c r="H30" t="s">
        <v>688</v>
      </c>
      <c r="I30" t="s">
        <v>689</v>
      </c>
      <c r="J30" t="s">
        <v>690</v>
      </c>
      <c r="K30" s="6">
        <v>1.97</v>
      </c>
      <c r="L30" t="s">
        <v>23</v>
      </c>
      <c r="M30" t="s">
        <v>24</v>
      </c>
      <c r="N30" s="2" t="str">
        <f>HYPERLINK("https://yandex.ru/maps/?&amp;text=57.030083, 40.368214", "57.030083, 40.368214")</f>
        <v>57.030083, 40.368214</v>
      </c>
      <c r="O30" t="s">
        <v>691</v>
      </c>
      <c r="P30" t="s">
        <v>692</v>
      </c>
      <c r="Q30" s="7" t="str">
        <f>HYPERLINK("D:\torgi_project\venv_torgi\cache\objs_in_district/57.030083_40.368214.json", "57.030083_40.368214.json")</f>
        <v>57.030083_40.368214.json</v>
      </c>
      <c r="R30">
        <v>1510</v>
      </c>
      <c r="S30" s="6">
        <v>1.51</v>
      </c>
    </row>
    <row r="31" spans="1:19">
      <c r="A31" s="4"/>
      <c r="B31" t="s">
        <v>415</v>
      </c>
      <c r="C31" s="1">
        <v>223</v>
      </c>
      <c r="D31" s="2" t="str">
        <f>HYPERLINK("https://torgi.gov.ru/new/public/lots/lot/21000016080000000100_1/(lotInfo:info)", "21000016080000000100_1")</f>
        <v>21000016080000000100_1</v>
      </c>
      <c r="E31" t="s">
        <v>854</v>
      </c>
      <c r="F31" s="3">
        <v>2316.1434977578469</v>
      </c>
      <c r="G31" s="3">
        <v>516500</v>
      </c>
      <c r="H31" t="s">
        <v>855</v>
      </c>
      <c r="I31" t="s">
        <v>70</v>
      </c>
      <c r="J31" t="s">
        <v>856</v>
      </c>
      <c r="K31" s="6">
        <v>1.97</v>
      </c>
      <c r="L31" t="s">
        <v>90</v>
      </c>
      <c r="M31" t="s">
        <v>24</v>
      </c>
      <c r="N31" s="2" t="str">
        <f>HYPERLINK("https://yandex.ru/maps/?&amp;text=56.21733, 51.03541", "56.21733, 51.03541")</f>
        <v>56.21733, 51.03541</v>
      </c>
      <c r="O31" t="s">
        <v>857</v>
      </c>
      <c r="P31" t="s">
        <v>430</v>
      </c>
      <c r="Q31" s="7" t="str">
        <f>HYPERLINK("D:\torgi_project\venv_torgi\cache\objs_in_district/56.21733_51.03541.json", "56.21733_51.03541.json")</f>
        <v>56.21733_51.03541.json</v>
      </c>
      <c r="R31">
        <v>1633</v>
      </c>
      <c r="S31" s="6">
        <v>1.42</v>
      </c>
    </row>
    <row r="32" spans="1:19" hidden="1">
      <c r="A32" s="4"/>
      <c r="B32" t="s">
        <v>189</v>
      </c>
      <c r="C32" s="1">
        <v>22.4</v>
      </c>
      <c r="D32" s="2" t="str">
        <f>HYPERLINK("https://torgi.gov.ru/new/public/lots/lot/21000026240000000015_8/(lotInfo:info)", "21000026240000000015_8")</f>
        <v>21000026240000000015_8</v>
      </c>
      <c r="E32" t="s">
        <v>190</v>
      </c>
      <c r="F32" s="3">
        <v>123247.5</v>
      </c>
      <c r="G32" s="3">
        <v>2760744</v>
      </c>
      <c r="H32" t="s">
        <v>191</v>
      </c>
      <c r="I32" t="s">
        <v>186</v>
      </c>
      <c r="J32" t="s">
        <v>192</v>
      </c>
      <c r="L32" t="s">
        <v>23</v>
      </c>
      <c r="M32" t="s">
        <v>24</v>
      </c>
      <c r="N32" s="2" t="str">
        <f>HYPERLINK("https://yandex.ru/maps/?&amp;text=63.018836, 112.468867", "63.018836, 112.468867")</f>
        <v>63.018836, 112.468867</v>
      </c>
      <c r="R32">
        <v>14</v>
      </c>
      <c r="S32" s="6">
        <v>8803.39</v>
      </c>
    </row>
    <row r="33" spans="1:19" hidden="1">
      <c r="A33" s="4"/>
      <c r="B33" t="s">
        <v>189</v>
      </c>
      <c r="C33" s="1">
        <v>114.2</v>
      </c>
      <c r="D33" s="2" t="str">
        <f>HYPERLINK("https://torgi.gov.ru/new/public/lots/lot/21000026240000000015_5/(lotInfo:info)", "21000026240000000015_5")</f>
        <v>21000026240000000015_5</v>
      </c>
      <c r="E33" t="s">
        <v>193</v>
      </c>
      <c r="F33" s="3">
        <v>72638.87915936952</v>
      </c>
      <c r="G33" s="3">
        <v>8295360</v>
      </c>
      <c r="H33" t="s">
        <v>194</v>
      </c>
      <c r="I33" t="s">
        <v>186</v>
      </c>
      <c r="J33" t="s">
        <v>195</v>
      </c>
      <c r="L33" t="s">
        <v>23</v>
      </c>
      <c r="M33" t="s">
        <v>24</v>
      </c>
      <c r="N33" s="2" t="str">
        <f>HYPERLINK("https://yandex.ru/maps/?&amp;text=55.685432, 37.570123", "55.685432, 37.570123")</f>
        <v>55.685432, 37.570123</v>
      </c>
      <c r="R33">
        <v>14945</v>
      </c>
      <c r="S33" s="6">
        <v>4.8600000000000003</v>
      </c>
    </row>
    <row r="34" spans="1:19" hidden="1">
      <c r="A34" s="4"/>
      <c r="B34" t="s">
        <v>189</v>
      </c>
      <c r="C34" s="1">
        <v>124.9</v>
      </c>
      <c r="D34" s="2" t="str">
        <f>HYPERLINK("https://torgi.gov.ru/new/public/lots/lot/21000026240000000015_4/(lotInfo:info)", "21000026240000000015_4")</f>
        <v>21000026240000000015_4</v>
      </c>
      <c r="E34" t="s">
        <v>196</v>
      </c>
      <c r="F34" s="3">
        <v>19091.72137710168</v>
      </c>
      <c r="G34" s="3">
        <v>2384556</v>
      </c>
      <c r="H34" t="s">
        <v>197</v>
      </c>
      <c r="I34" t="s">
        <v>186</v>
      </c>
      <c r="J34" t="s">
        <v>198</v>
      </c>
      <c r="L34" t="s">
        <v>23</v>
      </c>
      <c r="M34" t="s">
        <v>24</v>
      </c>
      <c r="N34" s="2" t="str">
        <f>HYPERLINK("https://yandex.ru/maps/?&amp;text=59.933352, 30.354055", "59.933352, 30.354055")</f>
        <v>59.933352, 30.354055</v>
      </c>
      <c r="R34">
        <v>14514</v>
      </c>
      <c r="S34" s="6">
        <v>1.32</v>
      </c>
    </row>
    <row r="35" spans="1:19">
      <c r="A35" s="4"/>
      <c r="B35" t="s">
        <v>1495</v>
      </c>
      <c r="C35" s="1">
        <v>66.599999999999994</v>
      </c>
      <c r="D35" s="2" t="str">
        <f>HYPERLINK("https://torgi.gov.ru/new/public/lots/lot/21000012550000000012_1/(lotInfo:info)", "21000012550000000012_1")</f>
        <v>21000012550000000012_1</v>
      </c>
      <c r="E35" t="s">
        <v>1522</v>
      </c>
      <c r="F35" s="3">
        <v>18085.585585585592</v>
      </c>
      <c r="G35" s="3">
        <v>1204500</v>
      </c>
      <c r="H35" t="s">
        <v>1523</v>
      </c>
      <c r="I35" t="s">
        <v>1096</v>
      </c>
      <c r="K35" s="6">
        <v>1.98</v>
      </c>
      <c r="L35" t="s">
        <v>90</v>
      </c>
      <c r="M35" t="s">
        <v>24</v>
      </c>
      <c r="N35" s="2" t="str">
        <f>HYPERLINK("https://yandex.ru/maps/?&amp;text=57.55079, 39.937741", "57.55079, 39.937741")</f>
        <v>57.55079, 39.937741</v>
      </c>
      <c r="O35" t="s">
        <v>1524</v>
      </c>
      <c r="P35" t="s">
        <v>234</v>
      </c>
      <c r="Q35" s="7" t="str">
        <f>HYPERLINK("D:\torgi_project\venv_torgi\cache\objs_in_district/57.55079_39.937741.json", "57.55079_39.937741.json")</f>
        <v>57.55079_39.937741.json</v>
      </c>
      <c r="R35">
        <v>2832</v>
      </c>
      <c r="S35" s="6">
        <v>6.39</v>
      </c>
    </row>
    <row r="36" spans="1:19">
      <c r="A36" s="4"/>
      <c r="B36" t="s">
        <v>366</v>
      </c>
      <c r="C36" s="1">
        <v>99.2</v>
      </c>
      <c r="D36" s="2" t="str">
        <f>HYPERLINK("https://torgi.gov.ru/new/public/lots/lot/21000030270000000003_1/(lotInfo:info)", "21000030270000000003_1")</f>
        <v>21000030270000000003_1</v>
      </c>
      <c r="E36" t="s">
        <v>720</v>
      </c>
      <c r="F36" s="3">
        <v>20461.35080645161</v>
      </c>
      <c r="G36" s="3">
        <v>2029766</v>
      </c>
      <c r="H36" t="s">
        <v>721</v>
      </c>
      <c r="I36" t="s">
        <v>722</v>
      </c>
      <c r="J36" t="s">
        <v>723</v>
      </c>
      <c r="K36" s="6">
        <v>2.04</v>
      </c>
      <c r="L36" t="s">
        <v>23</v>
      </c>
      <c r="M36" t="s">
        <v>24</v>
      </c>
      <c r="N36" s="2" t="str">
        <f>HYPERLINK("https://yandex.ru/maps/?&amp;text=57.848919, 114.19763", "57.848919, 114.19763")</f>
        <v>57.848919, 114.19763</v>
      </c>
      <c r="O36" t="s">
        <v>724</v>
      </c>
      <c r="P36" t="s">
        <v>725</v>
      </c>
      <c r="Q36" s="7" t="str">
        <f>HYPERLINK("D:\torgi_project\venv_torgi\cache\objs_in_district/57.848919_114.19763.json", "57.848919_114.19763.json")</f>
        <v>57.848919_114.19763.json</v>
      </c>
      <c r="R36">
        <v>2335</v>
      </c>
      <c r="S36" s="6">
        <v>8.76</v>
      </c>
    </row>
    <row r="37" spans="1:19">
      <c r="A37" s="4"/>
      <c r="B37" t="s">
        <v>673</v>
      </c>
      <c r="C37" s="1">
        <v>310.2</v>
      </c>
      <c r="D37" s="2" t="str">
        <f>HYPERLINK("https://torgi.gov.ru/new/public/lots/lot/22000034760000000039_1/(lotInfo:info)", "22000034760000000039_1")</f>
        <v>22000034760000000039_1</v>
      </c>
      <c r="E37" t="s">
        <v>343</v>
      </c>
      <c r="F37" s="3">
        <v>14775.30625402966</v>
      </c>
      <c r="G37" s="3">
        <v>4583300</v>
      </c>
      <c r="H37" t="s">
        <v>2035</v>
      </c>
      <c r="I37" t="s">
        <v>2036</v>
      </c>
      <c r="J37" t="s">
        <v>2037</v>
      </c>
      <c r="K37" s="6">
        <v>2.0499999999999998</v>
      </c>
      <c r="L37" t="s">
        <v>23</v>
      </c>
      <c r="M37" t="s">
        <v>24</v>
      </c>
      <c r="N37" s="2" t="str">
        <f>HYPERLINK("https://yandex.ru/maps/?&amp;text=48.79526, 132.91965", "48.79526, 132.91965")</f>
        <v>48.79526, 132.91965</v>
      </c>
      <c r="O37" t="s">
        <v>2038</v>
      </c>
      <c r="P37" t="s">
        <v>929</v>
      </c>
      <c r="Q37" s="7" t="str">
        <f>HYPERLINK("D:\torgi_project\venv_torgi\cache\objs_in_district/48.79526_132.91965.json", "48.79526_132.91965.json")</f>
        <v>48.79526_132.91965.json</v>
      </c>
      <c r="R37">
        <v>2057</v>
      </c>
      <c r="S37" s="6">
        <v>7.18</v>
      </c>
    </row>
    <row r="38" spans="1:19">
      <c r="A38" s="4"/>
      <c r="B38" t="s">
        <v>415</v>
      </c>
      <c r="C38" s="1">
        <v>70</v>
      </c>
      <c r="D38" s="2" t="str">
        <f>HYPERLINK("https://torgi.gov.ru/new/public/lots/lot/21000013520000000001_2/(lotInfo:info)", "21000013520000000001_2")</f>
        <v>21000013520000000001_2</v>
      </c>
      <c r="E38" t="s">
        <v>868</v>
      </c>
      <c r="F38" s="3">
        <v>12195</v>
      </c>
      <c r="G38" s="3">
        <v>853650</v>
      </c>
      <c r="H38" t="s">
        <v>869</v>
      </c>
      <c r="I38" t="s">
        <v>870</v>
      </c>
      <c r="J38" t="s">
        <v>871</v>
      </c>
      <c r="K38" s="6">
        <v>2.06</v>
      </c>
      <c r="L38" t="s">
        <v>23</v>
      </c>
      <c r="M38" t="s">
        <v>24</v>
      </c>
      <c r="N38" s="2" t="str">
        <f>HYPERLINK("https://yandex.ru/maps/?&amp;text=58.601987, 49.674248", "58.601987, 49.674248")</f>
        <v>58.601987, 49.674248</v>
      </c>
      <c r="O38" t="s">
        <v>872</v>
      </c>
      <c r="P38" t="s">
        <v>61</v>
      </c>
      <c r="Q38" s="7" t="str">
        <f>HYPERLINK("D:\torgi_project\venv_torgi\cache\objs_in_district/58.601987_49.674248.json", "58.601987_49.674248.json")</f>
        <v>58.601987_49.674248.json</v>
      </c>
      <c r="R38">
        <v>4603</v>
      </c>
      <c r="S38" s="6">
        <v>2.65</v>
      </c>
    </row>
    <row r="39" spans="1:19" hidden="1">
      <c r="A39" s="4"/>
      <c r="B39" t="s">
        <v>216</v>
      </c>
      <c r="C39" s="1">
        <v>51.4</v>
      </c>
      <c r="D39" s="2" t="str">
        <f>HYPERLINK("https://torgi.gov.ru/new/public/lots/lot/21000005540000000005_1/(lotInfo:info)", "21000005540000000005_1")</f>
        <v>21000005540000000005_1</v>
      </c>
      <c r="E39" t="s">
        <v>223</v>
      </c>
      <c r="F39" s="3">
        <v>34840.466926070039</v>
      </c>
      <c r="G39" s="3">
        <v>1790800</v>
      </c>
      <c r="H39" t="s">
        <v>224</v>
      </c>
      <c r="I39" t="s">
        <v>225</v>
      </c>
      <c r="J39" t="s">
        <v>226</v>
      </c>
      <c r="L39" t="s">
        <v>23</v>
      </c>
      <c r="M39" t="s">
        <v>24</v>
      </c>
    </row>
    <row r="40" spans="1:19">
      <c r="A40" s="4"/>
      <c r="B40" t="s">
        <v>415</v>
      </c>
      <c r="C40" s="1">
        <v>69.900000000000006</v>
      </c>
      <c r="D40" s="2" t="str">
        <f>HYPERLINK("https://torgi.gov.ru/new/public/lots/lot/21000013520000000001_3/(lotInfo:info)", "21000013520000000001_3")</f>
        <v>21000013520000000001_3</v>
      </c>
      <c r="E40" t="s">
        <v>873</v>
      </c>
      <c r="F40" s="3">
        <v>12197.424892703861</v>
      </c>
      <c r="G40" s="3">
        <v>852600</v>
      </c>
      <c r="H40" t="s">
        <v>869</v>
      </c>
      <c r="I40" t="s">
        <v>870</v>
      </c>
      <c r="J40" t="s">
        <v>874</v>
      </c>
      <c r="K40" s="6">
        <v>2.06</v>
      </c>
      <c r="L40" t="s">
        <v>23</v>
      </c>
      <c r="M40" t="s">
        <v>24</v>
      </c>
      <c r="N40" s="2" t="str">
        <f>HYPERLINK("https://yandex.ru/maps/?&amp;text=58.601987, 49.674248", "58.601987, 49.674248")</f>
        <v>58.601987, 49.674248</v>
      </c>
      <c r="O40" t="s">
        <v>872</v>
      </c>
      <c r="P40" t="s">
        <v>61</v>
      </c>
      <c r="Q40" s="7" t="str">
        <f>HYPERLINK("D:\torgi_project\venv_torgi\cache\objs_in_district/58.601987_49.674248.json", "58.601987_49.674248.json")</f>
        <v>58.601987_49.674248.json</v>
      </c>
      <c r="R40">
        <v>4603</v>
      </c>
      <c r="S40" s="6">
        <v>2.65</v>
      </c>
    </row>
    <row r="41" spans="1:19" hidden="1">
      <c r="A41" s="4"/>
      <c r="B41" t="s">
        <v>234</v>
      </c>
      <c r="C41" s="1">
        <v>271</v>
      </c>
      <c r="D41" s="2" t="str">
        <f>HYPERLINK("https://torgi.gov.ru/new/public/lots/lot/22000037220000000034_1/(lotInfo:info)", "22000037220000000034_1")</f>
        <v>22000037220000000034_1</v>
      </c>
      <c r="E41" t="s">
        <v>235</v>
      </c>
      <c r="F41" s="3">
        <v>1936.3201107011071</v>
      </c>
      <c r="G41" s="3">
        <v>524742.75</v>
      </c>
      <c r="H41" t="s">
        <v>236</v>
      </c>
      <c r="I41" t="s">
        <v>237</v>
      </c>
      <c r="J41" t="s">
        <v>238</v>
      </c>
      <c r="L41" t="s">
        <v>23</v>
      </c>
      <c r="M41" t="s">
        <v>24</v>
      </c>
      <c r="N41" s="2" t="str">
        <f>HYPERLINK("https://yandex.ru/maps/?&amp;text=43.196626,  45.779665", "43.196626,  45.779665")</f>
        <v>43.196626,  45.779665</v>
      </c>
      <c r="R41">
        <v>2574</v>
      </c>
      <c r="S41" s="6">
        <v>0.75</v>
      </c>
    </row>
    <row r="42" spans="1:19" hidden="1">
      <c r="A42" s="4"/>
      <c r="B42" t="s">
        <v>234</v>
      </c>
      <c r="C42" s="1">
        <v>428.8</v>
      </c>
      <c r="D42" s="2" t="str">
        <f>HYPERLINK("https://torgi.gov.ru/new/public/lots/lot/22000037220000000031_1/(lotInfo:info)", "22000037220000000031_1")</f>
        <v>22000037220000000031_1</v>
      </c>
      <c r="E42" t="s">
        <v>235</v>
      </c>
      <c r="F42" s="3">
        <v>9794.7761194029845</v>
      </c>
      <c r="G42" s="3">
        <v>4200000</v>
      </c>
      <c r="H42" t="s">
        <v>239</v>
      </c>
      <c r="I42" t="s">
        <v>237</v>
      </c>
      <c r="J42" t="s">
        <v>240</v>
      </c>
      <c r="L42" t="s">
        <v>23</v>
      </c>
      <c r="M42" t="s">
        <v>24</v>
      </c>
    </row>
    <row r="43" spans="1:19">
      <c r="A43" s="4"/>
      <c r="B43" t="s">
        <v>415</v>
      </c>
      <c r="C43" s="1">
        <v>52.5</v>
      </c>
      <c r="D43" s="2" t="str">
        <f>HYPERLINK("https://torgi.gov.ru/new/public/lots/lot/21000013520000000001_1/(lotInfo:info)", "21000013520000000001_1")</f>
        <v>21000013520000000001_1</v>
      </c>
      <c r="E43" t="s">
        <v>875</v>
      </c>
      <c r="F43" s="3">
        <v>12200</v>
      </c>
      <c r="G43" s="3">
        <v>640500</v>
      </c>
      <c r="H43" t="s">
        <v>869</v>
      </c>
      <c r="I43" t="s">
        <v>870</v>
      </c>
      <c r="J43" t="s">
        <v>876</v>
      </c>
      <c r="K43" s="6">
        <v>2.06</v>
      </c>
      <c r="L43" t="s">
        <v>23</v>
      </c>
      <c r="M43" t="s">
        <v>24</v>
      </c>
      <c r="N43" s="2" t="str">
        <f>HYPERLINK("https://yandex.ru/maps/?&amp;text=58.601987, 49.674248", "58.601987, 49.674248")</f>
        <v>58.601987, 49.674248</v>
      </c>
      <c r="O43" t="s">
        <v>872</v>
      </c>
      <c r="P43" t="s">
        <v>61</v>
      </c>
      <c r="Q43" s="7" t="str">
        <f>HYPERLINK("D:\torgi_project\venv_torgi\cache\objs_in_district/58.601987_49.674248.json", "58.601987_49.674248.json")</f>
        <v>58.601987_49.674248.json</v>
      </c>
      <c r="R43">
        <v>4603</v>
      </c>
      <c r="S43" s="6">
        <v>2.65</v>
      </c>
    </row>
    <row r="44" spans="1:19">
      <c r="A44" s="4"/>
      <c r="B44" t="s">
        <v>241</v>
      </c>
      <c r="C44" s="1">
        <v>171</v>
      </c>
      <c r="D44" s="2" t="str">
        <f>HYPERLINK("https://torgi.gov.ru/new/public/lots/lot/21000010370000000036_1/(lotInfo:info)", "21000010370000000036_1")</f>
        <v>21000010370000000036_1</v>
      </c>
      <c r="E44" t="s">
        <v>258</v>
      </c>
      <c r="F44" s="3">
        <v>12980.701754385969</v>
      </c>
      <c r="G44" s="3">
        <v>2219700</v>
      </c>
      <c r="H44" t="s">
        <v>259</v>
      </c>
      <c r="I44" t="s">
        <v>260</v>
      </c>
      <c r="J44" t="s">
        <v>261</v>
      </c>
      <c r="K44" s="6">
        <v>2.17</v>
      </c>
      <c r="L44" t="s">
        <v>90</v>
      </c>
      <c r="M44" t="s">
        <v>24</v>
      </c>
      <c r="N44" s="2" t="str">
        <f>HYPERLINK("https://yandex.ru/maps/?&amp;text=56.095072, 47.275486", "56.095072, 47.275486")</f>
        <v>56.095072, 47.275486</v>
      </c>
      <c r="O44" t="s">
        <v>262</v>
      </c>
      <c r="P44" t="s">
        <v>263</v>
      </c>
      <c r="Q44" s="7" t="str">
        <f>HYPERLINK("D:\torgi_project\venv_torgi\cache\objs_in_district/56.095072_47.275486.json", "56.095072_47.275486.json")</f>
        <v>56.095072_47.275486.json</v>
      </c>
      <c r="R44">
        <v>5453</v>
      </c>
      <c r="S44" s="6">
        <v>2.38</v>
      </c>
    </row>
    <row r="45" spans="1:19">
      <c r="A45" s="4"/>
      <c r="B45" t="s">
        <v>27</v>
      </c>
      <c r="C45" s="1">
        <v>574.20000000000005</v>
      </c>
      <c r="D45" s="2" t="str">
        <f>HYPERLINK("https://torgi.gov.ru/new/public/lots/lot/22000036990000000001_1/(lotInfo:info)", "22000036990000000001_1")</f>
        <v>22000036990000000001_1</v>
      </c>
      <c r="E45" t="s">
        <v>86</v>
      </c>
      <c r="F45" s="3">
        <v>13431.731104144899</v>
      </c>
      <c r="G45" s="3">
        <v>7712500</v>
      </c>
      <c r="H45" t="s">
        <v>87</v>
      </c>
      <c r="I45" t="s">
        <v>88</v>
      </c>
      <c r="J45" t="s">
        <v>89</v>
      </c>
      <c r="K45" s="6">
        <v>2.23</v>
      </c>
      <c r="L45" t="s">
        <v>90</v>
      </c>
      <c r="M45" t="s">
        <v>24</v>
      </c>
      <c r="N45" s="2" t="str">
        <f>HYPERLINK("https://yandex.ru/maps/?&amp;text=54.48299, 53.46805", "54.48299, 53.46805")</f>
        <v>54.48299, 53.46805</v>
      </c>
      <c r="O45" t="s">
        <v>91</v>
      </c>
      <c r="P45" t="s">
        <v>92</v>
      </c>
      <c r="Q45" s="7" t="str">
        <f>HYPERLINK("D:\torgi_project\venv_torgi\cache\objs_in_district/54.48299_53.46805.json", "54.48299_53.46805.json")</f>
        <v>54.48299_53.46805.json</v>
      </c>
      <c r="R45">
        <v>3892</v>
      </c>
      <c r="S45" s="6">
        <v>3.45</v>
      </c>
    </row>
    <row r="46" spans="1:19">
      <c r="A46" s="4"/>
      <c r="B46" t="s">
        <v>790</v>
      </c>
      <c r="C46" s="1">
        <v>642.6</v>
      </c>
      <c r="D46" s="2" t="str">
        <f>HYPERLINK("https://torgi.gov.ru/new/public/lots/lot/22000011690000000016_3/(lotInfo:info)", "22000011690000000016_3")</f>
        <v>22000011690000000016_3</v>
      </c>
      <c r="E46" t="s">
        <v>1021</v>
      </c>
      <c r="F46" s="3">
        <v>4979.7696856520388</v>
      </c>
      <c r="G46" s="3">
        <v>3200000</v>
      </c>
      <c r="H46" t="s">
        <v>1022</v>
      </c>
      <c r="I46" t="s">
        <v>1023</v>
      </c>
      <c r="J46" t="s">
        <v>1024</v>
      </c>
      <c r="K46" s="6">
        <v>2.23</v>
      </c>
      <c r="L46" t="s">
        <v>23</v>
      </c>
      <c r="M46" t="s">
        <v>24</v>
      </c>
      <c r="N46" s="2" t="str">
        <f>HYPERLINK("https://yandex.ru/maps/?&amp;text=67.661255, 33.721024", "67.661255, 33.721024")</f>
        <v>67.661255, 33.721024</v>
      </c>
      <c r="O46" t="s">
        <v>1025</v>
      </c>
      <c r="P46" t="s">
        <v>152</v>
      </c>
      <c r="Q46" s="7" t="str">
        <f>HYPERLINK("D:\torgi_project\venv_torgi\cache\objs_in_district/67.661255_33.721024.json", "67.661255_33.721024.json")</f>
        <v>67.661255_33.721024.json</v>
      </c>
      <c r="R46">
        <v>337</v>
      </c>
      <c r="S46" s="6">
        <v>14.78</v>
      </c>
    </row>
    <row r="47" spans="1:19">
      <c r="A47" s="4"/>
      <c r="B47" t="s">
        <v>1115</v>
      </c>
      <c r="C47" s="1">
        <v>515.5</v>
      </c>
      <c r="D47" s="2" t="str">
        <f>HYPERLINK("https://torgi.gov.ru/new/public/lots/lot/21000030710000000003_1/(lotInfo:info)", "21000030710000000003_1")</f>
        <v>21000030710000000003_1</v>
      </c>
      <c r="E47" t="s">
        <v>1121</v>
      </c>
      <c r="F47" s="3">
        <v>1180.3491755577111</v>
      </c>
      <c r="G47" s="3">
        <v>608470</v>
      </c>
      <c r="H47" t="s">
        <v>1122</v>
      </c>
      <c r="I47" t="s">
        <v>1123</v>
      </c>
      <c r="J47" t="s">
        <v>1124</v>
      </c>
      <c r="K47" s="6">
        <v>2.2599999999999998</v>
      </c>
      <c r="L47" t="s">
        <v>23</v>
      </c>
      <c r="M47" t="s">
        <v>24</v>
      </c>
      <c r="N47" s="2" t="str">
        <f>HYPERLINK("https://yandex.ru/maps/?&amp;text=54.225822, 83.39888", "54.225822, 83.39888")</f>
        <v>54.225822, 83.39888</v>
      </c>
      <c r="O47" t="s">
        <v>1125</v>
      </c>
      <c r="P47" t="s">
        <v>67</v>
      </c>
      <c r="Q47" s="7" t="str">
        <f>HYPERLINK("D:\torgi_project\venv_torgi\cache\objs_in_district/54.225822_83.39888.json", "54.225822_83.39888.json")</f>
        <v>54.225822_83.39888.json</v>
      </c>
      <c r="R47">
        <v>983</v>
      </c>
      <c r="S47" s="6">
        <v>1.2</v>
      </c>
    </row>
    <row r="48" spans="1:19">
      <c r="A48" s="4"/>
      <c r="B48" t="s">
        <v>513</v>
      </c>
      <c r="C48" s="1">
        <v>105.3</v>
      </c>
      <c r="D48" s="2" t="str">
        <f>HYPERLINK("https://torgi.gov.ru/new/public/lots/lot/21000008500000000063_1/(lotInfo:info)", "21000008500000000063_1")</f>
        <v>21000008500000000063_1</v>
      </c>
      <c r="E48" t="s">
        <v>523</v>
      </c>
      <c r="F48" s="3">
        <v>15669.515669515669</v>
      </c>
      <c r="G48" s="3">
        <v>1650000</v>
      </c>
      <c r="H48" t="s">
        <v>524</v>
      </c>
      <c r="I48" t="s">
        <v>525</v>
      </c>
      <c r="J48" t="s">
        <v>526</v>
      </c>
      <c r="K48" s="6">
        <v>2.27</v>
      </c>
      <c r="L48" t="s">
        <v>23</v>
      </c>
      <c r="M48" t="s">
        <v>24</v>
      </c>
      <c r="N48" s="2" t="str">
        <f>HYPERLINK("https://yandex.ru/maps/?&amp;text=53.304996, 34.2944", "53.304996, 34.2944")</f>
        <v>53.304996, 34.2944</v>
      </c>
      <c r="O48" t="s">
        <v>527</v>
      </c>
      <c r="P48" t="s">
        <v>178</v>
      </c>
      <c r="Q48" s="7" t="str">
        <f>HYPERLINK("D:\torgi_project\venv_torgi\cache\objs_in_district/53.304996_34.2944.json", "53.304996_34.2944.json")</f>
        <v>53.304996_34.2944.json</v>
      </c>
      <c r="R48">
        <v>958</v>
      </c>
      <c r="S48" s="6">
        <v>16.36</v>
      </c>
    </row>
    <row r="49" spans="1:19">
      <c r="A49" s="4"/>
      <c r="B49" t="s">
        <v>381</v>
      </c>
      <c r="C49" s="1">
        <v>18.5</v>
      </c>
      <c r="D49" s="2" t="str">
        <f>HYPERLINK("https://torgi.gov.ru/new/public/lots/lot/22000104060000000019_4/(lotInfo:info)", "22000104060000000019_4")</f>
        <v>22000104060000000019_4</v>
      </c>
      <c r="E49" t="s">
        <v>382</v>
      </c>
      <c r="F49" s="3">
        <v>29334.59459459459</v>
      </c>
      <c r="G49" s="3">
        <v>542690</v>
      </c>
      <c r="H49" t="s">
        <v>383</v>
      </c>
      <c r="I49" t="s">
        <v>384</v>
      </c>
      <c r="J49" t="s">
        <v>385</v>
      </c>
      <c r="K49" s="6">
        <v>2.3199999999999998</v>
      </c>
      <c r="L49" t="s">
        <v>23</v>
      </c>
      <c r="M49" t="s">
        <v>35</v>
      </c>
      <c r="N49" s="2" t="str">
        <f>HYPERLINK("https://yandex.ru/maps/?&amp;text=43.158554, 131.92978", "43.158554, 131.92978")</f>
        <v>43.158554, 131.92978</v>
      </c>
      <c r="O49" t="s">
        <v>386</v>
      </c>
      <c r="P49" t="s">
        <v>387</v>
      </c>
      <c r="Q49" s="7" t="str">
        <f>HYPERLINK("D:\torgi_project\venv_torgi\cache\objs_in_district/43.158554_131.92978.json", "43.158554_131.92978.json")</f>
        <v>43.158554_131.92978.json</v>
      </c>
      <c r="R49">
        <v>3566</v>
      </c>
      <c r="S49" s="6">
        <v>8.23</v>
      </c>
    </row>
    <row r="50" spans="1:19">
      <c r="A50" s="4"/>
      <c r="B50" t="s">
        <v>92</v>
      </c>
      <c r="C50" s="1">
        <v>630.29999999999995</v>
      </c>
      <c r="D50" s="2" t="str">
        <f>HYPERLINK("https://torgi.gov.ru/new/public/lots/lot/22000005110000000002_1/(lotInfo:info)", "22000005110000000002_1")</f>
        <v>22000005110000000002_1</v>
      </c>
      <c r="E50" t="s">
        <v>877</v>
      </c>
      <c r="F50" s="3">
        <v>5287.9581151832463</v>
      </c>
      <c r="G50" s="3">
        <v>3333000</v>
      </c>
      <c r="H50" t="s">
        <v>878</v>
      </c>
      <c r="I50" t="s">
        <v>879</v>
      </c>
      <c r="J50" t="s">
        <v>880</v>
      </c>
      <c r="K50" s="6">
        <v>2.3199999999999998</v>
      </c>
      <c r="L50" t="s">
        <v>23</v>
      </c>
      <c r="M50" t="s">
        <v>24</v>
      </c>
      <c r="N50" s="2" t="str">
        <f>HYPERLINK("https://yandex.ru/maps/?&amp;text=58.477207, 41.544135", "58.477207, 41.544135")</f>
        <v>58.477207, 41.544135</v>
      </c>
      <c r="O50" t="s">
        <v>881</v>
      </c>
      <c r="P50" t="s">
        <v>513</v>
      </c>
      <c r="Q50" s="7" t="str">
        <f>HYPERLINK("D:\torgi_project\venv_torgi\cache\objs_in_district/58.477207_41.544135.json", "58.477207_41.544135.json")</f>
        <v>58.477207_41.544135.json</v>
      </c>
      <c r="R50">
        <v>1237</v>
      </c>
      <c r="S50" s="6">
        <v>4.2699999999999996</v>
      </c>
    </row>
    <row r="51" spans="1:19">
      <c r="A51" s="4"/>
      <c r="B51" t="s">
        <v>508</v>
      </c>
      <c r="C51" s="1">
        <v>78.2</v>
      </c>
      <c r="D51" s="2" t="str">
        <f>HYPERLINK("https://torgi.gov.ru/new/public/lots/lot/21000012310000000004_4/(lotInfo:info)", "21000012310000000004_4")</f>
        <v>21000012310000000004_4</v>
      </c>
      <c r="E51" t="s">
        <v>1237</v>
      </c>
      <c r="F51" s="3">
        <v>8343.9897698209716</v>
      </c>
      <c r="G51" s="3">
        <v>652500</v>
      </c>
      <c r="H51" t="s">
        <v>1238</v>
      </c>
      <c r="I51" t="s">
        <v>1234</v>
      </c>
      <c r="J51" t="s">
        <v>1239</v>
      </c>
      <c r="K51" s="6">
        <v>2.38</v>
      </c>
      <c r="L51" t="s">
        <v>23</v>
      </c>
      <c r="M51" t="s">
        <v>24</v>
      </c>
      <c r="N51" s="2" t="str">
        <f>HYPERLINK("https://yandex.ru/maps/?&amp;text=58.13516, 56.381195", "58.13516, 56.381195")</f>
        <v>58.13516, 56.381195</v>
      </c>
      <c r="O51" t="s">
        <v>1240</v>
      </c>
      <c r="P51" t="s">
        <v>118</v>
      </c>
      <c r="Q51" s="7" t="str">
        <f>HYPERLINK("D:\torgi_project\venv_torgi\cache\objs_in_district/58.13516_56.381195.json", "58.13516_56.381195.json")</f>
        <v>58.13516_56.381195.json</v>
      </c>
      <c r="R51">
        <v>1653</v>
      </c>
      <c r="S51" s="6">
        <v>5.05</v>
      </c>
    </row>
    <row r="52" spans="1:19">
      <c r="A52" s="4"/>
      <c r="B52" t="s">
        <v>158</v>
      </c>
      <c r="C52" s="1">
        <v>622.1</v>
      </c>
      <c r="D52" s="2" t="str">
        <f>HYPERLINK("https://torgi.gov.ru/new/public/lots/lot/22000036740000000002_1/(lotInfo:info)", "22000036740000000002_1")</f>
        <v>22000036740000000002_1</v>
      </c>
      <c r="E52" t="s">
        <v>624</v>
      </c>
      <c r="F52" s="3">
        <v>6285.1631570487061</v>
      </c>
      <c r="G52" s="3">
        <v>3910000</v>
      </c>
      <c r="H52" t="s">
        <v>625</v>
      </c>
      <c r="I52" t="s">
        <v>626</v>
      </c>
      <c r="J52" t="s">
        <v>627</v>
      </c>
      <c r="K52" s="6">
        <v>2.42</v>
      </c>
      <c r="L52" t="s">
        <v>23</v>
      </c>
      <c r="M52" t="s">
        <v>24</v>
      </c>
      <c r="N52" s="2" t="str">
        <f>HYPERLINK("https://yandex.ru/maps/?&amp;text=59.456734, 40.124454", "59.456734, 40.124454")</f>
        <v>59.456734, 40.124454</v>
      </c>
      <c r="O52" t="s">
        <v>628</v>
      </c>
      <c r="P52" t="s">
        <v>183</v>
      </c>
      <c r="Q52" s="7" t="str">
        <f>HYPERLINK("D:\torgi_project\venv_torgi\cache\objs_in_district/59.456734_40.124454.json", "59.456734_40.124454.json")</f>
        <v>59.456734_40.124454.json</v>
      </c>
      <c r="R52">
        <v>1447</v>
      </c>
      <c r="S52" s="6">
        <v>4.34</v>
      </c>
    </row>
    <row r="53" spans="1:19">
      <c r="A53" s="4"/>
      <c r="B53" t="s">
        <v>318</v>
      </c>
      <c r="C53" s="1">
        <v>33.700000000000003</v>
      </c>
      <c r="D53" s="2" t="str">
        <f>HYPERLINK("https://torgi.gov.ru/new/public/lots/lot/21000014400000000005_5/(lotInfo:info)", "21000014400000000005_5")</f>
        <v>21000014400000000005_5</v>
      </c>
      <c r="E53" t="s">
        <v>1391</v>
      </c>
      <c r="F53" s="3">
        <v>17431.988130563801</v>
      </c>
      <c r="G53" s="3">
        <v>587458</v>
      </c>
      <c r="H53" t="s">
        <v>1069</v>
      </c>
      <c r="I53" t="s">
        <v>282</v>
      </c>
      <c r="J53" t="s">
        <v>1392</v>
      </c>
      <c r="K53" s="6">
        <v>2.4300000000000002</v>
      </c>
      <c r="L53" t="s">
        <v>23</v>
      </c>
      <c r="M53" t="s">
        <v>24</v>
      </c>
      <c r="N53" s="2" t="str">
        <f>HYPERLINK("https://yandex.ru/maps/?&amp;text=56.839527, 35.93424", "56.839527, 35.93424")</f>
        <v>56.839527, 35.93424</v>
      </c>
      <c r="O53" t="s">
        <v>1071</v>
      </c>
      <c r="P53" t="s">
        <v>1072</v>
      </c>
      <c r="Q53" s="7" t="str">
        <f>HYPERLINK("D:\torgi_project\venv_torgi\cache\objs_in_district/56.839527_35.93424.json", "56.839527_35.93424.json")</f>
        <v>56.839527_35.93424.json</v>
      </c>
      <c r="R53">
        <v>3056</v>
      </c>
      <c r="S53" s="6">
        <v>5.7</v>
      </c>
    </row>
    <row r="54" spans="1:19">
      <c r="A54" s="4"/>
      <c r="B54" t="s">
        <v>508</v>
      </c>
      <c r="C54" s="1">
        <v>48.5</v>
      </c>
      <c r="D54" s="2" t="str">
        <f>HYPERLINK("https://torgi.gov.ru/new/public/lots/lot/21000012310000000004_3/(lotInfo:info)", "21000012310000000004_3")</f>
        <v>21000012310000000004_3</v>
      </c>
      <c r="E54" t="s">
        <v>1232</v>
      </c>
      <c r="F54" s="3">
        <v>16494.84536082474</v>
      </c>
      <c r="G54" s="3">
        <v>800000</v>
      </c>
      <c r="H54" t="s">
        <v>1233</v>
      </c>
      <c r="I54" t="s">
        <v>1234</v>
      </c>
      <c r="J54" t="s">
        <v>1235</v>
      </c>
      <c r="K54" s="6">
        <v>2.4500000000000002</v>
      </c>
      <c r="L54" t="s">
        <v>23</v>
      </c>
      <c r="M54" t="s">
        <v>24</v>
      </c>
      <c r="N54" s="2" t="str">
        <f>HYPERLINK("https://yandex.ru/maps/?&amp;text=58.107048, 56.298634", "58.107048, 56.298634")</f>
        <v>58.107048, 56.298634</v>
      </c>
      <c r="O54" t="s">
        <v>1236</v>
      </c>
      <c r="P54" t="s">
        <v>107</v>
      </c>
      <c r="Q54" s="7" t="str">
        <f>HYPERLINK("D:\torgi_project\venv_torgi\cache\objs_in_district/58.107048_56.298634.json", "58.107048_56.298634.json")</f>
        <v>58.107048_56.298634.json</v>
      </c>
      <c r="R54">
        <v>1812</v>
      </c>
      <c r="S54" s="6">
        <v>9.1</v>
      </c>
    </row>
    <row r="55" spans="1:19">
      <c r="A55" s="4"/>
      <c r="B55" t="s">
        <v>403</v>
      </c>
      <c r="C55" s="1">
        <v>449.7</v>
      </c>
      <c r="D55" s="2" t="str">
        <f>HYPERLINK("https://torgi.gov.ru/new/public/lots/lot/22000083180000000002_1/(lotInfo:info)", "22000083180000000002_1")</f>
        <v>22000083180000000002_1</v>
      </c>
      <c r="E55" t="s">
        <v>1135</v>
      </c>
      <c r="F55" s="3">
        <v>7827.4405158994887</v>
      </c>
      <c r="G55" s="3">
        <v>3520000</v>
      </c>
      <c r="H55" t="s">
        <v>1136</v>
      </c>
      <c r="I55" t="s">
        <v>1137</v>
      </c>
      <c r="J55" t="s">
        <v>1138</v>
      </c>
      <c r="K55" s="6">
        <v>2.61</v>
      </c>
      <c r="L55" t="s">
        <v>23</v>
      </c>
      <c r="M55" t="s">
        <v>24</v>
      </c>
      <c r="N55" s="2" t="str">
        <f>HYPERLINK("https://yandex.ru/maps/?&amp;text=55.018154, 73.578786", "55.018154, 73.578786")</f>
        <v>55.018154, 73.578786</v>
      </c>
      <c r="O55" t="s">
        <v>1139</v>
      </c>
      <c r="P55" t="s">
        <v>178</v>
      </c>
      <c r="Q55" s="7" t="str">
        <f>HYPERLINK("D:\torgi_project\venv_torgi\cache\objs_in_district/55.018154_73.578786.json", "55.018154_73.578786.json")</f>
        <v>55.018154_73.578786.json</v>
      </c>
      <c r="R55">
        <v>578</v>
      </c>
      <c r="S55" s="6">
        <v>13.54</v>
      </c>
    </row>
    <row r="56" spans="1:19">
      <c r="A56" s="4"/>
      <c r="B56" t="s">
        <v>513</v>
      </c>
      <c r="C56" s="1">
        <v>37.6</v>
      </c>
      <c r="D56" s="2" t="str">
        <f>HYPERLINK("https://torgi.gov.ru/new/public/lots/lot/21000008500000000083_1/(lotInfo:info)", "21000008500000000083_1")</f>
        <v>21000008500000000083_1</v>
      </c>
      <c r="E56" t="s">
        <v>518</v>
      </c>
      <c r="F56" s="3">
        <v>26063.829787234041</v>
      </c>
      <c r="G56" s="3">
        <v>980000</v>
      </c>
      <c r="H56" t="s">
        <v>519</v>
      </c>
      <c r="I56" t="s">
        <v>520</v>
      </c>
      <c r="J56" t="s">
        <v>521</v>
      </c>
      <c r="K56" s="6">
        <v>2.68</v>
      </c>
      <c r="L56" t="s">
        <v>23</v>
      </c>
      <c r="M56" t="s">
        <v>24</v>
      </c>
      <c r="N56" s="2" t="str">
        <f>HYPERLINK("https://yandex.ru/maps/?&amp;text=53.301632, 34.29324", "53.301632, 34.29324")</f>
        <v>53.301632, 34.29324</v>
      </c>
      <c r="O56" t="s">
        <v>522</v>
      </c>
      <c r="P56" t="s">
        <v>313</v>
      </c>
      <c r="Q56" s="7" t="str">
        <f>HYPERLINK("D:\torgi_project\venv_torgi\cache\objs_in_district/53.301632_34.29324.json", "53.301632_34.29324.json")</f>
        <v>53.301632_34.29324.json</v>
      </c>
      <c r="R56">
        <v>958</v>
      </c>
      <c r="S56" s="6">
        <v>27.21</v>
      </c>
    </row>
    <row r="57" spans="1:19">
      <c r="A57" s="4"/>
      <c r="B57" t="s">
        <v>508</v>
      </c>
      <c r="C57" s="1">
        <v>205.3</v>
      </c>
      <c r="D57" s="2" t="str">
        <f>HYPERLINK("https://torgi.gov.ru/new/public/lots/lot/22000013150000000007_1/(lotInfo:info)", "22000013150000000007_1")</f>
        <v>22000013150000000007_1</v>
      </c>
      <c r="E57" t="s">
        <v>1212</v>
      </c>
      <c r="F57" s="3">
        <v>7837.3112518265943</v>
      </c>
      <c r="G57" s="3">
        <v>1609000</v>
      </c>
      <c r="H57" t="s">
        <v>1213</v>
      </c>
      <c r="I57" t="s">
        <v>1214</v>
      </c>
      <c r="J57" t="s">
        <v>1215</v>
      </c>
      <c r="K57" s="6">
        <v>2.68</v>
      </c>
      <c r="L57" t="s">
        <v>23</v>
      </c>
      <c r="M57" t="s">
        <v>24</v>
      </c>
      <c r="N57" s="2" t="str">
        <f>HYPERLINK("https://yandex.ru/maps/?&amp;text=59.640835, 56.749783", "59.640835, 56.749783")</f>
        <v>59.640835, 56.749783</v>
      </c>
      <c r="O57" t="s">
        <v>1216</v>
      </c>
      <c r="P57" t="s">
        <v>291</v>
      </c>
      <c r="Q57" s="7" t="str">
        <f>HYPERLINK("D:\torgi_project\venv_torgi\cache\objs_in_district/59.640835_56.749783.json", "59.640835_56.749783.json")</f>
        <v>59.640835_56.749783.json</v>
      </c>
      <c r="R57">
        <v>928</v>
      </c>
      <c r="S57" s="6">
        <v>8.4499999999999993</v>
      </c>
    </row>
    <row r="58" spans="1:19">
      <c r="A58" s="4"/>
      <c r="B58" t="s">
        <v>1438</v>
      </c>
      <c r="C58" s="1">
        <v>122.8</v>
      </c>
      <c r="D58" s="2" t="str">
        <f>HYPERLINK("https://torgi.gov.ru/new/public/lots/lot/21000034280000000004_1/(lotInfo:info)", "21000034280000000004_1")</f>
        <v>21000034280000000004_1</v>
      </c>
      <c r="E58" t="s">
        <v>1489</v>
      </c>
      <c r="F58" s="3">
        <v>4175.8957654723126</v>
      </c>
      <c r="G58" s="3">
        <v>512800</v>
      </c>
      <c r="H58" t="s">
        <v>1490</v>
      </c>
      <c r="I58" t="s">
        <v>1491</v>
      </c>
      <c r="K58" s="6">
        <v>2.72</v>
      </c>
      <c r="L58" t="s">
        <v>90</v>
      </c>
      <c r="M58" t="s">
        <v>24</v>
      </c>
      <c r="N58" s="2" t="str">
        <f>HYPERLINK("https://yandex.ru/maps/?&amp;text=55.899684, 60.735914", "55.899684, 60.735914")</f>
        <v>55.899684, 60.735914</v>
      </c>
      <c r="O58" t="s">
        <v>1492</v>
      </c>
      <c r="P58" t="s">
        <v>151</v>
      </c>
      <c r="Q58" s="7" t="str">
        <f>HYPERLINK("D:\torgi_project\venv_torgi\cache\objs_in_district/55.899684_60.735914.json", "55.899684_60.735914.json")</f>
        <v>55.899684_60.735914.json</v>
      </c>
      <c r="R58">
        <v>672</v>
      </c>
      <c r="S58" s="6">
        <v>6.21</v>
      </c>
    </row>
    <row r="59" spans="1:19">
      <c r="A59" s="4"/>
      <c r="B59" t="s">
        <v>290</v>
      </c>
      <c r="C59" s="1">
        <v>212.6</v>
      </c>
      <c r="D59" s="2" t="str">
        <f>HYPERLINK("https://torgi.gov.ru/new/public/lots/lot/21000017500000000091_1/(lotInfo:info)", "21000017500000000091_1")</f>
        <v>21000017500000000091_1</v>
      </c>
      <c r="E59" t="s">
        <v>1104</v>
      </c>
      <c r="F59" s="3">
        <v>2953.1044214487301</v>
      </c>
      <c r="G59" s="3">
        <v>627830</v>
      </c>
      <c r="H59" t="s">
        <v>1105</v>
      </c>
      <c r="I59" t="s">
        <v>1106</v>
      </c>
      <c r="J59" t="s">
        <v>1107</v>
      </c>
      <c r="K59" s="6">
        <v>2.8</v>
      </c>
      <c r="L59" t="s">
        <v>592</v>
      </c>
      <c r="M59" t="s">
        <v>24</v>
      </c>
      <c r="N59" s="2" t="str">
        <f>HYPERLINK("https://yandex.ru/maps/?&amp;text=58.523891, 31.289947", "58.523891, 31.289947")</f>
        <v>58.523891, 31.289947</v>
      </c>
      <c r="O59" t="s">
        <v>1108</v>
      </c>
      <c r="P59" t="s">
        <v>1109</v>
      </c>
      <c r="Q59" s="7" t="str">
        <f>HYPERLINK("D:\torgi_project\venv_torgi\cache\objs_in_district/58.523891_31.289947.json", "58.523891_31.289947.json")</f>
        <v>58.523891_31.289947.json</v>
      </c>
      <c r="R59">
        <v>2737</v>
      </c>
      <c r="S59" s="6">
        <v>1.08</v>
      </c>
    </row>
    <row r="60" spans="1:19">
      <c r="A60" s="4"/>
      <c r="B60" t="s">
        <v>634</v>
      </c>
      <c r="C60" s="1">
        <v>28.7</v>
      </c>
      <c r="D60" s="2" t="str">
        <f>HYPERLINK("https://torgi.gov.ru/new/public/lots/lot/22000022930000000029_10/(lotInfo:info)", "22000022930000000029_10")</f>
        <v>22000022930000000029_10</v>
      </c>
      <c r="E60" t="s">
        <v>639</v>
      </c>
      <c r="F60" s="3">
        <v>26858.292682926829</v>
      </c>
      <c r="G60" s="3">
        <v>770833</v>
      </c>
      <c r="H60" t="s">
        <v>640</v>
      </c>
      <c r="I60" t="s">
        <v>641</v>
      </c>
      <c r="J60" t="s">
        <v>642</v>
      </c>
      <c r="K60" s="6">
        <v>2.85</v>
      </c>
      <c r="L60" t="s">
        <v>23</v>
      </c>
      <c r="M60" t="s">
        <v>24</v>
      </c>
      <c r="N60" s="2" t="str">
        <f>HYPERLINK("https://yandex.ru/maps/?&amp;text=51.673546, 39.197495", "51.673546, 39.197495")</f>
        <v>51.673546, 39.197495</v>
      </c>
      <c r="O60" t="s">
        <v>643</v>
      </c>
      <c r="P60" t="s">
        <v>644</v>
      </c>
      <c r="Q60" s="7" t="str">
        <f>HYPERLINK("D:\torgi_project\venv_torgi\cache\objs_in_district/51.673546_39.197495.json", "51.673546_39.197495.json")</f>
        <v>51.673546_39.197495.json</v>
      </c>
      <c r="R60">
        <v>5048</v>
      </c>
      <c r="S60" s="6">
        <v>5.32</v>
      </c>
    </row>
    <row r="61" spans="1:19">
      <c r="A61" s="4"/>
      <c r="B61" t="s">
        <v>366</v>
      </c>
      <c r="C61" s="1">
        <v>52</v>
      </c>
      <c r="D61" s="2" t="str">
        <f>HYPERLINK("https://torgi.gov.ru/new/public/lots/lot/21000007110000000014_3/(lotInfo:info)", "21000007110000000014_3")</f>
        <v>21000007110000000014_3</v>
      </c>
      <c r="E61" t="s">
        <v>711</v>
      </c>
      <c r="F61" s="3">
        <v>18269.23076923077</v>
      </c>
      <c r="G61" s="3">
        <v>950000</v>
      </c>
      <c r="H61" t="s">
        <v>712</v>
      </c>
      <c r="I61" t="s">
        <v>713</v>
      </c>
      <c r="J61" t="s">
        <v>714</v>
      </c>
      <c r="K61" s="6">
        <v>2.87</v>
      </c>
      <c r="L61" t="s">
        <v>23</v>
      </c>
      <c r="M61" t="s">
        <v>24</v>
      </c>
      <c r="N61" s="2" t="str">
        <f>HYPERLINK("https://yandex.ru/maps/?&amp;text=52.51086, 103.838234", "52.51086, 103.838234")</f>
        <v>52.51086, 103.838234</v>
      </c>
      <c r="O61" t="s">
        <v>715</v>
      </c>
      <c r="P61" t="s">
        <v>716</v>
      </c>
      <c r="Q61" s="7" t="str">
        <f>HYPERLINK("D:\torgi_project\venv_torgi\cache\objs_in_district/52.51086_103.838234.json", "52.51086_103.838234.json")</f>
        <v>52.51086_103.838234.json</v>
      </c>
      <c r="R61">
        <v>2047</v>
      </c>
      <c r="S61" s="6">
        <v>8.92</v>
      </c>
    </row>
    <row r="62" spans="1:19">
      <c r="A62" s="4"/>
      <c r="B62" t="s">
        <v>508</v>
      </c>
      <c r="C62" s="1">
        <v>91.4</v>
      </c>
      <c r="D62" s="2" t="str">
        <f>HYPERLINK("https://torgi.gov.ru/new/public/lots/lot/21000012310000000007_2/(lotInfo:info)", "21000012310000000007_2")</f>
        <v>21000012310000000007_2</v>
      </c>
      <c r="E62" t="s">
        <v>1207</v>
      </c>
      <c r="F62" s="3">
        <v>10503.282275711161</v>
      </c>
      <c r="G62" s="3">
        <v>960000</v>
      </c>
      <c r="H62" t="s">
        <v>1208</v>
      </c>
      <c r="I62" t="s">
        <v>1209</v>
      </c>
      <c r="J62" t="s">
        <v>1210</v>
      </c>
      <c r="K62" s="6">
        <v>2.95</v>
      </c>
      <c r="L62" t="s">
        <v>23</v>
      </c>
      <c r="M62" t="s">
        <v>24</v>
      </c>
      <c r="N62" s="2" t="str">
        <f>HYPERLINK("https://yandex.ru/maps/?&amp;text=58.114758, 56.31765", "58.114758, 56.31765")</f>
        <v>58.114758, 56.31765</v>
      </c>
      <c r="O62" t="s">
        <v>1211</v>
      </c>
      <c r="P62" t="s">
        <v>67</v>
      </c>
      <c r="Q62" s="7" t="str">
        <f>HYPERLINK("D:\torgi_project\venv_torgi\cache\objs_in_district/58.114758_56.31765.json", "58.114758_56.31765.json")</f>
        <v>58.114758_56.31765.json</v>
      </c>
      <c r="R62">
        <v>1316</v>
      </c>
      <c r="S62" s="6">
        <v>7.98</v>
      </c>
    </row>
    <row r="63" spans="1:19" hidden="1">
      <c r="A63" s="4"/>
      <c r="B63" t="s">
        <v>73</v>
      </c>
      <c r="C63" s="1">
        <v>119.6</v>
      </c>
      <c r="D63" s="2" t="str">
        <f>HYPERLINK("https://torgi.gov.ru/new/public/lots/lot/22000007100000000022_1/(lotInfo:info)", "22000007100000000022_1")</f>
        <v>22000007100000000022_1</v>
      </c>
      <c r="E63" t="s">
        <v>334</v>
      </c>
      <c r="F63" s="3">
        <v>53105.392976588628</v>
      </c>
      <c r="G63" s="3">
        <v>6351405</v>
      </c>
      <c r="H63" t="s">
        <v>335</v>
      </c>
      <c r="I63" t="s">
        <v>336</v>
      </c>
      <c r="J63" t="s">
        <v>337</v>
      </c>
      <c r="L63" t="s">
        <v>23</v>
      </c>
      <c r="M63" t="s">
        <v>24</v>
      </c>
    </row>
    <row r="64" spans="1:19">
      <c r="A64" s="4"/>
      <c r="B64" t="s">
        <v>1044</v>
      </c>
      <c r="C64" s="1">
        <v>536.29999999999995</v>
      </c>
      <c r="D64" s="2" t="str">
        <f>HYPERLINK("https://torgi.gov.ru/new/public/lots/lot/21000011320000000078_3/(lotInfo:info)", "21000011320000000078_3")</f>
        <v>21000011320000000078_3</v>
      </c>
      <c r="E64" t="s">
        <v>1050</v>
      </c>
      <c r="F64" s="3">
        <v>9734.9990676859979</v>
      </c>
      <c r="G64" s="3">
        <v>5220880</v>
      </c>
      <c r="H64" t="s">
        <v>1051</v>
      </c>
      <c r="I64" t="s">
        <v>1052</v>
      </c>
      <c r="J64" t="s">
        <v>1053</v>
      </c>
      <c r="K64" s="6">
        <v>2.96</v>
      </c>
      <c r="L64" t="s">
        <v>90</v>
      </c>
      <c r="M64" t="s">
        <v>24</v>
      </c>
      <c r="N64" s="2" t="str">
        <f>HYPERLINK("https://yandex.ru/maps/?&amp;text=56.271481, 43.89367", "56.271481, 43.89367")</f>
        <v>56.271481, 43.89367</v>
      </c>
      <c r="O64" t="s">
        <v>1054</v>
      </c>
      <c r="P64" t="s">
        <v>37</v>
      </c>
      <c r="Q64" s="7" t="str">
        <f>HYPERLINK("D:\torgi_project\venv_torgi\cache\objs_in_district/56.271481_43.89367.json", "56.271481_43.89367.json")</f>
        <v>56.271481_43.89367.json</v>
      </c>
      <c r="R64">
        <v>4522</v>
      </c>
      <c r="S64" s="6">
        <v>2.15</v>
      </c>
    </row>
    <row r="65" spans="1:19">
      <c r="A65" s="4"/>
      <c r="B65" t="s">
        <v>1526</v>
      </c>
      <c r="C65" s="1">
        <v>398.5</v>
      </c>
      <c r="D65" s="2" t="str">
        <f>HYPERLINK("https://torgi.gov.ru/new/public/lots/lot/21000005000000000819_1/(lotInfo:info)", "21000005000000000819_1")</f>
        <v>21000005000000000819_1</v>
      </c>
      <c r="E65" t="s">
        <v>1618</v>
      </c>
      <c r="F65" s="3">
        <v>22547.051442910921</v>
      </c>
      <c r="G65" s="3">
        <v>8985000</v>
      </c>
      <c r="H65" t="s">
        <v>1624</v>
      </c>
      <c r="I65" t="s">
        <v>76</v>
      </c>
      <c r="J65" t="s">
        <v>1625</v>
      </c>
      <c r="K65" s="6">
        <v>2.98</v>
      </c>
      <c r="L65" t="s">
        <v>90</v>
      </c>
      <c r="M65" t="s">
        <v>24</v>
      </c>
      <c r="N65" s="2" t="str">
        <f>HYPERLINK("https://yandex.ru/maps/?&amp;text=55.8018915, 37.782743", "55.8018915, 37.782743")</f>
        <v>55.8018915, 37.782743</v>
      </c>
      <c r="O65" t="s">
        <v>1626</v>
      </c>
      <c r="P65" t="s">
        <v>61</v>
      </c>
      <c r="Q65" s="7" t="str">
        <f>HYPERLINK("D:\torgi_project\venv_torgi\cache\objs_in_district/55.8018915_37.782743.json", "55.8018915_37.782743.json")</f>
        <v>55.8018915_37.782743.json</v>
      </c>
      <c r="R65">
        <v>7183</v>
      </c>
      <c r="S65" s="6">
        <v>3.14</v>
      </c>
    </row>
    <row r="66" spans="1:19">
      <c r="A66" s="4"/>
      <c r="B66" t="s">
        <v>508</v>
      </c>
      <c r="C66" s="1">
        <v>662.3</v>
      </c>
      <c r="D66" s="2" t="str">
        <f>HYPERLINK("https://torgi.gov.ru/new/public/lots/lot/22000022050000000014_1/(lotInfo:info)", "22000022050000000014_1")</f>
        <v>22000022050000000014_1</v>
      </c>
      <c r="E66" t="s">
        <v>1202</v>
      </c>
      <c r="F66" s="3">
        <v>3774.724445115507</v>
      </c>
      <c r="G66" s="3">
        <v>2500000</v>
      </c>
      <c r="H66" t="s">
        <v>1203</v>
      </c>
      <c r="I66" t="s">
        <v>1204</v>
      </c>
      <c r="J66" t="s">
        <v>1205</v>
      </c>
      <c r="K66" s="6">
        <v>3</v>
      </c>
      <c r="L66" t="s">
        <v>90</v>
      </c>
      <c r="M66" t="s">
        <v>24</v>
      </c>
      <c r="N66" s="2" t="str">
        <f>HYPERLINK("https://yandex.ru/maps/?&amp;text=58.085632, 55.76859", "58.085632, 55.76859")</f>
        <v>58.085632, 55.76859</v>
      </c>
      <c r="O66" t="s">
        <v>1206</v>
      </c>
      <c r="P66" t="s">
        <v>498</v>
      </c>
      <c r="Q66" s="7" t="str">
        <f>HYPERLINK("D:\torgi_project\venv_torgi\cache\objs_in_district/58.085632_55.76859.json", "58.085632_55.76859.json")</f>
        <v>58.085632_55.76859.json</v>
      </c>
      <c r="R66">
        <v>2162</v>
      </c>
      <c r="S66" s="6">
        <v>1.75</v>
      </c>
    </row>
    <row r="67" spans="1:19">
      <c r="A67" s="4"/>
      <c r="B67" t="s">
        <v>241</v>
      </c>
      <c r="C67" s="1">
        <v>150.6</v>
      </c>
      <c r="D67" s="2" t="str">
        <f>HYPERLINK("https://torgi.gov.ru/new/public/lots/lot/21000025550000000028_13/(lotInfo:info)", "21000025550000000028_13")</f>
        <v>21000025550000000028_13</v>
      </c>
      <c r="E67" t="s">
        <v>248</v>
      </c>
      <c r="F67" s="3">
        <v>16566.62018592298</v>
      </c>
      <c r="G67" s="3">
        <v>2494933</v>
      </c>
      <c r="H67" t="s">
        <v>249</v>
      </c>
      <c r="I67" t="s">
        <v>250</v>
      </c>
      <c r="J67" t="s">
        <v>251</v>
      </c>
      <c r="K67" s="6">
        <v>3.03</v>
      </c>
      <c r="L67" t="s">
        <v>23</v>
      </c>
      <c r="M67" t="s">
        <v>35</v>
      </c>
      <c r="N67" s="2" t="str">
        <f>HYPERLINK("https://yandex.ru/maps/?&amp;text=56.15064, 47.183184", "56.15064, 47.183184")</f>
        <v>56.15064, 47.183184</v>
      </c>
      <c r="O67" t="s">
        <v>252</v>
      </c>
      <c r="P67" t="s">
        <v>61</v>
      </c>
      <c r="Q67" s="7" t="str">
        <f>HYPERLINK("D:\torgi_project\venv_torgi\cache\objs_in_district/56.15064_47.183184.json", "56.15064_47.183184.json")</f>
        <v>56.15064_47.183184.json</v>
      </c>
      <c r="R67">
        <v>4337</v>
      </c>
      <c r="S67" s="6">
        <v>3.82</v>
      </c>
    </row>
    <row r="68" spans="1:19">
      <c r="A68" s="4"/>
      <c r="B68" t="s">
        <v>508</v>
      </c>
      <c r="C68" s="1">
        <v>110.2</v>
      </c>
      <c r="D68" s="2" t="str">
        <f>HYPERLINK("https://torgi.gov.ru/new/public/lots/lot/21000023740000000001_3/(lotInfo:info)", "21000023740000000001_3")</f>
        <v>21000023740000000001_3</v>
      </c>
      <c r="E68" t="s">
        <v>1227</v>
      </c>
      <c r="F68" s="3">
        <v>16243.194192377499</v>
      </c>
      <c r="G68" s="3">
        <v>1790000</v>
      </c>
      <c r="H68" t="s">
        <v>1228</v>
      </c>
      <c r="I68" t="s">
        <v>1229</v>
      </c>
      <c r="J68" t="s">
        <v>1230</v>
      </c>
      <c r="K68" s="6">
        <v>3.03</v>
      </c>
      <c r="L68" t="s">
        <v>23</v>
      </c>
      <c r="M68" t="s">
        <v>24</v>
      </c>
      <c r="N68" s="2" t="str">
        <f>HYPERLINK("https://yandex.ru/maps/?&amp;text=58.467343, 56.397779", "58.467343, 56.397779")</f>
        <v>58.467343, 56.397779</v>
      </c>
      <c r="O68" t="s">
        <v>1231</v>
      </c>
      <c r="P68" t="s">
        <v>716</v>
      </c>
      <c r="Q68" s="7" t="str">
        <f>HYPERLINK("D:\torgi_project\venv_torgi\cache\objs_in_district/58.467343_56.397779.json", "58.467343_56.397779.json")</f>
        <v>58.467343_56.397779.json</v>
      </c>
      <c r="R68">
        <v>727</v>
      </c>
      <c r="S68" s="6">
        <v>22.34</v>
      </c>
    </row>
    <row r="69" spans="1:19">
      <c r="A69" s="4"/>
      <c r="B69" t="s">
        <v>227</v>
      </c>
      <c r="C69" s="1">
        <v>29.1</v>
      </c>
      <c r="D69" s="2" t="str">
        <f>HYPERLINK("https://torgi.gov.ru/new/public/lots/lot/21000009460000000001_1/(lotInfo:info)", "21000009460000000001_1")</f>
        <v>21000009460000000001_1</v>
      </c>
      <c r="E69" t="s">
        <v>228</v>
      </c>
      <c r="F69" s="3">
        <v>21305.841924398621</v>
      </c>
      <c r="G69" s="3">
        <v>620000</v>
      </c>
      <c r="H69" t="s">
        <v>229</v>
      </c>
      <c r="I69" t="s">
        <v>230</v>
      </c>
      <c r="J69" t="s">
        <v>231</v>
      </c>
      <c r="K69" s="6">
        <v>3.19</v>
      </c>
      <c r="L69" t="s">
        <v>23</v>
      </c>
      <c r="M69" t="s">
        <v>24</v>
      </c>
      <c r="N69" s="2" t="str">
        <f>HYPERLINK("https://yandex.ru/maps/?&amp;text=52.649969, 90.085159", "52.649969, 90.085159")</f>
        <v>52.649969, 90.085159</v>
      </c>
      <c r="O69" t="s">
        <v>232</v>
      </c>
      <c r="P69" t="s">
        <v>233</v>
      </c>
      <c r="Q69" s="7" t="str">
        <f>HYPERLINK("D:\torgi_project\venv_torgi\cache\objs_in_district/52.649969_90.085159.json", "52.649969_90.085159.json")</f>
        <v>52.649969_90.085159.json</v>
      </c>
      <c r="R69">
        <v>2299</v>
      </c>
      <c r="S69" s="6">
        <v>9.27</v>
      </c>
    </row>
    <row r="70" spans="1:19">
      <c r="A70" s="4"/>
      <c r="B70" t="s">
        <v>73</v>
      </c>
      <c r="C70" s="1">
        <v>96.3</v>
      </c>
      <c r="D70" s="2" t="str">
        <f>HYPERLINK("https://torgi.gov.ru/new/public/lots/lot/21000003580000000001_15/(lotInfo:info)", "21000003580000000001_15")</f>
        <v>21000003580000000001_15</v>
      </c>
      <c r="E70" t="s">
        <v>338</v>
      </c>
      <c r="F70" s="3">
        <v>10415.368639667709</v>
      </c>
      <c r="G70" s="3">
        <v>1003000</v>
      </c>
      <c r="H70" t="s">
        <v>339</v>
      </c>
      <c r="I70" t="s">
        <v>340</v>
      </c>
      <c r="J70" t="s">
        <v>341</v>
      </c>
      <c r="K70" s="6">
        <v>3.25</v>
      </c>
      <c r="L70" t="s">
        <v>23</v>
      </c>
      <c r="M70" t="s">
        <v>24</v>
      </c>
      <c r="N70" s="2" t="str">
        <f>HYPERLINK("https://yandex.ru/maps/?&amp;text=44.992212, 41.105596", "44.992212, 41.105596")</f>
        <v>44.992212, 41.105596</v>
      </c>
      <c r="O70" t="s">
        <v>342</v>
      </c>
      <c r="P70" t="s">
        <v>178</v>
      </c>
      <c r="Q70" s="7" t="str">
        <f>HYPERLINK("D:\torgi_project\venv_torgi\cache\objs_in_district/44.992212_41.105596.json", "44.992212_41.105596.json")</f>
        <v>44.992212_41.105596.json</v>
      </c>
      <c r="R70">
        <v>3375</v>
      </c>
      <c r="S70" s="6">
        <v>3.09</v>
      </c>
    </row>
    <row r="71" spans="1:19">
      <c r="A71" s="4"/>
      <c r="B71" t="s">
        <v>729</v>
      </c>
      <c r="C71" s="1">
        <v>127.1</v>
      </c>
      <c r="D71" s="2" t="str">
        <f>HYPERLINK("https://torgi.gov.ru/new/public/lots/lot/21000002520000000001_7/(lotInfo:info)", "21000002520000000001_7")</f>
        <v>21000002520000000001_7</v>
      </c>
      <c r="E71" t="s">
        <v>1306</v>
      </c>
      <c r="F71" s="3">
        <v>25180.959874114869</v>
      </c>
      <c r="G71" s="3">
        <v>3200500</v>
      </c>
      <c r="H71" t="s">
        <v>1307</v>
      </c>
      <c r="I71" t="s">
        <v>1302</v>
      </c>
      <c r="J71" t="s">
        <v>1308</v>
      </c>
      <c r="K71" s="6">
        <v>3.34</v>
      </c>
      <c r="L71" t="s">
        <v>23</v>
      </c>
      <c r="M71" t="s">
        <v>24</v>
      </c>
      <c r="N71" s="2" t="str">
        <f>HYPERLINK("https://yandex.ru/maps/?&amp;text=53.198775, 50.128679", "53.198775, 50.128679")</f>
        <v>53.198775, 50.128679</v>
      </c>
      <c r="O71" t="s">
        <v>1309</v>
      </c>
      <c r="P71" t="s">
        <v>784</v>
      </c>
      <c r="Q71" s="7" t="str">
        <f>HYPERLINK("D:\torgi_project\venv_torgi\cache\objs_in_district/53.198775_50.128679.json", "53.198775_50.128679.json")</f>
        <v>53.198775_50.128679.json</v>
      </c>
      <c r="R71">
        <v>5352</v>
      </c>
      <c r="S71" s="6">
        <v>4.7</v>
      </c>
    </row>
    <row r="72" spans="1:19">
      <c r="A72" s="4"/>
      <c r="B72" t="s">
        <v>1495</v>
      </c>
      <c r="C72" s="1">
        <v>16.3</v>
      </c>
      <c r="D72" s="2" t="str">
        <f>HYPERLINK("https://torgi.gov.ru/new/public/lots/lot/21000012550000000011_1/(lotInfo:info)", "21000012550000000011_1")</f>
        <v>21000012550000000011_1</v>
      </c>
      <c r="E72" t="s">
        <v>1525</v>
      </c>
      <c r="F72" s="3">
        <v>31886.50306748466</v>
      </c>
      <c r="G72" s="3">
        <v>519750</v>
      </c>
      <c r="H72" t="s">
        <v>1523</v>
      </c>
      <c r="I72" t="s">
        <v>1096</v>
      </c>
      <c r="K72" s="6">
        <v>3.49</v>
      </c>
      <c r="L72" t="s">
        <v>90</v>
      </c>
      <c r="M72" t="s">
        <v>24</v>
      </c>
      <c r="N72" s="2" t="str">
        <f>HYPERLINK("https://yandex.ru/maps/?&amp;text=57.55079, 39.937741", "57.55079, 39.937741")</f>
        <v>57.55079, 39.937741</v>
      </c>
      <c r="O72" t="s">
        <v>1524</v>
      </c>
      <c r="P72" t="s">
        <v>234</v>
      </c>
      <c r="Q72" s="7" t="str">
        <f>HYPERLINK("D:\torgi_project\venv_torgi\cache\objs_in_district/57.55079_39.937741.json", "57.55079_39.937741.json")</f>
        <v>57.55079_39.937741.json</v>
      </c>
      <c r="R72">
        <v>2832</v>
      </c>
      <c r="S72" s="6">
        <v>11.26</v>
      </c>
    </row>
    <row r="73" spans="1:19">
      <c r="A73" s="4"/>
      <c r="B73" t="s">
        <v>366</v>
      </c>
      <c r="C73" s="1">
        <v>1977.2</v>
      </c>
      <c r="D73" s="2" t="str">
        <f>HYPERLINK("https://torgi.gov.ru/new/public/lots/lot/21000015330000000004_1/(lotInfo:info)", "21000015330000000004_1")</f>
        <v>21000015330000000004_1</v>
      </c>
      <c r="E73" t="s">
        <v>741</v>
      </c>
      <c r="F73" s="3">
        <v>3295.962472182885</v>
      </c>
      <c r="G73" s="3">
        <v>6516777</v>
      </c>
      <c r="H73" t="s">
        <v>742</v>
      </c>
      <c r="I73" t="s">
        <v>743</v>
      </c>
      <c r="J73" t="s">
        <v>744</v>
      </c>
      <c r="K73" s="6">
        <v>3.5</v>
      </c>
      <c r="L73" t="s">
        <v>23</v>
      </c>
      <c r="M73" t="s">
        <v>24</v>
      </c>
      <c r="N73" s="2" t="str">
        <f>HYPERLINK("https://yandex.ru/maps/?&amp;text=56.283729, 101.881143", "56.283729, 101.881143")</f>
        <v>56.283729, 101.881143</v>
      </c>
      <c r="O73" t="s">
        <v>745</v>
      </c>
      <c r="P73" t="s">
        <v>73</v>
      </c>
      <c r="Q73" s="7" t="str">
        <f>HYPERLINK("D:\torgi_project\venv_torgi\cache\objs_in_district/56.283729_101.881143.json", "56.283729_101.881143.json")</f>
        <v>56.283729_101.881143.json</v>
      </c>
      <c r="R73">
        <v>2255</v>
      </c>
      <c r="S73" s="6">
        <v>1.46</v>
      </c>
    </row>
    <row r="74" spans="1:19">
      <c r="A74" s="4"/>
      <c r="B74" t="s">
        <v>415</v>
      </c>
      <c r="C74" s="1">
        <v>224.2</v>
      </c>
      <c r="D74" s="2" t="str">
        <f>HYPERLINK("https://torgi.gov.ru/new/public/lots/lot/21000016080000000030_4/(lotInfo:info)", "21000016080000000030_4")</f>
        <v>21000016080000000030_4</v>
      </c>
      <c r="E74" t="s">
        <v>858</v>
      </c>
      <c r="F74" s="3">
        <v>29174.84388938448</v>
      </c>
      <c r="G74" s="3">
        <v>6541000</v>
      </c>
      <c r="H74" t="s">
        <v>859</v>
      </c>
      <c r="I74" t="s">
        <v>860</v>
      </c>
      <c r="J74" t="s">
        <v>861</v>
      </c>
      <c r="K74" s="6">
        <v>3.5</v>
      </c>
      <c r="L74" t="s">
        <v>23</v>
      </c>
      <c r="M74" t="s">
        <v>24</v>
      </c>
      <c r="N74" s="2" t="str">
        <f>HYPERLINK("https://yandex.ru/maps/?&amp;text=58.60358, 49.67942", "58.60358, 49.67942")</f>
        <v>58.60358, 49.67942</v>
      </c>
      <c r="O74" t="s">
        <v>862</v>
      </c>
      <c r="P74" t="s">
        <v>508</v>
      </c>
      <c r="Q74" s="7" t="str">
        <f>HYPERLINK("D:\torgi_project\venv_torgi\cache\objs_in_district/58.60358_49.67942.json", "58.60358_49.67942.json")</f>
        <v>58.60358_49.67942.json</v>
      </c>
      <c r="R74">
        <v>3690</v>
      </c>
      <c r="S74" s="6">
        <v>7.91</v>
      </c>
    </row>
    <row r="75" spans="1:19">
      <c r="A75" s="4"/>
      <c r="B75" t="s">
        <v>415</v>
      </c>
      <c r="C75" s="1">
        <v>64.599999999999994</v>
      </c>
      <c r="D75" s="2" t="str">
        <f>HYPERLINK("https://torgi.gov.ru/new/public/lots/lot/22000006140000000014_1/(lotInfo:info)", "22000006140000000014_1")</f>
        <v>22000006140000000014_1</v>
      </c>
      <c r="E75" t="s">
        <v>863</v>
      </c>
      <c r="F75" s="3">
        <v>9643.9628482972148</v>
      </c>
      <c r="G75" s="3">
        <v>623000</v>
      </c>
      <c r="H75" t="s">
        <v>864</v>
      </c>
      <c r="I75" t="s">
        <v>865</v>
      </c>
      <c r="J75" t="s">
        <v>866</v>
      </c>
      <c r="K75" s="6">
        <v>3.51</v>
      </c>
      <c r="L75" t="s">
        <v>23</v>
      </c>
      <c r="M75" t="s">
        <v>24</v>
      </c>
      <c r="N75" s="2" t="str">
        <f>HYPERLINK("https://yandex.ru/maps/?&amp;text=58.5342016, 50.0221059", "58.5342016, 50.0221059")</f>
        <v>58.5342016, 50.0221059</v>
      </c>
      <c r="O75" t="s">
        <v>867</v>
      </c>
      <c r="P75" t="s">
        <v>784</v>
      </c>
      <c r="Q75" s="7" t="str">
        <f>HYPERLINK("D:\torgi_project\venv_torgi\cache\objs_in_district/58.5342016_50.0221059.json", "58.5342016_50.0221059.json")</f>
        <v>58.5342016_50.0221059.json</v>
      </c>
      <c r="R75">
        <v>1050</v>
      </c>
      <c r="S75" s="6">
        <v>9.18</v>
      </c>
    </row>
    <row r="76" spans="1:19">
      <c r="A76" s="4"/>
      <c r="B76" t="s">
        <v>1130</v>
      </c>
      <c r="C76" s="1">
        <v>201.1</v>
      </c>
      <c r="D76" s="2" t="str">
        <f>HYPERLINK("https://torgi.gov.ru/new/public/lots/lot/22000034760000000022_1/(lotInfo:info)", "22000034760000000022_1")</f>
        <v>22000034760000000022_1</v>
      </c>
      <c r="E76" t="s">
        <v>1347</v>
      </c>
      <c r="F76" s="3">
        <v>31859.77125808056</v>
      </c>
      <c r="G76" s="3">
        <v>6407000</v>
      </c>
      <c r="H76" t="s">
        <v>1348</v>
      </c>
      <c r="I76" t="s">
        <v>1349</v>
      </c>
      <c r="J76" t="s">
        <v>1350</v>
      </c>
      <c r="K76" s="6">
        <v>3.51</v>
      </c>
      <c r="L76" t="s">
        <v>901</v>
      </c>
      <c r="M76" t="s">
        <v>24</v>
      </c>
      <c r="N76" s="2" t="str">
        <f>HYPERLINK("https://yandex.ru/maps/?&amp;text=56.842384, 60.621172", "56.842384, 60.621172")</f>
        <v>56.842384, 60.621172</v>
      </c>
      <c r="O76" t="s">
        <v>1351</v>
      </c>
      <c r="P76" t="s">
        <v>1352</v>
      </c>
      <c r="Q76" s="7" t="str">
        <f>HYPERLINK("D:\torgi_project\venv_torgi\cache\objs_in_district/56.842384_60.621172.json", "56.842384_60.621172.json")</f>
        <v>56.842384_60.621172.json</v>
      </c>
      <c r="R76">
        <v>4492</v>
      </c>
      <c r="S76" s="6">
        <v>7.09</v>
      </c>
    </row>
    <row r="77" spans="1:19">
      <c r="A77" s="4"/>
      <c r="B77" t="s">
        <v>318</v>
      </c>
      <c r="C77" s="1">
        <v>71.5</v>
      </c>
      <c r="D77" s="2" t="str">
        <f>HYPERLINK("https://torgi.gov.ru/new/public/lots/lot/21000014400000000005_10/(lotInfo:info)", "21000014400000000005_10")</f>
        <v>21000014400000000005_10</v>
      </c>
      <c r="E77" t="s">
        <v>1387</v>
      </c>
      <c r="F77" s="3">
        <v>31487.4</v>
      </c>
      <c r="G77" s="3">
        <v>2251349.1</v>
      </c>
      <c r="H77" t="s">
        <v>1388</v>
      </c>
      <c r="I77" t="s">
        <v>282</v>
      </c>
      <c r="J77" t="s">
        <v>1389</v>
      </c>
      <c r="K77" s="6">
        <v>3.51</v>
      </c>
      <c r="L77" t="s">
        <v>23</v>
      </c>
      <c r="M77" t="s">
        <v>24</v>
      </c>
      <c r="N77" s="2" t="str">
        <f>HYPERLINK("https://yandex.ru/maps/?&amp;text=56.860029, 35.886142", "56.860029, 35.886142")</f>
        <v>56.860029, 35.886142</v>
      </c>
      <c r="O77" t="s">
        <v>1390</v>
      </c>
      <c r="P77" t="s">
        <v>158</v>
      </c>
      <c r="Q77" s="7" t="str">
        <f>HYPERLINK("D:\torgi_project\venv_torgi\cache\objs_in_district/56.860029_35.886142.json", "56.860029_35.886142.json")</f>
        <v>56.860029_35.886142.json</v>
      </c>
      <c r="R77">
        <v>3327</v>
      </c>
      <c r="S77" s="6">
        <v>9.4600000000000009</v>
      </c>
    </row>
    <row r="78" spans="1:19">
      <c r="A78" s="4"/>
      <c r="B78" t="s">
        <v>366</v>
      </c>
      <c r="C78" s="1">
        <v>128.9</v>
      </c>
      <c r="D78" s="2" t="str">
        <f>HYPERLINK("https://torgi.gov.ru/new/public/lots/lot/21000007110000000006_3/(lotInfo:info)", "21000007110000000006_3")</f>
        <v>21000007110000000006_3</v>
      </c>
      <c r="E78" t="s">
        <v>711</v>
      </c>
      <c r="F78" s="3">
        <v>20156.710628394099</v>
      </c>
      <c r="G78" s="3">
        <v>2598200</v>
      </c>
      <c r="H78" t="s">
        <v>730</v>
      </c>
      <c r="I78" t="s">
        <v>731</v>
      </c>
      <c r="J78" t="s">
        <v>732</v>
      </c>
      <c r="K78" s="6">
        <v>3.55</v>
      </c>
      <c r="L78" t="s">
        <v>23</v>
      </c>
      <c r="M78" t="s">
        <v>24</v>
      </c>
      <c r="N78" s="2" t="str">
        <f>HYPERLINK("https://yandex.ru/maps/?&amp;text=52.53228, 103.89681", "52.53228, 103.89681")</f>
        <v>52.53228, 103.89681</v>
      </c>
      <c r="O78" t="s">
        <v>733</v>
      </c>
      <c r="P78" t="s">
        <v>403</v>
      </c>
      <c r="Q78" s="7" t="str">
        <f>HYPERLINK("D:\torgi_project\venv_torgi\cache\objs_in_district/52.53228_103.89681.json", "52.53228_103.89681.json")</f>
        <v>52.53228_103.89681.json</v>
      </c>
      <c r="R78">
        <v>2503</v>
      </c>
      <c r="S78" s="6">
        <v>8.0500000000000007</v>
      </c>
    </row>
    <row r="79" spans="1:19">
      <c r="A79" s="4"/>
      <c r="B79" t="s">
        <v>508</v>
      </c>
      <c r="C79" s="1">
        <v>199.6</v>
      </c>
      <c r="D79" s="2" t="str">
        <f>HYPERLINK("https://torgi.gov.ru/new/public/lots/lot/21000012310000000004_1/(lotInfo:info)", "21000012310000000004_1")</f>
        <v>21000012310000000004_1</v>
      </c>
      <c r="E79" t="s">
        <v>1241</v>
      </c>
      <c r="F79" s="3">
        <v>32089.17835671343</v>
      </c>
      <c r="G79" s="3">
        <v>6405000</v>
      </c>
      <c r="H79" t="s">
        <v>1242</v>
      </c>
      <c r="I79" t="s">
        <v>1234</v>
      </c>
      <c r="J79" t="s">
        <v>1243</v>
      </c>
      <c r="K79" s="6">
        <v>3.55</v>
      </c>
      <c r="L79" t="s">
        <v>23</v>
      </c>
      <c r="M79" t="s">
        <v>24</v>
      </c>
      <c r="N79" s="2" t="str">
        <f>HYPERLINK("https://yandex.ru/maps/?&amp;text=57.999315, 56.290232", "57.999315, 56.290232")</f>
        <v>57.999315, 56.290232</v>
      </c>
      <c r="O79" t="s">
        <v>1244</v>
      </c>
      <c r="P79" t="s">
        <v>498</v>
      </c>
      <c r="Q79" s="7" t="str">
        <f>HYPERLINK("D:\torgi_project\venv_torgi\cache\objs_in_district/57.999315_56.290232.json", "57.999315_56.290232.json")</f>
        <v>57.999315_56.290232.json</v>
      </c>
      <c r="R79">
        <v>1456</v>
      </c>
      <c r="S79" s="6">
        <v>22.04</v>
      </c>
    </row>
    <row r="80" spans="1:19">
      <c r="A80" s="4"/>
      <c r="B80" t="s">
        <v>729</v>
      </c>
      <c r="C80" s="1">
        <v>29.8</v>
      </c>
      <c r="D80" s="2" t="str">
        <f>HYPERLINK("https://torgi.gov.ru/new/public/lots/lot/21000002520000000001_12/(lotInfo:info)", "21000002520000000001_12")</f>
        <v>21000002520000000001_12</v>
      </c>
      <c r="E80" t="s">
        <v>1317</v>
      </c>
      <c r="F80" s="3">
        <v>19463.08724832215</v>
      </c>
      <c r="G80" s="3">
        <v>580000</v>
      </c>
      <c r="H80" t="s">
        <v>1318</v>
      </c>
      <c r="I80" t="s">
        <v>1302</v>
      </c>
      <c r="J80" t="s">
        <v>1319</v>
      </c>
      <c r="K80" s="6">
        <v>3.56</v>
      </c>
      <c r="L80" t="s">
        <v>23</v>
      </c>
      <c r="M80" t="s">
        <v>24</v>
      </c>
      <c r="N80" s="2" t="str">
        <f>HYPERLINK("https://yandex.ru/maps/?&amp;text=53.215763, 50.271313", "53.215763, 50.271313")</f>
        <v>53.215763, 50.271313</v>
      </c>
      <c r="O80" t="s">
        <v>1320</v>
      </c>
      <c r="P80" t="s">
        <v>152</v>
      </c>
      <c r="Q80" s="7" t="str">
        <f>HYPERLINK("D:\torgi_project\venv_torgi\cache\objs_in_district/53.215763_50.271313.json", "53.215763_50.271313.json")</f>
        <v>53.215763_50.271313.json</v>
      </c>
      <c r="R80">
        <v>5733</v>
      </c>
      <c r="S80" s="6">
        <v>3.39</v>
      </c>
    </row>
    <row r="81" spans="1:19" hidden="1">
      <c r="A81" s="4"/>
      <c r="B81" t="s">
        <v>55</v>
      </c>
      <c r="C81" s="1">
        <v>311.89999999999998</v>
      </c>
      <c r="D81" s="2" t="str">
        <f>HYPERLINK("https://torgi.gov.ru/new/public/lots/lot/21000003150000000001_4/(lotInfo:info)", "21000003150000000001_4")</f>
        <v>21000003150000000001_4</v>
      </c>
      <c r="E81" t="s">
        <v>426</v>
      </c>
      <c r="F81" s="3">
        <v>10675.73000961847</v>
      </c>
      <c r="G81" s="3">
        <v>3329760.19</v>
      </c>
      <c r="H81" t="s">
        <v>427</v>
      </c>
      <c r="I81" t="s">
        <v>428</v>
      </c>
      <c r="J81" t="s">
        <v>429</v>
      </c>
      <c r="L81" t="s">
        <v>90</v>
      </c>
      <c r="M81" t="s">
        <v>24</v>
      </c>
    </row>
    <row r="82" spans="1:19" hidden="1">
      <c r="A82" s="4"/>
      <c r="B82" t="s">
        <v>430</v>
      </c>
      <c r="C82" s="1">
        <v>313.3</v>
      </c>
      <c r="D82" s="2" t="str">
        <f>HYPERLINK("https://torgi.gov.ru/new/public/lots/lot/22000025880000000007_1/(lotInfo:info)", "22000025880000000007_1")</f>
        <v>22000025880000000007_1</v>
      </c>
      <c r="E82" t="s">
        <v>431</v>
      </c>
      <c r="F82" s="3">
        <v>8016.2623683370566</v>
      </c>
      <c r="G82" s="3">
        <v>2511495</v>
      </c>
      <c r="H82" t="s">
        <v>432</v>
      </c>
      <c r="I82" t="s">
        <v>433</v>
      </c>
      <c r="J82" t="s">
        <v>434</v>
      </c>
      <c r="L82" t="s">
        <v>23</v>
      </c>
      <c r="M82" t="s">
        <v>24</v>
      </c>
    </row>
    <row r="83" spans="1:19">
      <c r="A83" s="4"/>
      <c r="B83" t="s">
        <v>241</v>
      </c>
      <c r="C83" s="1">
        <v>401.1</v>
      </c>
      <c r="D83" s="2" t="str">
        <f>HYPERLINK("https://torgi.gov.ru/new/public/lots/lot/22000030000000000021_1/(lotInfo:info)", "22000030000000000021_1")</f>
        <v>22000030000000000021_1</v>
      </c>
      <c r="E83" t="s">
        <v>253</v>
      </c>
      <c r="F83" s="3">
        <v>1486.499626028422</v>
      </c>
      <c r="G83" s="3">
        <v>596235</v>
      </c>
      <c r="H83" t="s">
        <v>254</v>
      </c>
      <c r="I83" t="s">
        <v>255</v>
      </c>
      <c r="J83" t="s">
        <v>256</v>
      </c>
      <c r="K83" s="6">
        <v>3.62</v>
      </c>
      <c r="L83" t="s">
        <v>90</v>
      </c>
      <c r="M83" t="s">
        <v>24</v>
      </c>
      <c r="N83" s="2" t="str">
        <f>HYPERLINK("https://yandex.ru/maps/?&amp;text=55.161923, 48.002807", "55.161923, 48.002807")</f>
        <v>55.161923, 48.002807</v>
      </c>
      <c r="O83" t="s">
        <v>257</v>
      </c>
      <c r="P83" t="s">
        <v>27</v>
      </c>
      <c r="Q83" s="7" t="str">
        <f>HYPERLINK("D:\torgi_project\venv_torgi\cache\objs_in_district/55.161923_48.002807.json", "55.161923_48.002807.json")</f>
        <v>55.161923_48.002807.json</v>
      </c>
      <c r="R83">
        <v>258</v>
      </c>
      <c r="S83" s="6">
        <v>5.76</v>
      </c>
    </row>
    <row r="84" spans="1:19">
      <c r="A84" s="4"/>
      <c r="B84" t="s">
        <v>1526</v>
      </c>
      <c r="C84" s="1">
        <v>26</v>
      </c>
      <c r="D84" s="2" t="str">
        <f>HYPERLINK("https://torgi.gov.ru/new/public/lots/lot/21000005000000000444_1/(lotInfo:info)", "21000005000000000444_1")</f>
        <v>21000005000000000444_1</v>
      </c>
      <c r="E84" t="s">
        <v>1652</v>
      </c>
      <c r="F84" s="3">
        <v>28153.846153846149</v>
      </c>
      <c r="G84" s="3">
        <v>732000</v>
      </c>
      <c r="H84" t="s">
        <v>1653</v>
      </c>
      <c r="I84" t="s">
        <v>1654</v>
      </c>
      <c r="J84" t="s">
        <v>1655</v>
      </c>
      <c r="K84" s="6">
        <v>3.67</v>
      </c>
      <c r="L84" t="s">
        <v>90</v>
      </c>
      <c r="M84" t="s">
        <v>24</v>
      </c>
      <c r="N84" s="2" t="str">
        <f>HYPERLINK("https://yandex.ru/maps/?&amp;text=55.802715, 37.641846", "55.802715, 37.641846")</f>
        <v>55.802715, 37.641846</v>
      </c>
      <c r="O84" t="s">
        <v>1656</v>
      </c>
      <c r="P84" t="s">
        <v>929</v>
      </c>
      <c r="Q84" s="7" t="str">
        <f>HYPERLINK("D:\torgi_project\venv_torgi\cache\objs_in_district/55.802715_37.641846.json", "55.802715_37.641846.json")</f>
        <v>55.802715_37.641846.json</v>
      </c>
      <c r="R84">
        <v>9502</v>
      </c>
      <c r="S84" s="6">
        <v>2.96</v>
      </c>
    </row>
    <row r="85" spans="1:19" hidden="1">
      <c r="A85" s="4"/>
      <c r="B85" t="s">
        <v>430</v>
      </c>
      <c r="C85" s="1">
        <v>73.2</v>
      </c>
      <c r="D85" s="2" t="str">
        <f>HYPERLINK("https://torgi.gov.ru/new/public/lots/lot/21000032990000000005_1/(lotInfo:info)", "21000032990000000005_1")</f>
        <v>21000032990000000005_1</v>
      </c>
      <c r="E85" t="s">
        <v>444</v>
      </c>
      <c r="F85" s="3">
        <v>9963.6612021857927</v>
      </c>
      <c r="G85" s="3">
        <v>729340</v>
      </c>
      <c r="H85" t="s">
        <v>445</v>
      </c>
      <c r="I85" t="s">
        <v>446</v>
      </c>
      <c r="J85" t="s">
        <v>447</v>
      </c>
      <c r="L85" t="s">
        <v>23</v>
      </c>
      <c r="M85" t="s">
        <v>24</v>
      </c>
    </row>
    <row r="86" spans="1:19">
      <c r="A86" s="4"/>
      <c r="B86" t="s">
        <v>729</v>
      </c>
      <c r="C86" s="1">
        <v>70.8</v>
      </c>
      <c r="D86" s="2" t="str">
        <f>HYPERLINK("https://torgi.gov.ru/new/public/lots/lot/21000002520000000004_1/(lotInfo:info)", "21000002520000000004_1")</f>
        <v>21000002520000000004_1</v>
      </c>
      <c r="E86" t="s">
        <v>1276</v>
      </c>
      <c r="F86" s="3">
        <v>23771.186440677971</v>
      </c>
      <c r="G86" s="3">
        <v>1683000</v>
      </c>
      <c r="H86" t="s">
        <v>1277</v>
      </c>
      <c r="I86" t="s">
        <v>1278</v>
      </c>
      <c r="J86" t="s">
        <v>1279</v>
      </c>
      <c r="K86" s="6">
        <v>3.68</v>
      </c>
      <c r="L86" t="s">
        <v>90</v>
      </c>
      <c r="M86" t="s">
        <v>24</v>
      </c>
      <c r="N86" s="2" t="str">
        <f>HYPERLINK("https://yandex.ru/maps/?&amp;text=53.188913, 50.189737", "53.188913, 50.189737")</f>
        <v>53.188913, 50.189737</v>
      </c>
      <c r="O86" t="s">
        <v>1280</v>
      </c>
      <c r="P86" t="s">
        <v>92</v>
      </c>
      <c r="Q86" s="7" t="str">
        <f>HYPERLINK("D:\torgi_project\venv_torgi\cache\objs_in_district/53.188913_50.189737.json", "53.188913_50.189737.json")</f>
        <v>53.188913_50.189737.json</v>
      </c>
      <c r="R86">
        <v>5670</v>
      </c>
      <c r="S86" s="6">
        <v>4.1900000000000004</v>
      </c>
    </row>
    <row r="87" spans="1:19">
      <c r="A87" s="4"/>
      <c r="B87" t="s">
        <v>729</v>
      </c>
      <c r="C87" s="1">
        <v>29.3</v>
      </c>
      <c r="D87" s="2" t="str">
        <f>HYPERLINK("https://torgi.gov.ru/new/public/lots/lot/21000002520000000001_16/(lotInfo:info)", "21000002520000000001_16")</f>
        <v>21000002520000000001_16</v>
      </c>
      <c r="E87" t="s">
        <v>1313</v>
      </c>
      <c r="F87" s="3">
        <v>34641.638225255971</v>
      </c>
      <c r="G87" s="3">
        <v>1015000</v>
      </c>
      <c r="H87" t="s">
        <v>1314</v>
      </c>
      <c r="I87" t="s">
        <v>1302</v>
      </c>
      <c r="J87" t="s">
        <v>1315</v>
      </c>
      <c r="K87" s="6">
        <v>3.69</v>
      </c>
      <c r="L87" t="s">
        <v>23</v>
      </c>
      <c r="M87" t="s">
        <v>24</v>
      </c>
      <c r="N87" s="2" t="str">
        <f>HYPERLINK("https://yandex.ru/maps/?&amp;text=53.200808, 50.225966", "53.200808, 50.225966")</f>
        <v>53.200808, 50.225966</v>
      </c>
      <c r="O87" t="s">
        <v>1316</v>
      </c>
      <c r="P87" t="s">
        <v>291</v>
      </c>
      <c r="Q87" s="7" t="str">
        <f>HYPERLINK("D:\torgi_project\venv_torgi\cache\objs_in_district/53.200808_50.225966.json", "53.200808_50.225966.json")</f>
        <v>53.200808_50.225966.json</v>
      </c>
      <c r="R87">
        <v>6112</v>
      </c>
      <c r="S87" s="6">
        <v>5.67</v>
      </c>
    </row>
    <row r="88" spans="1:19" hidden="1">
      <c r="A88" s="4"/>
      <c r="B88" t="s">
        <v>454</v>
      </c>
      <c r="C88" s="1">
        <v>104</v>
      </c>
      <c r="D88" s="2" t="str">
        <f>HYPERLINK("https://torgi.gov.ru/new/public/lots/lot/21000030170000000001_2/(lotInfo:info)", "21000030170000000001_2")</f>
        <v>21000030170000000001_2</v>
      </c>
      <c r="E88" t="s">
        <v>460</v>
      </c>
      <c r="F88" s="3">
        <v>7692.3076923076924</v>
      </c>
      <c r="G88" s="3">
        <v>800000</v>
      </c>
      <c r="H88" t="s">
        <v>461</v>
      </c>
      <c r="I88" t="s">
        <v>462</v>
      </c>
      <c r="J88" t="s">
        <v>463</v>
      </c>
      <c r="L88" t="s">
        <v>23</v>
      </c>
      <c r="M88" t="s">
        <v>24</v>
      </c>
    </row>
    <row r="89" spans="1:19">
      <c r="A89" s="4"/>
      <c r="B89" t="s">
        <v>729</v>
      </c>
      <c r="C89" s="1">
        <v>35</v>
      </c>
      <c r="D89" s="2" t="str">
        <f>HYPERLINK("https://torgi.gov.ru/new/public/lots/lot/21000014860000000002_1/(lotInfo:info)", "21000014860000000002_1")</f>
        <v>21000014860000000002_1</v>
      </c>
      <c r="E89" t="s">
        <v>1294</v>
      </c>
      <c r="F89" s="3">
        <v>31047</v>
      </c>
      <c r="G89" s="3">
        <v>1086645</v>
      </c>
      <c r="H89" t="s">
        <v>1298</v>
      </c>
      <c r="I89" t="s">
        <v>1296</v>
      </c>
      <c r="K89" s="6">
        <v>3.71</v>
      </c>
      <c r="L89" t="s">
        <v>23</v>
      </c>
      <c r="M89" t="s">
        <v>24</v>
      </c>
      <c r="N89" s="2" t="str">
        <f>HYPERLINK("https://yandex.ru/maps/?&amp;text=53.092045, 49.98071", "53.092045, 49.98071")</f>
        <v>53.092045, 49.98071</v>
      </c>
      <c r="O89" t="s">
        <v>1299</v>
      </c>
      <c r="P89" t="s">
        <v>216</v>
      </c>
      <c r="Q89" s="7" t="str">
        <f>HYPERLINK("D:\torgi_project\venv_torgi\cache\objs_in_district/53.092045_49.98071.json", "53.092045_49.98071.json")</f>
        <v>53.092045_49.98071.json</v>
      </c>
      <c r="R89">
        <v>2469</v>
      </c>
      <c r="S89" s="6">
        <v>12.57</v>
      </c>
    </row>
    <row r="90" spans="1:19">
      <c r="A90" s="4"/>
      <c r="B90" t="s">
        <v>1115</v>
      </c>
      <c r="C90" s="1">
        <v>293.39999999999998</v>
      </c>
      <c r="D90" s="2" t="str">
        <f>HYPERLINK("https://torgi.gov.ru/new/public/lots/lot/21000023030000000007_1/(lotInfo:info)", "21000023030000000007_1")</f>
        <v>21000023030000000007_1</v>
      </c>
      <c r="E90" t="s">
        <v>1116</v>
      </c>
      <c r="F90" s="3">
        <v>11711.997273346969</v>
      </c>
      <c r="G90" s="3">
        <v>3436300</v>
      </c>
      <c r="H90" t="s">
        <v>1117</v>
      </c>
      <c r="I90" t="s">
        <v>1118</v>
      </c>
      <c r="J90" t="s">
        <v>1119</v>
      </c>
      <c r="K90" s="6">
        <v>3.74</v>
      </c>
      <c r="L90" t="s">
        <v>23</v>
      </c>
      <c r="M90" t="s">
        <v>24</v>
      </c>
      <c r="N90" s="2" t="str">
        <f>HYPERLINK("https://yandex.ru/maps/?&amp;text=55.078267, 82.906919", "55.078267, 82.906919")</f>
        <v>55.078267, 82.906919</v>
      </c>
      <c r="O90" t="s">
        <v>1120</v>
      </c>
      <c r="P90" t="s">
        <v>430</v>
      </c>
      <c r="Q90" s="7" t="str">
        <f>HYPERLINK("D:\torgi_project\venv_torgi\cache\objs_in_district/55.078267_82.906919.json", "55.078267_82.906919.json")</f>
        <v>55.078267_82.906919.json</v>
      </c>
      <c r="R90">
        <v>4339</v>
      </c>
      <c r="S90" s="6">
        <v>2.7</v>
      </c>
    </row>
    <row r="91" spans="1:19">
      <c r="A91" s="4"/>
      <c r="B91" t="s">
        <v>55</v>
      </c>
      <c r="C91" s="1">
        <v>81.5</v>
      </c>
      <c r="D91" s="2" t="str">
        <f>HYPERLINK("https://torgi.gov.ru/new/public/lots/lot/21000004820000000003_3/(lotInfo:info)", "21000004820000000003_3")</f>
        <v>21000004820000000003_3</v>
      </c>
      <c r="E91" t="s">
        <v>410</v>
      </c>
      <c r="F91" s="3">
        <v>14429.447852760741</v>
      </c>
      <c r="G91" s="3">
        <v>1176000</v>
      </c>
      <c r="H91" t="s">
        <v>411</v>
      </c>
      <c r="I91" t="s">
        <v>412</v>
      </c>
      <c r="J91" t="s">
        <v>413</v>
      </c>
      <c r="K91" s="6">
        <v>3.91</v>
      </c>
      <c r="L91" t="s">
        <v>23</v>
      </c>
      <c r="M91" t="s">
        <v>24</v>
      </c>
      <c r="N91" s="2" t="str">
        <f>HYPERLINK("https://yandex.ru/maps/?&amp;text=44.057153, 43.066097", "44.057153, 43.066097")</f>
        <v>44.057153, 43.066097</v>
      </c>
      <c r="O91" t="s">
        <v>414</v>
      </c>
      <c r="P91" t="s">
        <v>415</v>
      </c>
      <c r="Q91" s="7" t="str">
        <f>HYPERLINK("D:\torgi_project\venv_torgi\cache\objs_in_district/44.057153_43.066097.json", "44.057153_43.066097.json")</f>
        <v>44.057153_43.066097.json</v>
      </c>
      <c r="R91">
        <v>1538</v>
      </c>
      <c r="S91" s="6">
        <v>9.3800000000000008</v>
      </c>
    </row>
    <row r="92" spans="1:19" hidden="1">
      <c r="A92" s="4"/>
      <c r="B92" t="s">
        <v>453</v>
      </c>
      <c r="C92" s="1">
        <v>17.2</v>
      </c>
      <c r="D92" s="2" t="str">
        <f>HYPERLINK("https://torgi.gov.ru/new/public/lots/lot/21000006750000000006_2/(lotInfo:info)", "21000006750000000006_2")</f>
        <v>21000006750000000006_2</v>
      </c>
      <c r="E92" t="s">
        <v>480</v>
      </c>
      <c r="F92" s="3">
        <v>50232.558139534893</v>
      </c>
      <c r="G92" s="3">
        <v>864000</v>
      </c>
      <c r="H92" t="s">
        <v>481</v>
      </c>
      <c r="I92" t="s">
        <v>476</v>
      </c>
      <c r="J92" t="s">
        <v>482</v>
      </c>
      <c r="L92" t="s">
        <v>23</v>
      </c>
      <c r="M92" t="s">
        <v>24</v>
      </c>
    </row>
    <row r="93" spans="1:19">
      <c r="A93" s="4"/>
      <c r="B93" t="s">
        <v>657</v>
      </c>
      <c r="C93" s="1">
        <v>74.400000000000006</v>
      </c>
      <c r="D93" s="2" t="str">
        <f>HYPERLINK("https://torgi.gov.ru/new/public/lots/lot/21000015660000000024_1/(lotInfo:info)", "21000015660000000024_1")</f>
        <v>21000015660000000024_1</v>
      </c>
      <c r="E93" t="s">
        <v>469</v>
      </c>
      <c r="F93" s="3">
        <v>10845.220430107531</v>
      </c>
      <c r="G93" s="3">
        <v>806884.4</v>
      </c>
      <c r="H93" t="s">
        <v>1321</v>
      </c>
      <c r="I93" t="s">
        <v>1322</v>
      </c>
      <c r="J93" t="s">
        <v>1323</v>
      </c>
      <c r="K93" s="6">
        <v>3.99</v>
      </c>
      <c r="L93" t="s">
        <v>23</v>
      </c>
      <c r="M93" t="s">
        <v>24</v>
      </c>
      <c r="N93" s="2" t="str">
        <f>HYPERLINK("https://yandex.ru/maps/?&amp;text=51.481354, 46.14403", "51.481354, 46.14403")</f>
        <v>51.481354, 46.14403</v>
      </c>
      <c r="O93" t="s">
        <v>1324</v>
      </c>
      <c r="P93" t="s">
        <v>227</v>
      </c>
      <c r="Q93" s="7" t="str">
        <f>HYPERLINK("D:\torgi_project\venv_torgi\cache\objs_in_district/51.481354_46.14403.json", "51.481354_46.14403.json")</f>
        <v>51.481354_46.14403.json</v>
      </c>
      <c r="R93">
        <v>2554</v>
      </c>
      <c r="S93" s="6">
        <v>4.25</v>
      </c>
    </row>
    <row r="94" spans="1:19">
      <c r="A94" s="4"/>
      <c r="B94" t="s">
        <v>634</v>
      </c>
      <c r="C94" s="1">
        <v>262.10000000000002</v>
      </c>
      <c r="D94" s="2" t="str">
        <f>HYPERLINK("https://torgi.gov.ru/new/public/lots/lot/21000023350000000002_1/(lotInfo:info)", "21000023350000000002_1")</f>
        <v>21000023350000000002_1</v>
      </c>
      <c r="E94" t="s">
        <v>674</v>
      </c>
      <c r="F94" s="3">
        <v>14506.12789011827</v>
      </c>
      <c r="G94" s="3">
        <v>3802056.12</v>
      </c>
      <c r="H94" t="s">
        <v>675</v>
      </c>
      <c r="I94" t="s">
        <v>670</v>
      </c>
      <c r="J94" t="s">
        <v>676</v>
      </c>
      <c r="K94" s="6">
        <v>4.03</v>
      </c>
      <c r="L94" t="s">
        <v>23</v>
      </c>
      <c r="M94" t="s">
        <v>24</v>
      </c>
      <c r="N94" s="2" t="str">
        <f>HYPERLINK("https://yandex.ru/maps/?&amp;text=50.196065, 39.573052", "50.196065, 39.573052")</f>
        <v>50.196065, 39.573052</v>
      </c>
      <c r="O94" t="s">
        <v>672</v>
      </c>
      <c r="P94" t="s">
        <v>673</v>
      </c>
      <c r="Q94" s="7" t="str">
        <f>HYPERLINK("D:\torgi_project\venv_torgi\cache\objs_in_district/50.196065_39.573052.json", "50.196065_39.573052.json")</f>
        <v>50.196065_39.573052.json</v>
      </c>
      <c r="R94">
        <v>1184</v>
      </c>
      <c r="S94" s="6">
        <v>12.25</v>
      </c>
    </row>
    <row r="95" spans="1:19" hidden="1">
      <c r="A95" s="4"/>
      <c r="B95" t="s">
        <v>453</v>
      </c>
      <c r="C95" s="1">
        <v>330.4</v>
      </c>
      <c r="D95" s="2" t="str">
        <f>HYPERLINK("https://torgi.gov.ru/new/public/lots/lot/21000014870000000001_1/(lotInfo:info)", "21000014870000000001_1")</f>
        <v>21000014870000000001_1</v>
      </c>
      <c r="E95" t="s">
        <v>494</v>
      </c>
      <c r="F95" s="3">
        <v>9806.2953995157386</v>
      </c>
      <c r="G95" s="3">
        <v>3240000</v>
      </c>
      <c r="H95" t="s">
        <v>495</v>
      </c>
      <c r="I95" t="s">
        <v>496</v>
      </c>
      <c r="J95" t="s">
        <v>497</v>
      </c>
      <c r="L95" t="s">
        <v>23</v>
      </c>
      <c r="M95" t="s">
        <v>24</v>
      </c>
    </row>
    <row r="96" spans="1:19" hidden="1">
      <c r="A96" s="4"/>
      <c r="B96" t="s">
        <v>498</v>
      </c>
      <c r="C96" s="1">
        <v>45.6</v>
      </c>
      <c r="D96" s="2" t="str">
        <f>HYPERLINK("https://torgi.gov.ru/new/public/lots/lot/21000021980000000001_5/(lotInfo:info)", "21000021980000000001_5")</f>
        <v>21000021980000000001_5</v>
      </c>
      <c r="E96" t="s">
        <v>499</v>
      </c>
      <c r="F96" s="3">
        <v>38092.105263157893</v>
      </c>
      <c r="G96" s="3">
        <v>1737000</v>
      </c>
      <c r="H96" t="s">
        <v>500</v>
      </c>
      <c r="I96" t="s">
        <v>501</v>
      </c>
      <c r="J96" t="s">
        <v>502</v>
      </c>
      <c r="L96" t="s">
        <v>90</v>
      </c>
      <c r="M96" t="s">
        <v>24</v>
      </c>
    </row>
    <row r="97" spans="1:19">
      <c r="A97" s="4"/>
      <c r="B97" t="s">
        <v>222</v>
      </c>
      <c r="C97" s="1">
        <v>219</v>
      </c>
      <c r="D97" s="2" t="str">
        <f>HYPERLINK("https://torgi.gov.ru/new/public/lots/lot/21000033830000000006_1/(lotInfo:info)", "21000033830000000006_1")</f>
        <v>21000033830000000006_1</v>
      </c>
      <c r="E97" t="s">
        <v>1255</v>
      </c>
      <c r="F97" s="3">
        <v>8245.2054794520554</v>
      </c>
      <c r="G97" s="3">
        <v>1805700</v>
      </c>
      <c r="H97" t="s">
        <v>1256</v>
      </c>
      <c r="I97" t="s">
        <v>1257</v>
      </c>
      <c r="J97" t="s">
        <v>1258</v>
      </c>
      <c r="K97" s="6">
        <v>4.1100000000000003</v>
      </c>
      <c r="L97" t="s">
        <v>23</v>
      </c>
      <c r="M97" t="s">
        <v>24</v>
      </c>
      <c r="N97" s="2" t="str">
        <f>HYPERLINK("https://yandex.ru/maps/?&amp;text=57.813397, 27.613826", "57.813397, 27.613826")</f>
        <v>57.813397, 27.613826</v>
      </c>
      <c r="O97" t="s">
        <v>1259</v>
      </c>
      <c r="P97" t="s">
        <v>1109</v>
      </c>
      <c r="Q97" s="7" t="str">
        <f>HYPERLINK("D:\torgi_project\venv_torgi\cache\objs_in_district/57.813397_27.613826.json", "57.813397_27.613826.json")</f>
        <v>57.813397_27.613826.json</v>
      </c>
      <c r="R97">
        <v>238</v>
      </c>
      <c r="S97" s="6">
        <v>34.64</v>
      </c>
    </row>
    <row r="98" spans="1:19">
      <c r="A98" s="4"/>
      <c r="B98" t="s">
        <v>158</v>
      </c>
      <c r="C98" s="1">
        <v>23.9</v>
      </c>
      <c r="D98" s="2" t="str">
        <f>HYPERLINK("https://torgi.gov.ru/new/public/lots/lot/21000002750000000019_1/(lotInfo:info)", "21000002750000000019_1")</f>
        <v>21000002750000000019_1</v>
      </c>
      <c r="E98" t="s">
        <v>629</v>
      </c>
      <c r="F98" s="3">
        <v>28443.514644351471</v>
      </c>
      <c r="G98" s="3">
        <v>679800</v>
      </c>
      <c r="H98" t="s">
        <v>630</v>
      </c>
      <c r="I98" t="s">
        <v>631</v>
      </c>
      <c r="J98" t="s">
        <v>632</v>
      </c>
      <c r="K98" s="6">
        <v>4.18</v>
      </c>
      <c r="L98" t="s">
        <v>23</v>
      </c>
      <c r="M98" t="s">
        <v>24</v>
      </c>
      <c r="N98" s="2" t="str">
        <f>HYPERLINK("https://yandex.ru/maps/?&amp;text=59.223835, 39.936528", "59.223835, 39.936528")</f>
        <v>59.223835, 39.936528</v>
      </c>
      <c r="O98" t="s">
        <v>633</v>
      </c>
      <c r="P98" t="s">
        <v>216</v>
      </c>
      <c r="Q98" s="7" t="str">
        <f>HYPERLINK("D:\torgi_project\venv_torgi\cache\objs_in_district/59.223835_39.936528.json", "59.223835_39.936528.json")</f>
        <v>59.223835_39.936528.json</v>
      </c>
      <c r="R98">
        <v>3702</v>
      </c>
      <c r="S98" s="6">
        <v>7.68</v>
      </c>
    </row>
    <row r="99" spans="1:19" hidden="1">
      <c r="A99" s="4"/>
      <c r="B99" t="s">
        <v>513</v>
      </c>
      <c r="C99" s="1">
        <v>125.6</v>
      </c>
      <c r="D99" s="2" t="str">
        <f>HYPERLINK("https://torgi.gov.ru/new/public/lots/lot/21000013350000000020_1/(lotInfo:info)", "21000013350000000020_1")</f>
        <v>21000013350000000020_1</v>
      </c>
      <c r="E99" t="s">
        <v>514</v>
      </c>
      <c r="F99" s="3">
        <v>4132.1656050955417</v>
      </c>
      <c r="G99" s="3">
        <v>519000</v>
      </c>
      <c r="H99" t="s">
        <v>515</v>
      </c>
      <c r="I99" t="s">
        <v>516</v>
      </c>
      <c r="J99" t="s">
        <v>517</v>
      </c>
      <c r="L99" t="s">
        <v>23</v>
      </c>
      <c r="M99" t="s">
        <v>24</v>
      </c>
      <c r="N99" s="2" t="str">
        <f>HYPERLINK("https://yandex.ru/maps/?&amp;text=52.990291, 31.621938", "52.990291, 31.621938")</f>
        <v>52.990291, 31.621938</v>
      </c>
      <c r="R99">
        <v>214</v>
      </c>
      <c r="S99" s="6">
        <v>19.309999999999999</v>
      </c>
    </row>
    <row r="100" spans="1:19">
      <c r="A100" s="4"/>
      <c r="B100" t="s">
        <v>1130</v>
      </c>
      <c r="C100" s="1">
        <v>205.7</v>
      </c>
      <c r="D100" s="2" t="str">
        <f>HYPERLINK("https://torgi.gov.ru/new/public/lots/lot/21000020190000000001_3/(lotInfo:info)", "21000020190000000001_3")</f>
        <v>21000020190000000001_3</v>
      </c>
      <c r="E100" t="s">
        <v>1338</v>
      </c>
      <c r="F100" s="3">
        <v>15611.3271754983</v>
      </c>
      <c r="G100" s="3">
        <v>3211250</v>
      </c>
      <c r="H100" t="s">
        <v>1339</v>
      </c>
      <c r="I100" t="s">
        <v>1340</v>
      </c>
      <c r="J100" t="s">
        <v>1341</v>
      </c>
      <c r="K100" s="6">
        <v>4.2</v>
      </c>
      <c r="L100" t="s">
        <v>23</v>
      </c>
      <c r="M100" t="s">
        <v>24</v>
      </c>
      <c r="N100" s="2" t="str">
        <f>HYPERLINK("https://yandex.ru/maps/?&amp;text=56.90548, 59.92929", "56.90548, 59.92929")</f>
        <v>56.90548, 59.92929</v>
      </c>
      <c r="O100" t="s">
        <v>1342</v>
      </c>
      <c r="P100" t="s">
        <v>85</v>
      </c>
      <c r="Q100" s="7" t="str">
        <f>HYPERLINK("D:\torgi_project\venv_torgi\cache\objs_in_district/56.90548_59.92929.json", "56.90548_59.92929.json")</f>
        <v>56.90548_59.92929.json</v>
      </c>
      <c r="R100">
        <v>1487</v>
      </c>
      <c r="S100" s="6">
        <v>10.5</v>
      </c>
    </row>
    <row r="101" spans="1:19">
      <c r="A101" s="4"/>
      <c r="B101" t="s">
        <v>1177</v>
      </c>
      <c r="C101" s="1">
        <v>308</v>
      </c>
      <c r="D101" s="2" t="str">
        <f>HYPERLINK("https://torgi.gov.ru/new/public/lots/lot/21000015830000000002_1/(lotInfo:info)", "21000015830000000002_1")</f>
        <v>21000015830000000002_1</v>
      </c>
      <c r="E101" t="s">
        <v>1188</v>
      </c>
      <c r="F101" s="3">
        <v>2344.1558441558441</v>
      </c>
      <c r="G101" s="3">
        <v>722000</v>
      </c>
      <c r="H101" t="s">
        <v>1189</v>
      </c>
      <c r="I101" t="s">
        <v>1190</v>
      </c>
      <c r="J101" t="s">
        <v>1191</v>
      </c>
      <c r="K101" s="6">
        <v>4.32</v>
      </c>
      <c r="L101" t="s">
        <v>90</v>
      </c>
      <c r="M101" t="s">
        <v>24</v>
      </c>
      <c r="N101" s="2" t="str">
        <f>HYPERLINK("https://yandex.ru/maps/?&amp;text=52.785229, 46.748714", "52.785229, 46.748714")</f>
        <v>52.785229, 46.748714</v>
      </c>
      <c r="O101" t="s">
        <v>333</v>
      </c>
      <c r="P101" t="s">
        <v>18</v>
      </c>
      <c r="Q101" s="7" t="str">
        <f>HYPERLINK("D:\torgi_project\venv_torgi\cache\objs_in_district/52.785229_46.748714.json", "52.785229_46.748714.json")</f>
        <v>52.785229_46.748714.json</v>
      </c>
      <c r="R101">
        <v>414</v>
      </c>
      <c r="S101" s="6">
        <v>5.66</v>
      </c>
    </row>
    <row r="102" spans="1:19">
      <c r="A102" s="4"/>
      <c r="B102" t="s">
        <v>27</v>
      </c>
      <c r="C102" s="1">
        <v>283.7</v>
      </c>
      <c r="D102" s="2" t="str">
        <f>HYPERLINK("https://torgi.gov.ru/new/public/lots/lot/21000022850000000050_26/(lotInfo:info)", "21000022850000000050_26")</f>
        <v>21000022850000000050_26</v>
      </c>
      <c r="E102" t="s">
        <v>31</v>
      </c>
      <c r="F102" s="3">
        <v>11831.98801550934</v>
      </c>
      <c r="G102" s="3">
        <v>3356735</v>
      </c>
      <c r="H102" t="s">
        <v>32</v>
      </c>
      <c r="I102" t="s">
        <v>33</v>
      </c>
      <c r="J102" t="s">
        <v>34</v>
      </c>
      <c r="K102" s="6">
        <v>4.3600000000000003</v>
      </c>
      <c r="L102" t="s">
        <v>23</v>
      </c>
      <c r="M102" t="s">
        <v>35</v>
      </c>
      <c r="N102" s="2" t="str">
        <f>HYPERLINK("https://yandex.ru/maps/?&amp;text=53.645922, 55.932047", "53.645922, 55.932047")</f>
        <v>53.645922, 55.932047</v>
      </c>
      <c r="O102" t="s">
        <v>36</v>
      </c>
      <c r="P102" t="s">
        <v>37</v>
      </c>
      <c r="Q102" s="7" t="str">
        <f>HYPERLINK("D:\torgi_project\venv_torgi\cache\objs_in_district/53.645922_55.932047.json", "53.645922_55.932047.json")</f>
        <v>53.645922_55.932047.json</v>
      </c>
      <c r="R102">
        <v>4359</v>
      </c>
      <c r="S102" s="6">
        <v>2.71</v>
      </c>
    </row>
    <row r="103" spans="1:19">
      <c r="A103" s="4"/>
      <c r="B103" t="s">
        <v>387</v>
      </c>
      <c r="C103" s="1">
        <v>419</v>
      </c>
      <c r="D103" s="2" t="str">
        <f>HYPERLINK("https://torgi.gov.ru/new/public/lots/lot/22000056320000000003_3/(lotInfo:info)", "22000056320000000003_3")</f>
        <v>22000056320000000003_3</v>
      </c>
      <c r="E103" t="s">
        <v>1267</v>
      </c>
      <c r="F103" s="3">
        <v>1789.976133651551</v>
      </c>
      <c r="G103" s="3">
        <v>750000</v>
      </c>
      <c r="H103" t="s">
        <v>1268</v>
      </c>
      <c r="I103" t="s">
        <v>1269</v>
      </c>
      <c r="J103" t="s">
        <v>1270</v>
      </c>
      <c r="K103" s="6">
        <v>4.3899999999999997</v>
      </c>
      <c r="L103" t="s">
        <v>592</v>
      </c>
      <c r="M103" t="s">
        <v>24</v>
      </c>
      <c r="N103" s="2" t="str">
        <f>HYPERLINK("https://yandex.ru/maps/?&amp;text=47.718725, 40.234221", "47.718725, 40.234221")</f>
        <v>47.718725, 40.234221</v>
      </c>
      <c r="O103" t="s">
        <v>1271</v>
      </c>
      <c r="P103" t="s">
        <v>85</v>
      </c>
      <c r="Q103" s="7" t="str">
        <f>HYPERLINK("D:\torgi_project\venv_torgi\cache\objs_in_district/47.718725_40.234221.json", "47.718725_40.234221.json")</f>
        <v>47.718725_40.234221.json</v>
      </c>
      <c r="R103">
        <v>2480</v>
      </c>
      <c r="S103" s="6">
        <v>0.72</v>
      </c>
    </row>
    <row r="104" spans="1:19">
      <c r="A104" s="4"/>
      <c r="B104" t="s">
        <v>784</v>
      </c>
      <c r="C104" s="1">
        <v>67</v>
      </c>
      <c r="D104" s="2" t="str">
        <f>HYPERLINK("https://torgi.gov.ru/new/public/lots/lot/21000000010000000003_4/(lotInfo:info)", "21000000010000000003_4")</f>
        <v>21000000010000000003_4</v>
      </c>
      <c r="E104" t="s">
        <v>818</v>
      </c>
      <c r="F104" s="3">
        <v>18617.910447761191</v>
      </c>
      <c r="G104" s="3">
        <v>1247400</v>
      </c>
      <c r="H104" t="s">
        <v>819</v>
      </c>
      <c r="I104" t="s">
        <v>820</v>
      </c>
      <c r="J104" t="s">
        <v>821</v>
      </c>
      <c r="K104" s="6">
        <v>4.4800000000000004</v>
      </c>
      <c r="L104" t="s">
        <v>23</v>
      </c>
      <c r="M104" t="s">
        <v>24</v>
      </c>
      <c r="N104" s="2" t="str">
        <f>HYPERLINK("https://yandex.ru/maps/?&amp;text=56.078564, 86.013824", "56.078564, 86.013824")</f>
        <v>56.078564, 86.013824</v>
      </c>
      <c r="O104" t="s">
        <v>822</v>
      </c>
      <c r="P104" t="s">
        <v>118</v>
      </c>
      <c r="Q104" s="7" t="str">
        <f>HYPERLINK("D:\torgi_project\venv_torgi\cache\objs_in_district/56.078564_86.013824.json", "56.078564_86.013824.json")</f>
        <v>56.078564_86.013824.json</v>
      </c>
      <c r="R104">
        <v>1376</v>
      </c>
      <c r="S104" s="6">
        <v>13.53</v>
      </c>
    </row>
    <row r="105" spans="1:19" hidden="1">
      <c r="A105" s="4"/>
      <c r="B105" t="s">
        <v>513</v>
      </c>
      <c r="C105" s="1">
        <v>1033.7</v>
      </c>
      <c r="D105" s="2" t="str">
        <f>HYPERLINK("https://torgi.gov.ru/new/public/lots/lot/21000030690000000016_1/(lotInfo:info)", "21000030690000000016_1")</f>
        <v>21000030690000000016_1</v>
      </c>
      <c r="E105" t="s">
        <v>537</v>
      </c>
      <c r="F105" s="3">
        <v>1108.977459611106</v>
      </c>
      <c r="G105" s="3">
        <v>1146350</v>
      </c>
      <c r="H105" t="s">
        <v>538</v>
      </c>
      <c r="I105" t="s">
        <v>534</v>
      </c>
      <c r="L105" t="s">
        <v>23</v>
      </c>
      <c r="M105" t="s">
        <v>35</v>
      </c>
      <c r="N105" s="2" t="str">
        <f>HYPERLINK("https://yandex.ru/maps/?&amp;text=52.965224, 31.968822", "52.965224, 31.968822")</f>
        <v>52.965224, 31.968822</v>
      </c>
      <c r="R105">
        <v>239</v>
      </c>
      <c r="S105" s="6">
        <v>4.6399999999999997</v>
      </c>
    </row>
    <row r="106" spans="1:19">
      <c r="A106" s="4"/>
      <c r="B106" t="s">
        <v>488</v>
      </c>
      <c r="C106" s="1">
        <v>16.600000000000001</v>
      </c>
      <c r="D106" s="2" t="str">
        <f>HYPERLINK("https://torgi.gov.ru/new/public/lots/lot/21000004710000001532_1/(lotInfo:info)", "21000004710000001532_1")</f>
        <v>21000004710000001532_1</v>
      </c>
      <c r="E106" t="s">
        <v>962</v>
      </c>
      <c r="F106" s="3">
        <v>41820</v>
      </c>
      <c r="G106" s="3">
        <v>694212</v>
      </c>
      <c r="H106" t="s">
        <v>963</v>
      </c>
      <c r="I106" t="s">
        <v>964</v>
      </c>
      <c r="J106" t="s">
        <v>965</v>
      </c>
      <c r="K106" s="6">
        <v>4.49</v>
      </c>
      <c r="L106" t="s">
        <v>23</v>
      </c>
      <c r="M106" t="s">
        <v>24</v>
      </c>
      <c r="N106" s="2" t="str">
        <f>HYPERLINK("https://yandex.ru/maps/?&amp;text=55.577638, 38.24289", "55.577638, 38.24289")</f>
        <v>55.577638, 38.24289</v>
      </c>
      <c r="O106" t="s">
        <v>966</v>
      </c>
      <c r="P106" t="s">
        <v>415</v>
      </c>
      <c r="Q106" s="7" t="str">
        <f>HYPERLINK("D:\torgi_project\venv_torgi\cache\objs_in_district/55.577638_38.24289.json", "55.577638_38.24289.json")</f>
        <v>55.577638_38.24289.json</v>
      </c>
      <c r="R106">
        <v>1090</v>
      </c>
      <c r="S106" s="6">
        <v>38.369999999999997</v>
      </c>
    </row>
    <row r="107" spans="1:19">
      <c r="A107" s="4"/>
      <c r="B107" t="s">
        <v>158</v>
      </c>
      <c r="C107" s="1">
        <v>213.7</v>
      </c>
      <c r="D107" s="2" t="str">
        <f>HYPERLINK("https://torgi.gov.ru/new/public/lots/lot/22000117350000000001_1/(lotInfo:info)", "22000117350000000001_1")</f>
        <v>22000117350000000001_1</v>
      </c>
      <c r="E107" t="s">
        <v>609</v>
      </c>
      <c r="F107" s="3">
        <v>4351.895180159102</v>
      </c>
      <c r="G107" s="3">
        <v>930000</v>
      </c>
      <c r="H107" t="s">
        <v>610</v>
      </c>
      <c r="I107" t="s">
        <v>611</v>
      </c>
      <c r="J107" t="s">
        <v>612</v>
      </c>
      <c r="K107" s="6">
        <v>4.5199999999999996</v>
      </c>
      <c r="L107" t="s">
        <v>23</v>
      </c>
      <c r="M107" t="s">
        <v>24</v>
      </c>
      <c r="N107" s="2" t="str">
        <f>HYPERLINK("https://yandex.ru/maps/?&amp;text=58.842931, 36.428517", "58.842931, 36.428517")</f>
        <v>58.842931, 36.428517</v>
      </c>
      <c r="O107" t="s">
        <v>613</v>
      </c>
      <c r="P107" t="s">
        <v>189</v>
      </c>
      <c r="Q107" s="7" t="str">
        <f>HYPERLINK("D:\torgi_project\venv_torgi\cache\objs_in_district/58.842931_36.428517.json", "58.842931_36.428517.json")</f>
        <v>58.842931_36.428517.json</v>
      </c>
      <c r="R107">
        <v>319</v>
      </c>
      <c r="S107" s="6">
        <v>13.64</v>
      </c>
    </row>
    <row r="108" spans="1:19">
      <c r="A108" s="4"/>
      <c r="B108" t="s">
        <v>729</v>
      </c>
      <c r="C108" s="1">
        <v>35.9</v>
      </c>
      <c r="D108" s="2" t="str">
        <f>HYPERLINK("https://torgi.gov.ru/new/public/lots/lot/21000014860000000002_2/(lotInfo:info)", "21000014860000000002_2")</f>
        <v>21000014860000000002_2</v>
      </c>
      <c r="E108" t="s">
        <v>1294</v>
      </c>
      <c r="F108" s="3">
        <v>39917.130919220057</v>
      </c>
      <c r="G108" s="3">
        <v>1433025</v>
      </c>
      <c r="H108" t="s">
        <v>1295</v>
      </c>
      <c r="I108" t="s">
        <v>1296</v>
      </c>
      <c r="K108" s="6">
        <v>4.54</v>
      </c>
      <c r="L108" t="s">
        <v>23</v>
      </c>
      <c r="M108" t="s">
        <v>24</v>
      </c>
      <c r="N108" s="2" t="str">
        <f>HYPERLINK("https://yandex.ru/maps/?&amp;text=53.08905, 49.989243", "53.08905, 49.989243")</f>
        <v>53.08905, 49.989243</v>
      </c>
      <c r="O108" t="s">
        <v>1297</v>
      </c>
      <c r="P108" t="s">
        <v>189</v>
      </c>
      <c r="Q108" s="7" t="str">
        <f>HYPERLINK("D:\torgi_project\venv_torgi\cache\objs_in_district/53.08905_49.989243.json", "53.08905_49.989243.json")</f>
        <v>53.08905_49.989243.json</v>
      </c>
      <c r="R108">
        <v>2667</v>
      </c>
      <c r="S108" s="6">
        <v>14.97</v>
      </c>
    </row>
    <row r="109" spans="1:19" hidden="1">
      <c r="A109" s="4"/>
      <c r="B109" t="s">
        <v>513</v>
      </c>
      <c r="C109" s="1">
        <v>224</v>
      </c>
      <c r="D109" s="2" t="str">
        <f>HYPERLINK("https://torgi.gov.ru/new/public/lots/lot/21000013350000000010_1/(lotInfo:info)", "21000013350000000010_1")</f>
        <v>21000013350000000010_1</v>
      </c>
      <c r="E109" t="s">
        <v>550</v>
      </c>
      <c r="F109" s="3">
        <v>3995.5357142857142</v>
      </c>
      <c r="G109" s="3">
        <v>895000</v>
      </c>
      <c r="H109" t="s">
        <v>551</v>
      </c>
      <c r="I109" t="s">
        <v>552</v>
      </c>
      <c r="J109" t="s">
        <v>553</v>
      </c>
      <c r="L109" t="s">
        <v>23</v>
      </c>
      <c r="M109" t="s">
        <v>24</v>
      </c>
      <c r="N109" s="2" t="str">
        <f>HYPERLINK("https://yandex.ru/maps/?&amp;text=53.012044, 31.58048", "53.012044, 31.58048")</f>
        <v>53.012044, 31.58048</v>
      </c>
      <c r="R109">
        <v>348</v>
      </c>
      <c r="S109" s="6">
        <v>11.48</v>
      </c>
    </row>
    <row r="110" spans="1:19" hidden="1">
      <c r="A110" s="4"/>
      <c r="B110" t="s">
        <v>554</v>
      </c>
      <c r="C110" s="1">
        <v>168</v>
      </c>
      <c r="D110" s="2" t="str">
        <f>HYPERLINK("https://torgi.gov.ru/new/public/lots/lot/21000019300000000008_1/(lotInfo:info)", "21000019300000000008_1")</f>
        <v>21000019300000000008_1</v>
      </c>
      <c r="E110" t="s">
        <v>555</v>
      </c>
      <c r="F110" s="3">
        <v>29232.534523809521</v>
      </c>
      <c r="G110" s="3">
        <v>4911065.8</v>
      </c>
      <c r="H110" t="s">
        <v>556</v>
      </c>
      <c r="I110" t="s">
        <v>557</v>
      </c>
      <c r="J110" t="s">
        <v>558</v>
      </c>
      <c r="L110" t="s">
        <v>90</v>
      </c>
      <c r="M110" t="s">
        <v>24</v>
      </c>
    </row>
    <row r="111" spans="1:19">
      <c r="A111" s="4"/>
      <c r="B111" t="s">
        <v>291</v>
      </c>
      <c r="C111" s="1">
        <v>262.10000000000002</v>
      </c>
      <c r="D111" s="2" t="str">
        <f>HYPERLINK("https://torgi.gov.ru/new/public/lots/lot/21000015510000000003_8/(lotInfo:info)", "21000015510000000003_8")</f>
        <v>21000015510000000003_8</v>
      </c>
      <c r="E111" t="s">
        <v>319</v>
      </c>
      <c r="F111" s="3">
        <v>8008.3937428462414</v>
      </c>
      <c r="G111" s="3">
        <v>2099000</v>
      </c>
      <c r="H111" t="s">
        <v>320</v>
      </c>
      <c r="I111" t="s">
        <v>321</v>
      </c>
      <c r="J111" t="s">
        <v>322</v>
      </c>
      <c r="K111" s="6">
        <v>4.76</v>
      </c>
      <c r="L111" t="s">
        <v>23</v>
      </c>
      <c r="M111" t="s">
        <v>24</v>
      </c>
      <c r="N111" s="2" t="str">
        <f>HYPERLINK("https://yandex.ru/maps/?&amp;text=53.370193, 83.6869", "53.370193, 83.6869")</f>
        <v>53.370193, 83.6869</v>
      </c>
      <c r="O111" t="s">
        <v>323</v>
      </c>
      <c r="P111" t="s">
        <v>85</v>
      </c>
      <c r="Q111" s="7" t="str">
        <f>HYPERLINK("D:\torgi_project\venv_torgi\cache\objs_in_district/53.370193_83.6869.json", "53.370193_83.6869.json")</f>
        <v>53.370193_83.6869.json</v>
      </c>
      <c r="R111">
        <v>4140</v>
      </c>
      <c r="S111" s="6">
        <v>1.93</v>
      </c>
    </row>
    <row r="112" spans="1:19">
      <c r="A112" s="4"/>
      <c r="B112" t="s">
        <v>784</v>
      </c>
      <c r="C112" s="1">
        <v>310.39999999999998</v>
      </c>
      <c r="D112" s="2" t="str">
        <f>HYPERLINK("https://torgi.gov.ru/new/public/lots/lot/22000014620000000002_1/(lotInfo:info)", "22000014620000000002_1")</f>
        <v>22000014620000000002_1</v>
      </c>
      <c r="E112" t="s">
        <v>804</v>
      </c>
      <c r="F112" s="3">
        <v>13227.126288659791</v>
      </c>
      <c r="G112" s="3">
        <v>4105700</v>
      </c>
      <c r="H112" t="s">
        <v>805</v>
      </c>
      <c r="I112" t="s">
        <v>806</v>
      </c>
      <c r="J112" t="s">
        <v>807</v>
      </c>
      <c r="K112" s="6">
        <v>4.76</v>
      </c>
      <c r="L112" t="s">
        <v>90</v>
      </c>
      <c r="M112" t="s">
        <v>24</v>
      </c>
      <c r="N112" s="2" t="str">
        <f>HYPERLINK("https://yandex.ru/maps/?&amp;text=55.66111, 86.266852", "55.66111, 86.266852")</f>
        <v>55.66111, 86.266852</v>
      </c>
      <c r="O112" t="s">
        <v>808</v>
      </c>
      <c r="P112" t="s">
        <v>227</v>
      </c>
      <c r="Q112" s="7" t="str">
        <f>HYPERLINK("D:\torgi_project\venv_torgi\cache\objs_in_district/55.66111_86.266852.json", "55.66111_86.266852.json")</f>
        <v>55.66111_86.266852.json</v>
      </c>
      <c r="R112">
        <v>1341</v>
      </c>
      <c r="S112" s="6">
        <v>9.86</v>
      </c>
    </row>
    <row r="113" spans="1:19" hidden="1">
      <c r="A113" s="4"/>
      <c r="B113" t="s">
        <v>554</v>
      </c>
      <c r="C113" s="1">
        <v>271.60000000000002</v>
      </c>
      <c r="D113" s="2" t="str">
        <f>HYPERLINK("https://torgi.gov.ru/new/public/lots/lot/22000010510000000002_1/(lotInfo:info)", "22000010510000000002_1")</f>
        <v>22000010510000000002_1</v>
      </c>
      <c r="E113" t="s">
        <v>568</v>
      </c>
      <c r="F113" s="3">
        <v>12116.92562592047</v>
      </c>
      <c r="G113" s="3">
        <v>3290957</v>
      </c>
      <c r="H113" t="s">
        <v>569</v>
      </c>
      <c r="I113" t="s">
        <v>570</v>
      </c>
      <c r="J113" t="s">
        <v>571</v>
      </c>
      <c r="L113" t="s">
        <v>23</v>
      </c>
      <c r="M113" t="s">
        <v>24</v>
      </c>
    </row>
    <row r="114" spans="1:19">
      <c r="A114" s="4"/>
      <c r="B114" t="s">
        <v>107</v>
      </c>
      <c r="C114" s="1">
        <v>14.4</v>
      </c>
      <c r="D114" s="2" t="str">
        <f>HYPERLINK("https://torgi.gov.ru/new/public/lots/lot/21000014890000000009_1/(lotInfo:info)", "21000014890000000009_1")</f>
        <v>21000014890000000009_1</v>
      </c>
      <c r="E114" t="s">
        <v>371</v>
      </c>
      <c r="F114" s="3">
        <v>36583.333333333343</v>
      </c>
      <c r="G114" s="3">
        <v>526800</v>
      </c>
      <c r="H114" t="s">
        <v>372</v>
      </c>
      <c r="I114" t="s">
        <v>373</v>
      </c>
      <c r="J114" t="s">
        <v>374</v>
      </c>
      <c r="K114" s="6">
        <v>4.8</v>
      </c>
      <c r="L114" t="s">
        <v>23</v>
      </c>
      <c r="M114" t="s">
        <v>24</v>
      </c>
      <c r="N114" s="2" t="str">
        <f>HYPERLINK("https://yandex.ru/maps/?&amp;text=56.066957, 92.93227", "56.066957, 92.93227")</f>
        <v>56.066957, 92.93227</v>
      </c>
      <c r="O114" t="s">
        <v>375</v>
      </c>
      <c r="P114" t="s">
        <v>247</v>
      </c>
      <c r="Q114" s="7" t="str">
        <f>HYPERLINK("D:\torgi_project\venv_torgi\cache\objs_in_district/56.066957_92.93227.json", "56.066957_92.93227.json")</f>
        <v>56.066957_92.93227.json</v>
      </c>
      <c r="R114">
        <v>3589</v>
      </c>
      <c r="S114" s="6">
        <v>10.19</v>
      </c>
    </row>
    <row r="115" spans="1:19">
      <c r="A115" s="4"/>
      <c r="B115" t="s">
        <v>366</v>
      </c>
      <c r="C115" s="1">
        <v>233.5</v>
      </c>
      <c r="D115" s="2" t="str">
        <f>HYPERLINK("https://torgi.gov.ru/new/public/lots/lot/22000061890000000001_1/(lotInfo:info)", "22000061890000000001_1")</f>
        <v>22000061890000000001_1</v>
      </c>
      <c r="E115" t="s">
        <v>736</v>
      </c>
      <c r="F115" s="3">
        <v>12038.54389721627</v>
      </c>
      <c r="G115" s="3">
        <v>2811000</v>
      </c>
      <c r="H115" t="s">
        <v>737</v>
      </c>
      <c r="I115" t="s">
        <v>738</v>
      </c>
      <c r="J115" t="s">
        <v>739</v>
      </c>
      <c r="K115" s="6">
        <v>4.88</v>
      </c>
      <c r="L115" t="s">
        <v>23</v>
      </c>
      <c r="M115" t="s">
        <v>24</v>
      </c>
      <c r="N115" s="2" t="str">
        <f>HYPERLINK("https://yandex.ru/maps/?&amp;text=53.075596, 103.34048", "53.075596, 103.34048")</f>
        <v>53.075596, 103.34048</v>
      </c>
      <c r="O115" t="s">
        <v>740</v>
      </c>
      <c r="P115" t="s">
        <v>209</v>
      </c>
      <c r="Q115" s="7" t="str">
        <f>HYPERLINK("D:\torgi_project\venv_torgi\cache\objs_in_district/53.075596_103.34048.json", "53.075596_103.34048.json")</f>
        <v>53.075596_103.34048.json</v>
      </c>
      <c r="R115">
        <v>930</v>
      </c>
      <c r="S115" s="6">
        <v>12.94</v>
      </c>
    </row>
    <row r="116" spans="1:19">
      <c r="A116" s="4"/>
      <c r="B116" t="s">
        <v>784</v>
      </c>
      <c r="C116" s="1">
        <v>125.7</v>
      </c>
      <c r="D116" s="2" t="str">
        <f>HYPERLINK("https://torgi.gov.ru/new/public/lots/lot/21000002310000000037_1/(lotInfo:info)", "21000002310000000037_1")</f>
        <v>21000002310000000037_1</v>
      </c>
      <c r="E116" t="s">
        <v>813</v>
      </c>
      <c r="F116" s="3">
        <v>5712.0190930787594</v>
      </c>
      <c r="G116" s="3">
        <v>718000.8</v>
      </c>
      <c r="H116" t="s">
        <v>814</v>
      </c>
      <c r="I116" t="s">
        <v>815</v>
      </c>
      <c r="J116" t="s">
        <v>816</v>
      </c>
      <c r="K116" s="6">
        <v>4.95</v>
      </c>
      <c r="L116" t="s">
        <v>90</v>
      </c>
      <c r="M116" t="s">
        <v>24</v>
      </c>
      <c r="N116" s="2" t="str">
        <f>HYPERLINK("https://yandex.ru/maps/?&amp;text=55.281672, 85.627242", "55.281672, 85.627242")</f>
        <v>55.281672, 85.627242</v>
      </c>
      <c r="O116" t="s">
        <v>817</v>
      </c>
      <c r="P116" t="s">
        <v>189</v>
      </c>
      <c r="Q116" s="7" t="str">
        <f>HYPERLINK("D:\torgi_project\venv_torgi\cache\objs_in_district/55.281672_85.627242.json", "55.281672_85.627242.json")</f>
        <v>55.281672_85.627242.json</v>
      </c>
      <c r="R116">
        <v>1418</v>
      </c>
      <c r="S116" s="6">
        <v>4.03</v>
      </c>
    </row>
    <row r="117" spans="1:19">
      <c r="A117" s="4"/>
      <c r="B117" t="s">
        <v>61</v>
      </c>
      <c r="C117" s="1">
        <v>120.8</v>
      </c>
      <c r="D117" s="2" t="str">
        <f>HYPERLINK("https://torgi.gov.ru/new/public/lots/lot/21000010870000000002_3/(lotInfo:info)", "21000010870000000002_3")</f>
        <v>21000010870000000002_3</v>
      </c>
      <c r="E117" t="s">
        <v>698</v>
      </c>
      <c r="F117" s="3">
        <v>31622.51655629139</v>
      </c>
      <c r="G117" s="3">
        <v>3820000</v>
      </c>
      <c r="H117" t="s">
        <v>699</v>
      </c>
      <c r="I117" t="s">
        <v>700</v>
      </c>
      <c r="J117" t="s">
        <v>701</v>
      </c>
      <c r="K117" s="6">
        <v>4.9800000000000004</v>
      </c>
      <c r="L117" t="s">
        <v>23</v>
      </c>
      <c r="M117" t="s">
        <v>24</v>
      </c>
      <c r="N117" s="2" t="str">
        <f>HYPERLINK("https://yandex.ru/maps/?&amp;text=56.991302, 40.931529", "56.991302, 40.931529")</f>
        <v>56.991302, 40.931529</v>
      </c>
      <c r="O117" t="s">
        <v>702</v>
      </c>
      <c r="P117" t="s">
        <v>151</v>
      </c>
      <c r="Q117" s="7" t="str">
        <f>HYPERLINK("D:\torgi_project\venv_torgi\cache\objs_in_district/56.991302_40.931529.json", "56.991302_40.931529.json")</f>
        <v>56.991302_40.931529.json</v>
      </c>
      <c r="R117">
        <v>3485</v>
      </c>
      <c r="S117" s="6">
        <v>9.07</v>
      </c>
    </row>
    <row r="118" spans="1:19" hidden="1">
      <c r="A118" s="4"/>
      <c r="B118" t="s">
        <v>577</v>
      </c>
      <c r="C118" s="1">
        <v>10.9</v>
      </c>
      <c r="D118" s="2" t="str">
        <f>HYPERLINK("https://torgi.gov.ru/new/public/lots/lot/21000003300000000015_8/(lotInfo:info)", "21000003300000000015_8")</f>
        <v>21000003300000000015_8</v>
      </c>
      <c r="E118" t="s">
        <v>594</v>
      </c>
      <c r="F118" s="3">
        <v>56146.788990825677</v>
      </c>
      <c r="G118" s="3">
        <v>612000</v>
      </c>
      <c r="H118" t="s">
        <v>595</v>
      </c>
      <c r="I118" t="s">
        <v>596</v>
      </c>
      <c r="J118" t="s">
        <v>597</v>
      </c>
      <c r="L118" t="s">
        <v>23</v>
      </c>
      <c r="M118" t="s">
        <v>24</v>
      </c>
      <c r="N118" s="2" t="str">
        <f>HYPERLINK("https://yandex.ru/maps/?&amp;text=51.018955, 45.706257", "51.018955, 45.706257")</f>
        <v>51.018955, 45.706257</v>
      </c>
      <c r="R118">
        <v>832</v>
      </c>
      <c r="S118" s="6">
        <v>67.48</v>
      </c>
    </row>
    <row r="119" spans="1:19" hidden="1">
      <c r="A119" s="4"/>
      <c r="B119" t="s">
        <v>577</v>
      </c>
      <c r="C119" s="1">
        <v>61.6</v>
      </c>
      <c r="D119" s="2" t="str">
        <f>HYPERLINK("https://torgi.gov.ru/new/public/lots/lot/21000003300000000015_9/(lotInfo:info)", "21000003300000000015_9")</f>
        <v>21000003300000000015_9</v>
      </c>
      <c r="E119" t="s">
        <v>598</v>
      </c>
      <c r="F119" s="3">
        <v>35836.038961038961</v>
      </c>
      <c r="G119" s="3">
        <v>2207500</v>
      </c>
      <c r="H119" t="s">
        <v>599</v>
      </c>
      <c r="I119" t="s">
        <v>596</v>
      </c>
      <c r="J119" t="s">
        <v>600</v>
      </c>
      <c r="L119" t="s">
        <v>23</v>
      </c>
      <c r="M119" t="s">
        <v>24</v>
      </c>
      <c r="N119" s="2" t="str">
        <f>HYPERLINK("https://yandex.ru/maps/?&amp;text=51.01828, 45.70426", "51.01828, 45.70426")</f>
        <v>51.01828, 45.70426</v>
      </c>
      <c r="R119">
        <v>978</v>
      </c>
      <c r="S119" s="6">
        <v>36.64</v>
      </c>
    </row>
    <row r="120" spans="1:19" hidden="1">
      <c r="A120" s="4"/>
      <c r="B120" t="s">
        <v>577</v>
      </c>
      <c r="C120" s="1">
        <v>606.5</v>
      </c>
      <c r="D120" s="2" t="str">
        <f>HYPERLINK("https://torgi.gov.ru/new/public/lots/lot/21000004930000000003_1/(lotInfo:info)", "21000004930000000003_1")</f>
        <v>21000004930000000003_1</v>
      </c>
      <c r="E120" t="s">
        <v>601</v>
      </c>
      <c r="F120" s="3">
        <v>3480.8097444352838</v>
      </c>
      <c r="G120" s="3">
        <v>2111111.11</v>
      </c>
      <c r="H120" t="s">
        <v>602</v>
      </c>
      <c r="I120" t="s">
        <v>603</v>
      </c>
      <c r="J120" t="s">
        <v>604</v>
      </c>
      <c r="L120" t="s">
        <v>592</v>
      </c>
      <c r="M120" t="s">
        <v>24</v>
      </c>
    </row>
    <row r="121" spans="1:19" hidden="1">
      <c r="A121" s="4"/>
      <c r="B121" t="s">
        <v>577</v>
      </c>
      <c r="C121" s="1">
        <v>259.10000000000002</v>
      </c>
      <c r="D121" s="2" t="str">
        <f>HYPERLINK("https://torgi.gov.ru/new/public/lots/lot/21000014370000000004_1/(lotInfo:info)", "21000014370000000004_1")</f>
        <v>21000014370000000004_1</v>
      </c>
      <c r="E121" t="s">
        <v>605</v>
      </c>
      <c r="F121" s="3">
        <v>13553.84021613277</v>
      </c>
      <c r="G121" s="3">
        <v>3511800</v>
      </c>
      <c r="H121" t="s">
        <v>606</v>
      </c>
      <c r="I121" t="s">
        <v>607</v>
      </c>
      <c r="J121" t="s">
        <v>608</v>
      </c>
      <c r="L121" t="s">
        <v>90</v>
      </c>
      <c r="M121" t="s">
        <v>24</v>
      </c>
    </row>
    <row r="122" spans="1:19">
      <c r="A122" s="4"/>
      <c r="B122" t="s">
        <v>1711</v>
      </c>
      <c r="C122" s="1">
        <v>30.8</v>
      </c>
      <c r="D122" s="2" t="str">
        <f>HYPERLINK("https://torgi.gov.ru/new/public/lots/lot/21000002210000000015_1/(lotInfo:info)", "21000002210000000015_1")</f>
        <v>21000002210000000015_1</v>
      </c>
      <c r="E122" t="s">
        <v>1884</v>
      </c>
      <c r="F122" s="3">
        <v>85714.28571428571</v>
      </c>
      <c r="G122" s="3">
        <v>2640000</v>
      </c>
      <c r="H122" t="s">
        <v>2033</v>
      </c>
      <c r="I122" t="s">
        <v>2029</v>
      </c>
      <c r="J122" t="s">
        <v>2034</v>
      </c>
      <c r="K122" s="6">
        <v>4.99</v>
      </c>
      <c r="L122" t="s">
        <v>23</v>
      </c>
      <c r="M122" t="s">
        <v>24</v>
      </c>
      <c r="N122" s="2" t="str">
        <f>HYPERLINK("https://yandex.ru/maps/?&amp;text=59.917917, 30.294282", "59.917917, 30.294282")</f>
        <v>59.917917, 30.294282</v>
      </c>
      <c r="O122" t="s">
        <v>2031</v>
      </c>
      <c r="P122" t="s">
        <v>2032</v>
      </c>
      <c r="Q122" s="7" t="str">
        <f>HYPERLINK("D:\torgi_project\venv_torgi\cache\objs_in_district/59.917917_30.294282.json", "59.917917_30.294282.json")</f>
        <v>59.917917_30.294282.json</v>
      </c>
      <c r="R122">
        <v>8108</v>
      </c>
      <c r="S122" s="6">
        <v>10.57</v>
      </c>
    </row>
    <row r="123" spans="1:19">
      <c r="A123" s="4"/>
      <c r="B123" t="s">
        <v>241</v>
      </c>
      <c r="C123" s="1">
        <v>108.6</v>
      </c>
      <c r="D123" s="2" t="str">
        <f>HYPERLINK("https://torgi.gov.ru/new/public/lots/lot/21000010370000000033_1/(lotInfo:info)", "21000010370000000033_1")</f>
        <v>21000010370000000033_1</v>
      </c>
      <c r="E123" t="s">
        <v>264</v>
      </c>
      <c r="F123" s="3">
        <v>41461.325966850833</v>
      </c>
      <c r="G123" s="3">
        <v>4502700</v>
      </c>
      <c r="H123" t="s">
        <v>265</v>
      </c>
      <c r="I123" t="s">
        <v>225</v>
      </c>
      <c r="J123" t="s">
        <v>266</v>
      </c>
      <c r="K123" s="6">
        <v>5.03</v>
      </c>
      <c r="L123" t="s">
        <v>90</v>
      </c>
      <c r="M123" t="s">
        <v>24</v>
      </c>
      <c r="N123" s="2" t="str">
        <f>HYPERLINK("https://yandex.ru/maps/?&amp;text=56.10183, 47.294243", "56.10183, 47.294243")</f>
        <v>56.10183, 47.294243</v>
      </c>
      <c r="O123" t="s">
        <v>267</v>
      </c>
      <c r="P123" t="s">
        <v>158</v>
      </c>
      <c r="Q123" s="7" t="str">
        <f>HYPERLINK("D:\torgi_project\venv_torgi\cache\objs_in_district/56.10183_47.294243.json", "56.10183_47.294243.json")</f>
        <v>56.10183_47.294243.json</v>
      </c>
      <c r="R123">
        <v>4363</v>
      </c>
      <c r="S123" s="6">
        <v>9.5</v>
      </c>
    </row>
    <row r="124" spans="1:19">
      <c r="A124" s="4"/>
      <c r="B124" t="s">
        <v>216</v>
      </c>
      <c r="C124" s="1">
        <v>46.3</v>
      </c>
      <c r="D124" s="2" t="str">
        <f>HYPERLINK("https://torgi.gov.ru/new/public/lots/lot/21000015480000000017_1/(lotInfo:info)", "21000015480000000017_1")</f>
        <v>21000015480000000017_1</v>
      </c>
      <c r="E124" t="s">
        <v>217</v>
      </c>
      <c r="F124" s="3">
        <v>20656.587473002161</v>
      </c>
      <c r="G124" s="3">
        <v>956400</v>
      </c>
      <c r="H124" t="s">
        <v>218</v>
      </c>
      <c r="I124" t="s">
        <v>219</v>
      </c>
      <c r="J124" t="s">
        <v>220</v>
      </c>
      <c r="K124" s="6">
        <v>5.04</v>
      </c>
      <c r="L124" t="s">
        <v>90</v>
      </c>
      <c r="M124" t="s">
        <v>24</v>
      </c>
      <c r="N124" s="2" t="str">
        <f>HYPERLINK("https://yandex.ru/maps/?&amp;text=56.470835, 53.80348", "56.470835, 53.80348")</f>
        <v>56.470835, 53.80348</v>
      </c>
      <c r="O124" t="s">
        <v>221</v>
      </c>
      <c r="P124" t="s">
        <v>222</v>
      </c>
      <c r="Q124" s="7" t="str">
        <f>HYPERLINK("D:\torgi_project\venv_torgi\cache\objs_in_district/56.470835_53.80348.json", "56.470835_53.80348.json")</f>
        <v>56.470835_53.80348.json</v>
      </c>
      <c r="R124">
        <v>4186</v>
      </c>
      <c r="S124" s="6">
        <v>4.93</v>
      </c>
    </row>
    <row r="125" spans="1:19">
      <c r="A125" s="4"/>
      <c r="B125" t="s">
        <v>1526</v>
      </c>
      <c r="C125" s="1">
        <v>113.5</v>
      </c>
      <c r="D125" s="2" t="str">
        <f>HYPERLINK("https://torgi.gov.ru/new/public/lots/lot/21000005000000001116_1/(lotInfo:info)", "21000005000000001116_1")</f>
        <v>21000005000000001116_1</v>
      </c>
      <c r="E125" t="s">
        <v>1605</v>
      </c>
      <c r="F125" s="3">
        <v>52986.784140969161</v>
      </c>
      <c r="G125" s="3">
        <v>6014000</v>
      </c>
      <c r="H125" t="s">
        <v>1606</v>
      </c>
      <c r="I125" t="s">
        <v>1607</v>
      </c>
      <c r="J125" t="s">
        <v>1608</v>
      </c>
      <c r="K125" s="6">
        <v>5.0599999999999996</v>
      </c>
      <c r="L125" t="s">
        <v>23</v>
      </c>
      <c r="M125" t="s">
        <v>24</v>
      </c>
      <c r="N125" s="2" t="str">
        <f>HYPERLINK("https://yandex.ru/maps/?&amp;text=55.693617, 37.565461", "55.693617, 37.565461")</f>
        <v>55.693617, 37.565461</v>
      </c>
      <c r="O125" t="s">
        <v>1609</v>
      </c>
      <c r="P125" t="s">
        <v>946</v>
      </c>
      <c r="Q125" s="7" t="str">
        <f>HYPERLINK("D:\torgi_project\venv_torgi\cache\objs_in_district/55.693617_37.565461.json", "55.693617_37.565461.json")</f>
        <v>55.693617_37.565461.json</v>
      </c>
      <c r="R125">
        <v>11397</v>
      </c>
      <c r="S125" s="6">
        <v>4.6500000000000004</v>
      </c>
    </row>
    <row r="126" spans="1:19">
      <c r="A126" s="4"/>
      <c r="B126" t="s">
        <v>381</v>
      </c>
      <c r="C126" s="1">
        <v>52.6</v>
      </c>
      <c r="D126" s="2" t="str">
        <f>HYPERLINK("https://torgi.gov.ru/new/public/lots/lot/22000033790000000004_1/(lotInfo:info)", "22000033790000000004_1")</f>
        <v>22000033790000000004_1</v>
      </c>
      <c r="E126" t="s">
        <v>388</v>
      </c>
      <c r="F126" s="3">
        <v>15623.65</v>
      </c>
      <c r="G126" s="3">
        <v>821803.99</v>
      </c>
      <c r="H126" t="s">
        <v>389</v>
      </c>
      <c r="I126" t="s">
        <v>390</v>
      </c>
      <c r="J126" t="s">
        <v>391</v>
      </c>
      <c r="K126" s="6">
        <v>5.0999999999999996</v>
      </c>
      <c r="L126" t="s">
        <v>23</v>
      </c>
      <c r="M126" t="s">
        <v>24</v>
      </c>
      <c r="N126" s="2" t="str">
        <f>HYPERLINK("https://yandex.ru/maps/?&amp;text=44.742153, 132.04353", "44.742153, 132.04353")</f>
        <v>44.742153, 132.04353</v>
      </c>
      <c r="O126" t="s">
        <v>392</v>
      </c>
      <c r="P126" t="s">
        <v>241</v>
      </c>
      <c r="Q126" s="7" t="str">
        <f>HYPERLINK("D:\torgi_project\venv_torgi\cache\objs_in_district/44.742153_132.04353.json", "44.742153_132.04353.json")</f>
        <v>44.742153_132.04353.json</v>
      </c>
      <c r="R126">
        <v>1541</v>
      </c>
      <c r="S126" s="6">
        <v>10.14</v>
      </c>
    </row>
    <row r="127" spans="1:19">
      <c r="A127" s="4"/>
      <c r="B127" t="s">
        <v>1711</v>
      </c>
      <c r="C127" s="1">
        <v>75.099999999999994</v>
      </c>
      <c r="D127" s="2" t="str">
        <f>HYPERLINK("https://torgi.gov.ru/new/public/lots/lot/21000002210000000023_1/(lotInfo:info)", "21000002210000000023_1")</f>
        <v>21000002210000000023_1</v>
      </c>
      <c r="E127" t="s">
        <v>2019</v>
      </c>
      <c r="F127" s="3">
        <v>69241.011984021316</v>
      </c>
      <c r="G127" s="3">
        <v>5200000</v>
      </c>
      <c r="H127" t="s">
        <v>2020</v>
      </c>
      <c r="I127" t="s">
        <v>2015</v>
      </c>
      <c r="J127" t="s">
        <v>2021</v>
      </c>
      <c r="K127" s="6">
        <v>5.14</v>
      </c>
      <c r="L127" t="s">
        <v>23</v>
      </c>
      <c r="M127" t="s">
        <v>24</v>
      </c>
      <c r="N127" s="2" t="str">
        <f>HYPERLINK("https://yandex.ru/maps/?&amp;text=59.921209, 30.278525", "59.921209, 30.278525")</f>
        <v>59.921209, 30.278525</v>
      </c>
      <c r="O127" t="s">
        <v>2022</v>
      </c>
      <c r="P127" t="s">
        <v>1149</v>
      </c>
      <c r="Q127" s="7" t="str">
        <f>HYPERLINK("D:\torgi_project\venv_torgi\cache\objs_in_district/59.921209_30.278525.json", "59.921209_30.278525.json")</f>
        <v>59.921209_30.278525.json</v>
      </c>
      <c r="R127">
        <v>15227</v>
      </c>
      <c r="S127" s="6">
        <v>4.55</v>
      </c>
    </row>
    <row r="128" spans="1:19">
      <c r="A128" s="4"/>
      <c r="B128" t="s">
        <v>1438</v>
      </c>
      <c r="C128" s="1">
        <v>91.5</v>
      </c>
      <c r="D128" s="2" t="str">
        <f>HYPERLINK("https://torgi.gov.ru/new/public/lots/lot/22000044760000000001_1/(lotInfo:info)", "22000044760000000001_1")</f>
        <v>22000044760000000001_1</v>
      </c>
      <c r="E128" t="s">
        <v>1479</v>
      </c>
      <c r="F128" s="3">
        <v>21836.065573770491</v>
      </c>
      <c r="G128" s="3">
        <v>1998000</v>
      </c>
      <c r="H128" t="s">
        <v>1480</v>
      </c>
      <c r="I128" t="s">
        <v>1481</v>
      </c>
      <c r="J128" t="s">
        <v>1482</v>
      </c>
      <c r="K128" s="6">
        <v>5.18</v>
      </c>
      <c r="L128" t="s">
        <v>23</v>
      </c>
      <c r="M128" t="s">
        <v>24</v>
      </c>
      <c r="N128" s="2" t="str">
        <f>HYPERLINK("https://yandex.ru/maps/?&amp;text=55.048714, 60.1157", "55.048714, 60.1157")</f>
        <v>55.048714, 60.1157</v>
      </c>
      <c r="O128" t="s">
        <v>1483</v>
      </c>
      <c r="P128" t="s">
        <v>130</v>
      </c>
      <c r="Q128" s="7" t="str">
        <f>HYPERLINK("D:\torgi_project\venv_torgi\cache\objs_in_district/55.048714_60.1157.json", "55.048714_60.1157.json")</f>
        <v>55.048714_60.1157.json</v>
      </c>
      <c r="R128">
        <v>2413</v>
      </c>
      <c r="S128" s="6">
        <v>9.0500000000000007</v>
      </c>
    </row>
    <row r="129" spans="1:19">
      <c r="A129" s="4"/>
      <c r="B129" t="s">
        <v>1177</v>
      </c>
      <c r="C129" s="1">
        <v>137.6</v>
      </c>
      <c r="D129" s="2" t="str">
        <f>HYPERLINK("https://torgi.gov.ru/new/public/lots/lot/22000072770000000002_1/(lotInfo:info)", "22000072770000000002_1")</f>
        <v>22000072770000000002_1</v>
      </c>
      <c r="E129" t="s">
        <v>1178</v>
      </c>
      <c r="F129" s="3">
        <v>8997.0930232558148</v>
      </c>
      <c r="G129" s="3">
        <v>1238000</v>
      </c>
      <c r="H129" t="s">
        <v>1179</v>
      </c>
      <c r="I129" t="s">
        <v>1180</v>
      </c>
      <c r="J129" t="s">
        <v>1181</v>
      </c>
      <c r="K129" s="6">
        <v>5.21</v>
      </c>
      <c r="L129" t="s">
        <v>23</v>
      </c>
      <c r="M129" t="s">
        <v>24</v>
      </c>
      <c r="N129" s="2" t="str">
        <f>HYPERLINK("https://yandex.ru/maps/?&amp;text=53.932034, 43.188663", "53.932034, 43.188663")</f>
        <v>53.932034, 43.188663</v>
      </c>
      <c r="O129" t="s">
        <v>1182</v>
      </c>
      <c r="P129" t="s">
        <v>18</v>
      </c>
      <c r="Q129" s="7" t="str">
        <f>HYPERLINK("D:\torgi_project\venv_torgi\cache\objs_in_district/53.932034_43.188663.json", "53.932034_43.188663.json")</f>
        <v>53.932034_43.188663.json</v>
      </c>
      <c r="R129">
        <v>1175</v>
      </c>
      <c r="S129" s="6">
        <v>7.66</v>
      </c>
    </row>
    <row r="130" spans="1:19">
      <c r="A130" s="4"/>
      <c r="B130" t="s">
        <v>318</v>
      </c>
      <c r="C130" s="1">
        <v>73.2</v>
      </c>
      <c r="D130" s="2" t="str">
        <f>HYPERLINK("https://torgi.gov.ru/new/public/lots/lot/22000007080000000003_1/(lotInfo:info)", "22000007080000000003_1")</f>
        <v>22000007080000000003_1</v>
      </c>
      <c r="E130" t="s">
        <v>1110</v>
      </c>
      <c r="F130" s="3">
        <v>21516.99453551913</v>
      </c>
      <c r="G130" s="3">
        <v>1575044</v>
      </c>
      <c r="H130" t="s">
        <v>368</v>
      </c>
      <c r="I130" t="s">
        <v>1396</v>
      </c>
      <c r="K130" s="6">
        <v>5.26</v>
      </c>
      <c r="L130" t="s">
        <v>23</v>
      </c>
      <c r="M130" t="s">
        <v>24</v>
      </c>
      <c r="N130" s="2" t="str">
        <f>HYPERLINK("https://yandex.ru/maps/?&amp;text=55.976074, 92.886795", "55.976074, 92.886795")</f>
        <v>55.976074, 92.886795</v>
      </c>
      <c r="O130" t="s">
        <v>370</v>
      </c>
      <c r="P130" t="s">
        <v>209</v>
      </c>
      <c r="Q130" s="7" t="str">
        <f>HYPERLINK("D:\torgi_project\venv_torgi\cache\objs_in_district/55.976074_92.886795.json", "55.976074_92.886795.json")</f>
        <v>55.976074_92.886795.json</v>
      </c>
      <c r="R130">
        <v>4937</v>
      </c>
      <c r="S130" s="6">
        <v>4.3600000000000003</v>
      </c>
    </row>
    <row r="131" spans="1:19">
      <c r="A131" s="4"/>
      <c r="B131" t="s">
        <v>1711</v>
      </c>
      <c r="C131" s="1">
        <v>64.900000000000006</v>
      </c>
      <c r="D131" s="2" t="str">
        <f>HYPERLINK("https://torgi.gov.ru/new/public/lots/lot/21000002210000000173_1/(lotInfo:info)", "21000002210000000173_1")</f>
        <v>21000002210000000173_1</v>
      </c>
      <c r="E131" t="s">
        <v>1924</v>
      </c>
      <c r="F131" s="3">
        <v>97380.585516178733</v>
      </c>
      <c r="G131" s="3">
        <v>6320000</v>
      </c>
      <c r="H131" t="s">
        <v>1925</v>
      </c>
      <c r="I131" t="s">
        <v>1926</v>
      </c>
      <c r="J131" t="s">
        <v>1927</v>
      </c>
      <c r="K131" s="6">
        <v>5.26</v>
      </c>
      <c r="L131" t="s">
        <v>23</v>
      </c>
      <c r="M131" t="s">
        <v>24</v>
      </c>
      <c r="N131" s="2" t="str">
        <f>HYPERLINK("https://yandex.ru/maps/?&amp;text=59.91908, 30.289503", "59.91908, 30.289503")</f>
        <v>59.91908, 30.289503</v>
      </c>
      <c r="O131" t="s">
        <v>1928</v>
      </c>
      <c r="P131" t="s">
        <v>1929</v>
      </c>
      <c r="Q131" s="7" t="str">
        <f>HYPERLINK("D:\torgi_project\venv_torgi\cache\objs_in_district/59.91908_30.289503.json", "59.91908_30.289503.json")</f>
        <v>59.91908_30.289503.json</v>
      </c>
      <c r="R131">
        <v>10599</v>
      </c>
      <c r="S131" s="6">
        <v>9.19</v>
      </c>
    </row>
    <row r="132" spans="1:19">
      <c r="A132" s="4"/>
      <c r="B132" t="s">
        <v>318</v>
      </c>
      <c r="C132" s="1">
        <v>89.8</v>
      </c>
      <c r="D132" s="2" t="str">
        <f>HYPERLINK("https://torgi.gov.ru/new/public/lots/lot/21000014400000000011_5/(lotInfo:info)", "21000014400000000011_5")</f>
        <v>21000014400000000011_5</v>
      </c>
      <c r="E132" t="s">
        <v>1374</v>
      </c>
      <c r="F132" s="3">
        <v>41406.002227171492</v>
      </c>
      <c r="G132" s="3">
        <v>3718259</v>
      </c>
      <c r="H132" t="s">
        <v>1375</v>
      </c>
      <c r="I132" t="s">
        <v>1376</v>
      </c>
      <c r="J132" t="s">
        <v>1377</v>
      </c>
      <c r="K132" s="6">
        <v>5.35</v>
      </c>
      <c r="L132" t="s">
        <v>23</v>
      </c>
      <c r="M132" t="s">
        <v>24</v>
      </c>
      <c r="N132" s="2" t="str">
        <f>HYPERLINK("https://yandex.ru/maps/?&amp;text=56.830615, 35.924491", "56.830615, 35.924491")</f>
        <v>56.830615, 35.924491</v>
      </c>
      <c r="O132" t="s">
        <v>1378</v>
      </c>
      <c r="P132" t="s">
        <v>164</v>
      </c>
      <c r="Q132" s="7" t="str">
        <f>HYPERLINK("D:\torgi_project\venv_torgi\cache\objs_in_district/56.830615_35.924491.json", "56.830615_35.924491.json")</f>
        <v>56.830615_35.924491.json</v>
      </c>
      <c r="R132">
        <v>2478</v>
      </c>
      <c r="S132" s="6">
        <v>16.71</v>
      </c>
    </row>
    <row r="133" spans="1:19">
      <c r="A133" s="4"/>
      <c r="B133" t="s">
        <v>634</v>
      </c>
      <c r="C133" s="1">
        <v>79.599999999999994</v>
      </c>
      <c r="D133" s="2" t="str">
        <f>HYPERLINK("https://torgi.gov.ru/new/public/lots/lot/21000023350000000001_1/(lotInfo:info)", "21000023350000000001_1")</f>
        <v>21000023350000000001_1</v>
      </c>
      <c r="E133" t="s">
        <v>668</v>
      </c>
      <c r="F133" s="3">
        <v>19459.337562814071</v>
      </c>
      <c r="G133" s="3">
        <v>1548963.27</v>
      </c>
      <c r="H133" t="s">
        <v>669</v>
      </c>
      <c r="I133" t="s">
        <v>670</v>
      </c>
      <c r="J133" t="s">
        <v>671</v>
      </c>
      <c r="K133" s="6">
        <v>5.4</v>
      </c>
      <c r="L133" t="s">
        <v>23</v>
      </c>
      <c r="M133" t="s">
        <v>24</v>
      </c>
      <c r="N133" s="2" t="str">
        <f>HYPERLINK("https://yandex.ru/maps/?&amp;text=50.196065, 39.573052", "50.196065, 39.573052")</f>
        <v>50.196065, 39.573052</v>
      </c>
      <c r="O133" t="s">
        <v>672</v>
      </c>
      <c r="P133" t="s">
        <v>673</v>
      </c>
      <c r="Q133" s="7" t="str">
        <f>HYPERLINK("D:\torgi_project\venv_torgi\cache\objs_in_district/50.196065_39.573052.json", "50.196065_39.573052.json")</f>
        <v>50.196065_39.573052.json</v>
      </c>
      <c r="R133">
        <v>1184</v>
      </c>
      <c r="S133" s="6">
        <v>16.440000000000001</v>
      </c>
    </row>
    <row r="134" spans="1:19">
      <c r="A134" s="4"/>
      <c r="B134" t="s">
        <v>716</v>
      </c>
      <c r="C134" s="1">
        <v>121.8</v>
      </c>
      <c r="D134" s="2" t="str">
        <f>HYPERLINK("https://torgi.gov.ru/new/public/lots/lot/21000029430000000015_16/(lotInfo:info)", "21000029430000000015_16")</f>
        <v>21000029430000000015_16</v>
      </c>
      <c r="E134" t="s">
        <v>760</v>
      </c>
      <c r="F134" s="3">
        <v>33424.400656814447</v>
      </c>
      <c r="G134" s="3">
        <v>4071092</v>
      </c>
      <c r="H134" t="s">
        <v>761</v>
      </c>
      <c r="I134" t="s">
        <v>395</v>
      </c>
      <c r="J134" t="s">
        <v>762</v>
      </c>
      <c r="K134" s="6">
        <v>5.42</v>
      </c>
      <c r="L134" t="s">
        <v>23</v>
      </c>
      <c r="M134" t="s">
        <v>35</v>
      </c>
      <c r="N134" s="2" t="str">
        <f>HYPERLINK("https://yandex.ru/maps/?&amp;text=54.711868, 20.58202", "54.711868, 20.58202")</f>
        <v>54.711868, 20.58202</v>
      </c>
      <c r="O134" t="s">
        <v>763</v>
      </c>
      <c r="P134" t="s">
        <v>183</v>
      </c>
      <c r="Q134" s="7" t="str">
        <f>HYPERLINK("D:\torgi_project\venv_torgi\cache\objs_in_district/54.711868_20.58202.json", "54.711868_20.58202.json")</f>
        <v>54.711868_20.58202.json</v>
      </c>
      <c r="R134">
        <v>1243</v>
      </c>
      <c r="S134" s="6">
        <v>26.89</v>
      </c>
    </row>
    <row r="135" spans="1:19">
      <c r="A135" s="4"/>
      <c r="B135" t="s">
        <v>55</v>
      </c>
      <c r="C135" s="1">
        <v>169.9</v>
      </c>
      <c r="D135" s="2" t="str">
        <f>HYPERLINK("https://torgi.gov.ru/new/public/lots/lot/21000004820000000001_5/(lotInfo:info)", "21000004820000000001_5")</f>
        <v>21000004820000000001_5</v>
      </c>
      <c r="E135" t="s">
        <v>421</v>
      </c>
      <c r="F135" s="3">
        <v>7174.8087110064744</v>
      </c>
      <c r="G135" s="3">
        <v>1219000</v>
      </c>
      <c r="H135" t="s">
        <v>422</v>
      </c>
      <c r="I135" t="s">
        <v>423</v>
      </c>
      <c r="J135" t="s">
        <v>424</v>
      </c>
      <c r="K135" s="6">
        <v>5.44</v>
      </c>
      <c r="L135" t="s">
        <v>23</v>
      </c>
      <c r="M135" t="s">
        <v>24</v>
      </c>
      <c r="N135" s="2" t="str">
        <f>HYPERLINK("https://yandex.ru/maps/?&amp;text=44.052625,  42.983928", "44.052625,  42.983928")</f>
        <v>44.052625,  42.983928</v>
      </c>
      <c r="O135" t="s">
        <v>425</v>
      </c>
      <c r="P135" t="s">
        <v>49</v>
      </c>
      <c r="Q135" s="7" t="str">
        <f>HYPERLINK("D:\torgi_project\venv_torgi\cache\objs_in_district/44.052625_42.983928.json", "44.052625_42.983928.json")</f>
        <v>44.052625_42.983928.json</v>
      </c>
      <c r="R135">
        <v>3767</v>
      </c>
      <c r="S135" s="6">
        <v>1.9</v>
      </c>
    </row>
    <row r="136" spans="1:19">
      <c r="A136" s="4"/>
      <c r="B136" t="s">
        <v>107</v>
      </c>
      <c r="C136" s="1">
        <v>178.9</v>
      </c>
      <c r="D136" s="2" t="str">
        <f>HYPERLINK("https://torgi.gov.ru/new/public/lots/lot/21000014890000000002_1/(lotInfo:info)", "21000014890000000002_1")</f>
        <v>21000014890000000002_1</v>
      </c>
      <c r="E136" t="s">
        <v>376</v>
      </c>
      <c r="F136" s="3">
        <v>18256.008943543879</v>
      </c>
      <c r="G136" s="3">
        <v>3266000</v>
      </c>
      <c r="H136" t="s">
        <v>377</v>
      </c>
      <c r="I136" t="s">
        <v>378</v>
      </c>
      <c r="J136" t="s">
        <v>379</v>
      </c>
      <c r="K136" s="6">
        <v>5.5</v>
      </c>
      <c r="L136" t="s">
        <v>23</v>
      </c>
      <c r="M136" t="s">
        <v>24</v>
      </c>
      <c r="N136" s="2" t="str">
        <f>HYPERLINK("https://yandex.ru/maps/?&amp;text=55.999943, 93.01335", "55.999943, 93.01335")</f>
        <v>55.999943, 93.01335</v>
      </c>
      <c r="O136" t="s">
        <v>380</v>
      </c>
      <c r="P136" t="s">
        <v>118</v>
      </c>
      <c r="Q136" s="7" t="str">
        <f>HYPERLINK("D:\torgi_project\venv_torgi\cache\objs_in_district/55.999943_93.01335.json", "55.999943_93.01335.json")</f>
        <v>55.999943_93.01335.json</v>
      </c>
      <c r="R136">
        <v>4559</v>
      </c>
      <c r="S136" s="6">
        <v>4</v>
      </c>
    </row>
    <row r="137" spans="1:19">
      <c r="A137" s="4"/>
      <c r="B137" t="s">
        <v>784</v>
      </c>
      <c r="C137" s="1">
        <v>26.3</v>
      </c>
      <c r="D137" s="2" t="str">
        <f>HYPERLINK("https://torgi.gov.ru/new/public/lots/lot/21000033300000000017_11/(lotInfo:info)", "21000033300000000017_11")</f>
        <v>21000033300000000017_11</v>
      </c>
      <c r="E137" t="s">
        <v>785</v>
      </c>
      <c r="F137" s="3">
        <v>27984.790874524719</v>
      </c>
      <c r="G137" s="3">
        <v>736000</v>
      </c>
      <c r="H137" t="s">
        <v>786</v>
      </c>
      <c r="I137" t="s">
        <v>787</v>
      </c>
      <c r="J137" t="s">
        <v>788</v>
      </c>
      <c r="K137" s="6">
        <v>5.55</v>
      </c>
      <c r="L137" t="s">
        <v>23</v>
      </c>
      <c r="M137" t="s">
        <v>24</v>
      </c>
      <c r="N137" s="2" t="str">
        <f>HYPERLINK("https://yandex.ru/maps/?&amp;text=53.863757, 86.625279", "53.863757, 86.625279")</f>
        <v>53.863757, 86.625279</v>
      </c>
      <c r="O137" t="s">
        <v>789</v>
      </c>
      <c r="P137" t="s">
        <v>790</v>
      </c>
      <c r="Q137" s="7" t="str">
        <f>HYPERLINK("D:\torgi_project\venv_torgi\cache\objs_in_district/53.863757_86.625279.json", "53.863757_86.625279.json")</f>
        <v>53.863757_86.625279.json</v>
      </c>
      <c r="R137">
        <v>2015</v>
      </c>
      <c r="S137" s="6">
        <v>13.89</v>
      </c>
    </row>
    <row r="138" spans="1:19">
      <c r="A138" s="4"/>
      <c r="B138" t="s">
        <v>1711</v>
      </c>
      <c r="C138" s="1">
        <v>20.8</v>
      </c>
      <c r="D138" s="2" t="str">
        <f>HYPERLINK("https://torgi.gov.ru/new/public/lots/lot/21000002210000000016_1/(lotInfo:info)", "21000002210000000016_1")</f>
        <v>21000002210000000016_1</v>
      </c>
      <c r="E138" t="s">
        <v>2027</v>
      </c>
      <c r="F138" s="3">
        <v>96153.846153846156</v>
      </c>
      <c r="G138" s="3">
        <v>2000000</v>
      </c>
      <c r="H138" t="s">
        <v>2028</v>
      </c>
      <c r="I138" t="s">
        <v>2029</v>
      </c>
      <c r="J138" t="s">
        <v>2030</v>
      </c>
      <c r="K138" s="6">
        <v>5.59</v>
      </c>
      <c r="L138" t="s">
        <v>23</v>
      </c>
      <c r="M138" t="s">
        <v>24</v>
      </c>
      <c r="N138" s="2" t="str">
        <f>HYPERLINK("https://yandex.ru/maps/?&amp;text=59.917917, 30.294282", "59.917917, 30.294282")</f>
        <v>59.917917, 30.294282</v>
      </c>
      <c r="O138" t="s">
        <v>2031</v>
      </c>
      <c r="P138" t="s">
        <v>2032</v>
      </c>
      <c r="Q138" s="7" t="str">
        <f>HYPERLINK("D:\torgi_project\venv_torgi\cache\objs_in_district/59.917917_30.294282.json", "59.917917_30.294282.json")</f>
        <v>59.917917_30.294282.json</v>
      </c>
      <c r="R138">
        <v>8108</v>
      </c>
      <c r="S138" s="6">
        <v>11.86</v>
      </c>
    </row>
    <row r="139" spans="1:19">
      <c r="A139" s="4"/>
      <c r="B139" t="s">
        <v>291</v>
      </c>
      <c r="C139" s="1">
        <v>491.1</v>
      </c>
      <c r="D139" s="2" t="str">
        <f>HYPERLINK("https://torgi.gov.ru/new/public/lots/lot/22000022080000000003_2/(lotInfo:info)", "22000022080000000003_2")</f>
        <v>22000022080000000003_2</v>
      </c>
      <c r="E139" t="s">
        <v>301</v>
      </c>
      <c r="F139" s="3">
        <v>1092.094074526573</v>
      </c>
      <c r="G139" s="3">
        <v>536327.4</v>
      </c>
      <c r="H139" t="s">
        <v>297</v>
      </c>
      <c r="I139" t="s">
        <v>298</v>
      </c>
      <c r="J139" t="s">
        <v>302</v>
      </c>
      <c r="K139" s="6">
        <v>5.6</v>
      </c>
      <c r="L139" t="s">
        <v>23</v>
      </c>
      <c r="M139" t="s">
        <v>24</v>
      </c>
      <c r="N139" s="2" t="str">
        <f>HYPERLINK("https://yandex.ru/maps/?&amp;text=51.640116, 84.329213", "51.640116, 84.329213")</f>
        <v>51.640116, 84.329213</v>
      </c>
      <c r="O139" t="s">
        <v>300</v>
      </c>
      <c r="P139" t="s">
        <v>27</v>
      </c>
      <c r="Q139" s="7" t="str">
        <f>HYPERLINK("D:\torgi_project\venv_torgi\cache\objs_in_district/51.640116_84.329213.json", "51.640116_84.329213.json")</f>
        <v>51.640116_84.329213.json</v>
      </c>
      <c r="R139">
        <v>184</v>
      </c>
      <c r="S139" s="6">
        <v>5.94</v>
      </c>
    </row>
    <row r="140" spans="1:19">
      <c r="A140" s="4"/>
      <c r="B140" t="s">
        <v>790</v>
      </c>
      <c r="C140" s="1">
        <v>36.1</v>
      </c>
      <c r="D140" s="2" t="str">
        <f>HYPERLINK("https://torgi.gov.ru/new/public/lots/lot/21000007760000000002_1/(lotInfo:info)", "21000007760000000002_1")</f>
        <v>21000007760000000002_1</v>
      </c>
      <c r="E140" t="s">
        <v>1030</v>
      </c>
      <c r="F140" s="3">
        <v>22783.933518005539</v>
      </c>
      <c r="G140" s="3">
        <v>822500</v>
      </c>
      <c r="H140" t="s">
        <v>1031</v>
      </c>
      <c r="I140" t="s">
        <v>1032</v>
      </c>
      <c r="J140" t="s">
        <v>1033</v>
      </c>
      <c r="K140" s="6">
        <v>5.6</v>
      </c>
      <c r="L140" t="s">
        <v>23</v>
      </c>
      <c r="M140" t="s">
        <v>24</v>
      </c>
      <c r="N140" s="2" t="str">
        <f>HYPERLINK("https://yandex.ru/maps/?&amp;text=68.919669, 33.095166", "68.919669, 33.095166")</f>
        <v>68.919669, 33.095166</v>
      </c>
      <c r="O140" t="s">
        <v>1034</v>
      </c>
      <c r="P140" t="s">
        <v>118</v>
      </c>
      <c r="Q140" s="7" t="str">
        <f>HYPERLINK("D:\torgi_project\venv_torgi\cache\objs_in_district/68.919669_33.095166.json", "68.919669_33.095166.json")</f>
        <v>68.919669_33.095166.json</v>
      </c>
      <c r="R140">
        <v>2662</v>
      </c>
      <c r="S140" s="6">
        <v>8.56</v>
      </c>
    </row>
    <row r="141" spans="1:19">
      <c r="A141" s="4"/>
      <c r="B141" t="s">
        <v>729</v>
      </c>
      <c r="C141" s="1">
        <v>25.6</v>
      </c>
      <c r="D141" s="2" t="str">
        <f>HYPERLINK("https://torgi.gov.ru/new/public/lots/lot/21000002520000000004_5/(lotInfo:info)", "21000002520000000004_5")</f>
        <v>21000002520000000004_5</v>
      </c>
      <c r="E141" t="s">
        <v>1281</v>
      </c>
      <c r="F141" s="3">
        <v>19628.90625</v>
      </c>
      <c r="G141" s="3">
        <v>502500</v>
      </c>
      <c r="H141" t="s">
        <v>1282</v>
      </c>
      <c r="I141" t="s">
        <v>1278</v>
      </c>
      <c r="J141" t="s">
        <v>1283</v>
      </c>
      <c r="K141" s="6">
        <v>5.65</v>
      </c>
      <c r="L141" t="s">
        <v>90</v>
      </c>
      <c r="M141" t="s">
        <v>24</v>
      </c>
      <c r="N141" s="2" t="str">
        <f>HYPERLINK("https://yandex.ru/maps/?&amp;text=53.145057, 50.046609", "53.145057, 50.046609")</f>
        <v>53.145057, 50.046609</v>
      </c>
      <c r="O141" t="s">
        <v>896</v>
      </c>
      <c r="P141" t="s">
        <v>183</v>
      </c>
      <c r="Q141" s="7" t="str">
        <f>HYPERLINK("D:\torgi_project\venv_torgi\cache\objs_in_district/53.145057_50.046609.json", "53.145057_50.046609.json")</f>
        <v>53.145057_50.046609.json</v>
      </c>
      <c r="R141">
        <v>781</v>
      </c>
      <c r="S141" s="6">
        <v>25.13</v>
      </c>
    </row>
    <row r="142" spans="1:19" hidden="1">
      <c r="A142" s="4"/>
      <c r="B142" t="s">
        <v>61</v>
      </c>
      <c r="C142" s="1">
        <v>86</v>
      </c>
      <c r="D142" s="2" t="str">
        <f>HYPERLINK("https://torgi.gov.ru/new/public/lots/lot/22000034450000000001_1/(lotInfo:info)", "22000034450000000001_1")</f>
        <v>22000034450000000001_1</v>
      </c>
      <c r="E142" t="s">
        <v>469</v>
      </c>
      <c r="F142" s="3">
        <v>18313.953488372092</v>
      </c>
      <c r="G142" s="3">
        <v>1575000</v>
      </c>
      <c r="H142" t="s">
        <v>708</v>
      </c>
      <c r="I142" t="s">
        <v>709</v>
      </c>
      <c r="J142" t="s">
        <v>710</v>
      </c>
      <c r="L142" t="s">
        <v>23</v>
      </c>
      <c r="M142" t="s">
        <v>24</v>
      </c>
    </row>
    <row r="143" spans="1:19">
      <c r="A143" s="4"/>
      <c r="B143" t="s">
        <v>430</v>
      </c>
      <c r="C143" s="1">
        <v>261.8</v>
      </c>
      <c r="D143" s="2" t="str">
        <f>HYPERLINK("https://torgi.gov.ru/new/public/lots/lot/21000019020000000011_1/(lotInfo:info)", "21000019020000000011_1")</f>
        <v>21000019020000000011_1</v>
      </c>
      <c r="E143" t="s">
        <v>435</v>
      </c>
      <c r="F143" s="3">
        <v>19174.942704354471</v>
      </c>
      <c r="G143" s="3">
        <v>5020000</v>
      </c>
      <c r="H143" t="s">
        <v>436</v>
      </c>
      <c r="I143" t="s">
        <v>437</v>
      </c>
      <c r="K143" s="6">
        <v>5.73</v>
      </c>
      <c r="L143" t="s">
        <v>23</v>
      </c>
      <c r="M143" t="s">
        <v>24</v>
      </c>
      <c r="N143" s="2" t="str">
        <f>HYPERLINK("https://yandex.ru/maps/?&amp;text=50.218704, 136.90366", "50.218704, 136.90366")</f>
        <v>50.218704, 136.90366</v>
      </c>
      <c r="O143" t="s">
        <v>438</v>
      </c>
      <c r="P143" t="s">
        <v>55</v>
      </c>
      <c r="Q143" s="7" t="str">
        <f>HYPERLINK("D:\torgi_project\venv_torgi\cache\objs_in_district/50.218704_136.90366.json", "50.218704_136.90366.json")</f>
        <v>50.218704_136.90366.json</v>
      </c>
      <c r="R143">
        <v>1296</v>
      </c>
      <c r="S143" s="6">
        <v>14.8</v>
      </c>
    </row>
    <row r="144" spans="1:19" hidden="1">
      <c r="A144" s="4"/>
      <c r="B144" t="s">
        <v>366</v>
      </c>
      <c r="C144" s="1">
        <v>396.5</v>
      </c>
      <c r="D144" s="2" t="str">
        <f>HYPERLINK("https://torgi.gov.ru/new/public/lots/lot/21000007110000000014_2/(lotInfo:info)", "21000007110000000014_2")</f>
        <v>21000007110000000014_2</v>
      </c>
      <c r="E144" t="s">
        <v>717</v>
      </c>
      <c r="F144" s="3">
        <v>20244.640605296339</v>
      </c>
      <c r="G144" s="3">
        <v>8027000</v>
      </c>
      <c r="H144" t="s">
        <v>718</v>
      </c>
      <c r="I144" t="s">
        <v>713</v>
      </c>
      <c r="J144" t="s">
        <v>719</v>
      </c>
      <c r="L144" t="s">
        <v>23</v>
      </c>
      <c r="M144" t="s">
        <v>24</v>
      </c>
    </row>
    <row r="145" spans="1:19">
      <c r="A145" s="4"/>
      <c r="B145" t="s">
        <v>1526</v>
      </c>
      <c r="C145" s="1">
        <v>103.1</v>
      </c>
      <c r="D145" s="2" t="str">
        <f>HYPERLINK("https://torgi.gov.ru/new/public/lots/lot/21000005000000000690_1/(lotInfo:info)", "21000005000000000690_1")</f>
        <v>21000005000000000690_1</v>
      </c>
      <c r="E145" t="s">
        <v>1537</v>
      </c>
      <c r="F145" s="3">
        <v>41125.121241513087</v>
      </c>
      <c r="G145" s="3">
        <v>4240000</v>
      </c>
      <c r="H145" t="s">
        <v>1645</v>
      </c>
      <c r="I145" t="s">
        <v>1642</v>
      </c>
      <c r="J145" t="s">
        <v>1646</v>
      </c>
      <c r="K145" s="6">
        <v>5.86</v>
      </c>
      <c r="L145" t="s">
        <v>90</v>
      </c>
      <c r="M145" t="s">
        <v>24</v>
      </c>
      <c r="N145" s="2" t="str">
        <f>HYPERLINK("https://yandex.ru/maps/?&amp;text=55.794877, 37.734596", "55.794877, 37.734596")</f>
        <v>55.794877, 37.734596</v>
      </c>
      <c r="O145" t="s">
        <v>1647</v>
      </c>
      <c r="P145" t="s">
        <v>234</v>
      </c>
      <c r="Q145" s="7" t="str">
        <f>HYPERLINK("D:\torgi_project\venv_torgi\cache\objs_in_district/55.794877_37.734596.json", "55.794877_37.734596.json")</f>
        <v>55.794877_37.734596.json</v>
      </c>
      <c r="R145">
        <v>8398</v>
      </c>
      <c r="S145" s="6">
        <v>4.9000000000000004</v>
      </c>
    </row>
    <row r="146" spans="1:19">
      <c r="A146" s="4"/>
      <c r="B146" t="s">
        <v>1044</v>
      </c>
      <c r="C146" s="1">
        <v>116.8</v>
      </c>
      <c r="D146" s="2" t="str">
        <f>HYPERLINK("https://torgi.gov.ru/new/public/lots/lot/21000012580000000003_1/(lotInfo:info)", "21000012580000000003_1")</f>
        <v>21000012580000000003_1</v>
      </c>
      <c r="E146" t="s">
        <v>1068</v>
      </c>
      <c r="F146" s="3">
        <v>42260.273972602743</v>
      </c>
      <c r="G146" s="3">
        <v>4936000</v>
      </c>
      <c r="H146" t="s">
        <v>1069</v>
      </c>
      <c r="I146" t="s">
        <v>1070</v>
      </c>
      <c r="K146" s="6">
        <v>5.89</v>
      </c>
      <c r="L146" t="s">
        <v>23</v>
      </c>
      <c r="M146" t="s">
        <v>24</v>
      </c>
      <c r="N146" s="2" t="str">
        <f>HYPERLINK("https://yandex.ru/maps/?&amp;text=56.839527, 35.93424", "56.839527, 35.93424")</f>
        <v>56.839527, 35.93424</v>
      </c>
      <c r="O146" t="s">
        <v>1071</v>
      </c>
      <c r="P146" t="s">
        <v>1072</v>
      </c>
      <c r="Q146" s="7" t="str">
        <f>HYPERLINK("D:\torgi_project\venv_torgi\cache\objs_in_district/56.839527_35.93424.json", "56.839527_35.93424.json")</f>
        <v>56.839527_35.93424.json</v>
      </c>
      <c r="R146">
        <v>3056</v>
      </c>
      <c r="S146" s="6">
        <v>13.83</v>
      </c>
    </row>
    <row r="147" spans="1:19">
      <c r="A147" s="4"/>
      <c r="B147" t="s">
        <v>403</v>
      </c>
      <c r="C147" s="1">
        <v>73.2</v>
      </c>
      <c r="D147" s="2" t="str">
        <f>HYPERLINK("https://torgi.gov.ru/new/public/lots/lot/22000012250000000003_3/(lotInfo:info)", "22000012250000000003_3")</f>
        <v>22000012250000000003_3</v>
      </c>
      <c r="E147" t="s">
        <v>1144</v>
      </c>
      <c r="F147" s="3">
        <v>26369.945355191259</v>
      </c>
      <c r="G147" s="3">
        <v>1930280</v>
      </c>
      <c r="H147" t="s">
        <v>1145</v>
      </c>
      <c r="I147" t="s">
        <v>1146</v>
      </c>
      <c r="J147" t="s">
        <v>1147</v>
      </c>
      <c r="K147" s="6">
        <v>5.89</v>
      </c>
      <c r="L147" t="s">
        <v>23</v>
      </c>
      <c r="M147" t="s">
        <v>24</v>
      </c>
      <c r="N147" s="2" t="str">
        <f>HYPERLINK("https://yandex.ru/maps/?&amp;text=54.971967, 73.452842", "54.971967, 73.452842")</f>
        <v>54.971967, 73.452842</v>
      </c>
      <c r="O147" t="s">
        <v>1148</v>
      </c>
      <c r="P147" t="s">
        <v>234</v>
      </c>
      <c r="Q147" s="7" t="str">
        <f>HYPERLINK("D:\torgi_project\venv_torgi\cache\objs_in_district/54.971967_73.452842.json", "54.971967_73.452842.json")</f>
        <v>54.971967_73.452842.json</v>
      </c>
      <c r="R147">
        <v>3647</v>
      </c>
      <c r="S147" s="6">
        <v>7.23</v>
      </c>
    </row>
    <row r="148" spans="1:19" hidden="1">
      <c r="A148" s="4"/>
      <c r="B148" t="s">
        <v>366</v>
      </c>
      <c r="C148" s="1">
        <v>404.5</v>
      </c>
      <c r="D148" s="2" t="str">
        <f>HYPERLINK("https://torgi.gov.ru/new/public/lots/lot/21000007110000000005_1/(lotInfo:info)", "21000007110000000005_1")</f>
        <v>21000007110000000005_1</v>
      </c>
      <c r="E148" t="s">
        <v>711</v>
      </c>
      <c r="F148" s="3">
        <v>11337.45364647713</v>
      </c>
      <c r="G148" s="3">
        <v>4586000</v>
      </c>
      <c r="H148" t="s">
        <v>734</v>
      </c>
      <c r="I148" t="s">
        <v>731</v>
      </c>
      <c r="J148" t="s">
        <v>735</v>
      </c>
      <c r="L148" t="s">
        <v>90</v>
      </c>
      <c r="M148" t="s">
        <v>24</v>
      </c>
    </row>
    <row r="149" spans="1:19">
      <c r="A149" s="4"/>
      <c r="B149" t="s">
        <v>1177</v>
      </c>
      <c r="C149" s="1">
        <v>90.1</v>
      </c>
      <c r="D149" s="2" t="str">
        <f>HYPERLINK("https://torgi.gov.ru/new/public/lots/lot/21000025550000000019_8/(lotInfo:info)", "21000025550000000019_8")</f>
        <v>21000025550000000019_8</v>
      </c>
      <c r="E149" t="s">
        <v>1183</v>
      </c>
      <c r="F149" s="3">
        <v>23985.049167591569</v>
      </c>
      <c r="G149" s="3">
        <v>2161052.9300000002</v>
      </c>
      <c r="H149" t="s">
        <v>1184</v>
      </c>
      <c r="I149" t="s">
        <v>1185</v>
      </c>
      <c r="J149" t="s">
        <v>1186</v>
      </c>
      <c r="K149" s="6">
        <v>5.9</v>
      </c>
      <c r="L149" t="s">
        <v>23</v>
      </c>
      <c r="M149" t="s">
        <v>35</v>
      </c>
      <c r="N149" s="2" t="str">
        <f>HYPERLINK("https://yandex.ru/maps/?&amp;text=52.477464, 44.21683", "52.477464, 44.21683")</f>
        <v>52.477464, 44.21683</v>
      </c>
      <c r="O149" t="s">
        <v>1187</v>
      </c>
      <c r="P149" t="s">
        <v>508</v>
      </c>
      <c r="Q149" s="7" t="str">
        <f>HYPERLINK("D:\torgi_project\venv_torgi\cache\objs_in_district/52.477464_44.21683.json", "52.477464_44.21683.json")</f>
        <v>52.477464_44.21683.json</v>
      </c>
      <c r="R149">
        <v>1381</v>
      </c>
      <c r="S149" s="6">
        <v>17.37</v>
      </c>
    </row>
    <row r="150" spans="1:19">
      <c r="A150" s="4"/>
      <c r="B150" t="s">
        <v>430</v>
      </c>
      <c r="C150" s="1">
        <v>30.7</v>
      </c>
      <c r="D150" s="2" t="str">
        <f>HYPERLINK("https://torgi.gov.ru/new/public/lots/lot/21000005750000000024_1/(lotInfo:info)", "21000005750000000024_1")</f>
        <v>21000005750000000024_1</v>
      </c>
      <c r="E150" t="s">
        <v>448</v>
      </c>
      <c r="F150" s="3">
        <v>29635.01628664495</v>
      </c>
      <c r="G150" s="3">
        <v>909795</v>
      </c>
      <c r="H150" t="s">
        <v>449</v>
      </c>
      <c r="I150" t="s">
        <v>450</v>
      </c>
      <c r="J150" t="s">
        <v>451</v>
      </c>
      <c r="K150" s="6">
        <v>6.02</v>
      </c>
      <c r="L150" t="s">
        <v>23</v>
      </c>
      <c r="M150" t="s">
        <v>24</v>
      </c>
      <c r="N150" s="2" t="str">
        <f>HYPERLINK("https://yandex.ru/maps/?&amp;text=50.577845, 137.05652", "50.577845, 137.05652")</f>
        <v>50.577845, 137.05652</v>
      </c>
      <c r="O150" t="s">
        <v>452</v>
      </c>
      <c r="P150" t="s">
        <v>453</v>
      </c>
      <c r="Q150" s="7" t="str">
        <f>HYPERLINK("D:\torgi_project\venv_torgi\cache\objs_in_district/50.577845_137.05652.json", "50.577845_137.05652.json")</f>
        <v>50.577845_137.05652.json</v>
      </c>
      <c r="R150">
        <v>2612</v>
      </c>
      <c r="S150" s="6">
        <v>11.35</v>
      </c>
    </row>
    <row r="151" spans="1:19">
      <c r="A151" s="4"/>
      <c r="B151" t="s">
        <v>92</v>
      </c>
      <c r="C151" s="1">
        <v>30</v>
      </c>
      <c r="D151" s="2" t="str">
        <f>HYPERLINK("https://torgi.gov.ru/new/public/lots/lot/21000012860000000001_12/(lotInfo:info)", "21000012860000000001_12")</f>
        <v>21000012860000000001_12</v>
      </c>
      <c r="E151" t="s">
        <v>892</v>
      </c>
      <c r="F151" s="3">
        <v>21400</v>
      </c>
      <c r="G151" s="3">
        <v>642000</v>
      </c>
      <c r="H151" t="s">
        <v>893</v>
      </c>
      <c r="I151" t="s">
        <v>894</v>
      </c>
      <c r="J151" t="s">
        <v>895</v>
      </c>
      <c r="K151" s="6">
        <v>6.16</v>
      </c>
      <c r="L151" t="s">
        <v>23</v>
      </c>
      <c r="M151" t="s">
        <v>24</v>
      </c>
      <c r="N151" s="2" t="str">
        <f>HYPERLINK("https://yandex.ru/maps/?&amp;text=57.772243, 40.952882", "57.772243, 40.952882")</f>
        <v>57.772243, 40.952882</v>
      </c>
      <c r="O151" t="s">
        <v>896</v>
      </c>
      <c r="P151" t="s">
        <v>409</v>
      </c>
      <c r="Q151" s="7" t="str">
        <f>HYPERLINK("D:\torgi_project\venv_torgi\cache\objs_in_district/57.772243_40.952882.json", "57.772243_40.952882.json")</f>
        <v>57.772243_40.952882.json</v>
      </c>
      <c r="R151">
        <v>3696</v>
      </c>
      <c r="S151" s="6">
        <v>5.79</v>
      </c>
    </row>
    <row r="152" spans="1:19">
      <c r="A152" s="4"/>
      <c r="B152" t="s">
        <v>1711</v>
      </c>
      <c r="C152" s="1">
        <v>15.8</v>
      </c>
      <c r="D152" s="2" t="str">
        <f>HYPERLINK("https://torgi.gov.ru/new/public/lots/lot/21000002210000000077_1/(lotInfo:info)", "21000002210000000077_1")</f>
        <v>21000002210000000077_1</v>
      </c>
      <c r="E152" t="s">
        <v>1718</v>
      </c>
      <c r="F152" s="3">
        <v>92405.063291139231</v>
      </c>
      <c r="G152" s="3">
        <v>1460000</v>
      </c>
      <c r="H152" t="s">
        <v>1961</v>
      </c>
      <c r="I152" t="s">
        <v>1962</v>
      </c>
      <c r="J152" t="s">
        <v>1963</v>
      </c>
      <c r="K152" s="6">
        <v>6.33</v>
      </c>
      <c r="L152" t="s">
        <v>23</v>
      </c>
      <c r="M152" t="s">
        <v>24</v>
      </c>
      <c r="N152" s="2" t="str">
        <f>HYPERLINK("https://yandex.ru/maps/?&amp;text=59.924149, 30.283708", "59.924149, 30.283708")</f>
        <v>59.924149, 30.283708</v>
      </c>
      <c r="O152" t="s">
        <v>1846</v>
      </c>
      <c r="P152" t="s">
        <v>1766</v>
      </c>
      <c r="Q152" s="7" t="str">
        <f>HYPERLINK("D:\torgi_project\venv_torgi\cache\objs_in_district/59.924149_30.283708.json", "59.924149_30.283708.json")</f>
        <v>59.924149_30.283708.json</v>
      </c>
      <c r="R152">
        <v>13144</v>
      </c>
      <c r="S152" s="6">
        <v>7.03</v>
      </c>
    </row>
    <row r="153" spans="1:19">
      <c r="A153" s="4"/>
      <c r="B153" t="s">
        <v>189</v>
      </c>
      <c r="C153" s="1">
        <v>1838.6</v>
      </c>
      <c r="D153" s="2" t="str">
        <f>HYPERLINK("https://torgi.gov.ru/new/public/lots/lot/21000012500000000001_2/(lotInfo:info)", "21000012500000000001_2")</f>
        <v>21000012500000000001_2</v>
      </c>
      <c r="E153" t="s">
        <v>205</v>
      </c>
      <c r="F153" s="3">
        <v>1006.200369846622</v>
      </c>
      <c r="G153" s="3">
        <v>1850000</v>
      </c>
      <c r="H153" t="s">
        <v>206</v>
      </c>
      <c r="I153" t="s">
        <v>207</v>
      </c>
      <c r="J153" t="s">
        <v>208</v>
      </c>
      <c r="K153" s="6">
        <v>6.45</v>
      </c>
      <c r="L153" t="s">
        <v>90</v>
      </c>
      <c r="M153" t="s">
        <v>24</v>
      </c>
      <c r="N153" s="2" t="str">
        <f>HYPERLINK("https://yandex.ru/maps/?&amp;text=55.30343, 51.9898", "55.30343, 51.9898")</f>
        <v>55.30343, 51.9898</v>
      </c>
      <c r="O153" t="s">
        <v>203</v>
      </c>
      <c r="P153" t="s">
        <v>209</v>
      </c>
      <c r="Q153" s="7" t="str">
        <f>HYPERLINK("D:\torgi_project\venv_torgi\cache\objs_in_district/55.30343_51.9898.json", "55.30343_51.9898.json")</f>
        <v>55.30343_51.9898.json</v>
      </c>
      <c r="R153">
        <v>982</v>
      </c>
      <c r="S153" s="6">
        <v>1.02</v>
      </c>
    </row>
    <row r="154" spans="1:19">
      <c r="A154" s="4"/>
      <c r="B154" t="s">
        <v>430</v>
      </c>
      <c r="C154" s="1">
        <v>111.9</v>
      </c>
      <c r="D154" s="2" t="str">
        <f>HYPERLINK("https://torgi.gov.ru/new/public/lots/lot/21000005750000000037_1/(lotInfo:info)", "21000005750000000037_1")</f>
        <v>21000005750000000037_1</v>
      </c>
      <c r="E154" t="s">
        <v>439</v>
      </c>
      <c r="F154" s="3">
        <v>27956.99731903485</v>
      </c>
      <c r="G154" s="3">
        <v>3128388</v>
      </c>
      <c r="H154" t="s">
        <v>440</v>
      </c>
      <c r="I154" t="s">
        <v>441</v>
      </c>
      <c r="J154" t="s">
        <v>442</v>
      </c>
      <c r="K154" s="6">
        <v>6.45</v>
      </c>
      <c r="L154" t="s">
        <v>23</v>
      </c>
      <c r="M154" t="s">
        <v>24</v>
      </c>
      <c r="N154" s="2" t="str">
        <f>HYPERLINK("https://yandex.ru/maps/?&amp;text=50.578453, 137.05286", "50.578453, 137.05286")</f>
        <v>50.578453, 137.05286</v>
      </c>
      <c r="O154" t="s">
        <v>443</v>
      </c>
      <c r="P154" t="s">
        <v>227</v>
      </c>
      <c r="Q154" s="7" t="str">
        <f>HYPERLINK("D:\torgi_project\venv_torgi\cache\objs_in_district/50.578453_137.05286.json", "50.578453_137.05286.json")</f>
        <v>50.578453_137.05286.json</v>
      </c>
      <c r="R154">
        <v>2016</v>
      </c>
      <c r="S154" s="6">
        <v>13.87</v>
      </c>
    </row>
    <row r="155" spans="1:19">
      <c r="A155" s="4"/>
      <c r="B155" t="s">
        <v>784</v>
      </c>
      <c r="C155" s="1">
        <v>104.2</v>
      </c>
      <c r="D155" s="2" t="str">
        <f>HYPERLINK("https://torgi.gov.ru/new/public/lots/lot/21000033300000000011_8/(lotInfo:info)", "21000033300000000011_8")</f>
        <v>21000033300000000011_8</v>
      </c>
      <c r="E155" t="s">
        <v>796</v>
      </c>
      <c r="F155" s="3">
        <v>21252.39923224568</v>
      </c>
      <c r="G155" s="3">
        <v>2214500</v>
      </c>
      <c r="H155" t="s">
        <v>797</v>
      </c>
      <c r="I155" t="s">
        <v>798</v>
      </c>
      <c r="J155" t="s">
        <v>799</v>
      </c>
      <c r="K155" s="6">
        <v>6.48</v>
      </c>
      <c r="L155" t="s">
        <v>23</v>
      </c>
      <c r="M155" t="s">
        <v>24</v>
      </c>
      <c r="N155" s="2" t="str">
        <f>HYPERLINK("https://yandex.ru/maps/?&amp;text=53.879721, 86.611293", "53.879721, 86.611293")</f>
        <v>53.879721, 86.611293</v>
      </c>
      <c r="O155" t="s">
        <v>800</v>
      </c>
      <c r="P155" t="s">
        <v>291</v>
      </c>
      <c r="Q155" s="7" t="str">
        <f>HYPERLINK("D:\torgi_project\venv_torgi\cache\objs_in_district/53.879721_86.611293.json", "53.879721_86.611293.json")</f>
        <v>53.879721_86.611293.json</v>
      </c>
      <c r="R155">
        <v>1103</v>
      </c>
      <c r="S155" s="6">
        <v>19.27</v>
      </c>
    </row>
    <row r="156" spans="1:19">
      <c r="A156" s="4"/>
      <c r="B156" t="s">
        <v>1358</v>
      </c>
      <c r="C156" s="1">
        <v>137.30000000000001</v>
      </c>
      <c r="D156" s="2" t="str">
        <f>HYPERLINK("https://torgi.gov.ru/new/public/lots/lot/22000032990000000006_1/(lotInfo:info)", "22000032990000000006_1")</f>
        <v>22000032990000000006_1</v>
      </c>
      <c r="E156" t="s">
        <v>1369</v>
      </c>
      <c r="F156" s="3">
        <v>8341.5877640203926</v>
      </c>
      <c r="G156" s="3">
        <v>1145300</v>
      </c>
      <c r="H156" t="s">
        <v>1370</v>
      </c>
      <c r="I156" t="s">
        <v>1371</v>
      </c>
      <c r="J156" t="s">
        <v>1372</v>
      </c>
      <c r="K156" s="6">
        <v>6.54</v>
      </c>
      <c r="L156" t="s">
        <v>23</v>
      </c>
      <c r="M156" t="s">
        <v>24</v>
      </c>
      <c r="N156" s="2" t="str">
        <f>HYPERLINK("https://yandex.ru/maps/?&amp;text=53.441117, 41.776673", "53.441117, 41.776673")</f>
        <v>53.441117, 41.776673</v>
      </c>
      <c r="O156" t="s">
        <v>1373</v>
      </c>
      <c r="P156" t="s">
        <v>178</v>
      </c>
      <c r="Q156" s="7" t="str">
        <f>HYPERLINK("D:\torgi_project\venv_torgi\cache\objs_in_district/53.441117_41.776673.json", "53.441117_41.776673.json")</f>
        <v>53.441117_41.776673.json</v>
      </c>
      <c r="R156">
        <v>2098</v>
      </c>
      <c r="S156" s="6">
        <v>3.98</v>
      </c>
    </row>
    <row r="157" spans="1:19">
      <c r="A157" s="4"/>
      <c r="B157" t="s">
        <v>729</v>
      </c>
      <c r="C157" s="1">
        <v>19.399999999999999</v>
      </c>
      <c r="D157" s="2" t="str">
        <f>HYPERLINK("https://torgi.gov.ru/new/public/lots/lot/21000002520000000001_9/(lotInfo:info)", "21000002520000000001_9")</f>
        <v>21000002520000000001_9</v>
      </c>
      <c r="E157" t="s">
        <v>1300</v>
      </c>
      <c r="F157" s="3">
        <v>31546.391752577321</v>
      </c>
      <c r="G157" s="3">
        <v>612000</v>
      </c>
      <c r="H157" t="s">
        <v>1301</v>
      </c>
      <c r="I157" t="s">
        <v>1302</v>
      </c>
      <c r="J157" t="s">
        <v>1303</v>
      </c>
      <c r="K157" s="6">
        <v>6.59</v>
      </c>
      <c r="L157" t="s">
        <v>23</v>
      </c>
      <c r="M157" t="s">
        <v>24</v>
      </c>
      <c r="N157" s="2" t="str">
        <f>HYPERLINK("https://yandex.ru/maps/?&amp;text=53.216783, 50.252485", "53.216783, 50.252485")</f>
        <v>53.216783, 50.252485</v>
      </c>
      <c r="O157" t="s">
        <v>1304</v>
      </c>
      <c r="P157" t="s">
        <v>634</v>
      </c>
      <c r="Q157" s="7" t="str">
        <f>HYPERLINK("D:\torgi_project\venv_torgi\cache\objs_in_district/53.216783_50.252485.json", "53.216783_50.252485.json")</f>
        <v>53.216783_50.252485.json</v>
      </c>
      <c r="R157">
        <v>4122</v>
      </c>
      <c r="S157" s="6">
        <v>7.65</v>
      </c>
    </row>
    <row r="158" spans="1:19">
      <c r="A158" s="4"/>
      <c r="B158" t="s">
        <v>729</v>
      </c>
      <c r="C158" s="1">
        <v>19.5</v>
      </c>
      <c r="D158" s="2" t="str">
        <f>HYPERLINK("https://torgi.gov.ru/new/public/lots/lot/21000002520000000001_10/(lotInfo:info)", "21000002520000000001_10")</f>
        <v>21000002520000000001_10</v>
      </c>
      <c r="E158" t="s">
        <v>1300</v>
      </c>
      <c r="F158" s="3">
        <v>32000</v>
      </c>
      <c r="G158" s="3">
        <v>624000</v>
      </c>
      <c r="H158" t="s">
        <v>1301</v>
      </c>
      <c r="I158" t="s">
        <v>1302</v>
      </c>
      <c r="J158" t="s">
        <v>1305</v>
      </c>
      <c r="K158" s="6">
        <v>6.68</v>
      </c>
      <c r="L158" t="s">
        <v>23</v>
      </c>
      <c r="M158" t="s">
        <v>24</v>
      </c>
      <c r="N158" s="2" t="str">
        <f>HYPERLINK("https://yandex.ru/maps/?&amp;text=53.216783, 50.252485", "53.216783, 50.252485")</f>
        <v>53.216783, 50.252485</v>
      </c>
      <c r="O158" t="s">
        <v>1304</v>
      </c>
      <c r="P158" t="s">
        <v>634</v>
      </c>
      <c r="Q158" s="7" t="str">
        <f>HYPERLINK("D:\torgi_project\venv_torgi\cache\objs_in_district/53.216783_50.252485.json", "53.216783_50.252485.json")</f>
        <v>53.216783_50.252485.json</v>
      </c>
      <c r="R158">
        <v>4122</v>
      </c>
      <c r="S158" s="6">
        <v>7.76</v>
      </c>
    </row>
    <row r="159" spans="1:19">
      <c r="A159" s="4"/>
      <c r="B159" t="s">
        <v>634</v>
      </c>
      <c r="C159" s="1">
        <v>161.30000000000001</v>
      </c>
      <c r="D159" s="2" t="str">
        <f>HYPERLINK("https://torgi.gov.ru/new/public/lots/lot/21000033070000000002_1/(lotInfo:info)", "21000033070000000002_1")</f>
        <v>21000033070000000002_1</v>
      </c>
      <c r="E159" t="s">
        <v>658</v>
      </c>
      <c r="F159" s="3">
        <v>43319.900805951642</v>
      </c>
      <c r="G159" s="3">
        <v>6987500</v>
      </c>
      <c r="H159" t="s">
        <v>659</v>
      </c>
      <c r="I159" t="s">
        <v>660</v>
      </c>
      <c r="K159" s="6">
        <v>6.71</v>
      </c>
      <c r="L159" t="s">
        <v>23</v>
      </c>
      <c r="M159" t="s">
        <v>24</v>
      </c>
      <c r="N159" s="2" t="str">
        <f>HYPERLINK("https://yandex.ru/maps/?&amp;text=51.651707, 39.170912", "51.651707, 39.170912")</f>
        <v>51.651707, 39.170912</v>
      </c>
      <c r="O159" t="s">
        <v>661</v>
      </c>
      <c r="P159" t="s">
        <v>662</v>
      </c>
      <c r="Q159" s="7" t="str">
        <f>HYPERLINK("D:\torgi_project\venv_torgi\cache\objs_in_district/51.651707_39.170912.json", "51.651707_39.170912.json")</f>
        <v>51.651707_39.170912.json</v>
      </c>
      <c r="R159">
        <v>4428</v>
      </c>
      <c r="S159" s="6">
        <v>9.7799999999999994</v>
      </c>
    </row>
    <row r="160" spans="1:19">
      <c r="A160" s="4"/>
      <c r="B160" t="s">
        <v>1495</v>
      </c>
      <c r="C160" s="1">
        <v>30.6</v>
      </c>
      <c r="D160" s="2" t="str">
        <f>HYPERLINK("https://torgi.gov.ru/new/public/lots/lot/21000012550000000039_1/(lotInfo:info)", "21000012550000000039_1")</f>
        <v>21000012550000000039_1</v>
      </c>
      <c r="E160" t="s">
        <v>1500</v>
      </c>
      <c r="F160" s="3">
        <v>71699.34640522876</v>
      </c>
      <c r="G160" s="3">
        <v>2194000</v>
      </c>
      <c r="H160" t="s">
        <v>1501</v>
      </c>
      <c r="I160" t="s">
        <v>1502</v>
      </c>
      <c r="K160" s="6">
        <v>6.79</v>
      </c>
      <c r="L160" t="s">
        <v>23</v>
      </c>
      <c r="M160" t="s">
        <v>24</v>
      </c>
      <c r="N160" s="2" t="str">
        <f>HYPERLINK("https://yandex.ru/maps/?&amp;text=57.580948, 39.8358", "57.580948, 39.8358")</f>
        <v>57.580948, 39.8358</v>
      </c>
      <c r="O160" t="s">
        <v>1503</v>
      </c>
      <c r="P160" t="s">
        <v>554</v>
      </c>
      <c r="Q160" s="7" t="str">
        <f>HYPERLINK("D:\torgi_project\venv_torgi\cache\objs_in_district/57.580948_39.8358.json", "57.580948_39.8358.json")</f>
        <v>57.580948_39.8358.json</v>
      </c>
      <c r="R160">
        <v>3194</v>
      </c>
      <c r="S160" s="6">
        <v>22.45</v>
      </c>
    </row>
    <row r="161" spans="1:19">
      <c r="A161" s="4"/>
      <c r="B161" t="s">
        <v>513</v>
      </c>
      <c r="C161" s="1">
        <v>100.9</v>
      </c>
      <c r="D161" s="2" t="str">
        <f>HYPERLINK("https://torgi.gov.ru/new/public/lots/lot/21000008500000000009_1/(lotInfo:info)", "21000008500000000009_1")</f>
        <v>21000008500000000009_1</v>
      </c>
      <c r="E161" t="s">
        <v>523</v>
      </c>
      <c r="F161" s="3">
        <v>14271.55599603568</v>
      </c>
      <c r="G161" s="3">
        <v>1440000</v>
      </c>
      <c r="H161" t="s">
        <v>543</v>
      </c>
      <c r="I161" t="s">
        <v>544</v>
      </c>
      <c r="J161" t="s">
        <v>545</v>
      </c>
      <c r="K161" s="6">
        <v>6.8</v>
      </c>
      <c r="L161" t="s">
        <v>23</v>
      </c>
      <c r="M161" t="s">
        <v>24</v>
      </c>
      <c r="N161" s="2" t="str">
        <f>HYPERLINK("https://yandex.ru/maps/?&amp;text=53.25897, 34.442783", "53.25897, 34.442783")</f>
        <v>53.25897, 34.442783</v>
      </c>
      <c r="O161" t="s">
        <v>546</v>
      </c>
      <c r="P161" t="s">
        <v>291</v>
      </c>
      <c r="Q161" s="7" t="str">
        <f>HYPERLINK("D:\torgi_project\venv_torgi\cache\objs_in_district/53.25897_34.442783.json", "53.25897_34.442783.json")</f>
        <v>53.25897_34.442783.json</v>
      </c>
      <c r="R161">
        <v>2472</v>
      </c>
      <c r="S161" s="6">
        <v>5.77</v>
      </c>
    </row>
    <row r="162" spans="1:19" hidden="1">
      <c r="A162" s="4"/>
      <c r="B162" t="s">
        <v>784</v>
      </c>
      <c r="C162" s="1">
        <v>47.3</v>
      </c>
      <c r="D162" s="2" t="str">
        <f>HYPERLINK("https://torgi.gov.ru/new/public/lots/lot/21000016050000000017_5/(lotInfo:info)", "21000016050000000017_5")</f>
        <v>21000016050000000017_5</v>
      </c>
      <c r="E162" t="s">
        <v>801</v>
      </c>
      <c r="F162" s="3">
        <v>31966.1733615222</v>
      </c>
      <c r="G162" s="3">
        <v>1512000</v>
      </c>
      <c r="H162" t="s">
        <v>802</v>
      </c>
      <c r="I162" t="s">
        <v>437</v>
      </c>
      <c r="J162" t="s">
        <v>803</v>
      </c>
      <c r="L162" t="s">
        <v>23</v>
      </c>
      <c r="M162" t="s">
        <v>24</v>
      </c>
    </row>
    <row r="163" spans="1:19">
      <c r="A163" s="4"/>
      <c r="B163" t="s">
        <v>513</v>
      </c>
      <c r="C163" s="1">
        <v>54</v>
      </c>
      <c r="D163" s="2" t="str">
        <f>HYPERLINK("https://torgi.gov.ru/new/public/lots/lot/21000008500000000043_1/(lotInfo:info)", "21000008500000000043_1")</f>
        <v>21000008500000000043_1</v>
      </c>
      <c r="E163" t="s">
        <v>523</v>
      </c>
      <c r="F163" s="3">
        <v>24888.888888888891</v>
      </c>
      <c r="G163" s="3">
        <v>1344000</v>
      </c>
      <c r="H163" t="s">
        <v>528</v>
      </c>
      <c r="I163" t="s">
        <v>529</v>
      </c>
      <c r="J163" t="s">
        <v>530</v>
      </c>
      <c r="K163" s="6">
        <v>6.86</v>
      </c>
      <c r="L163" t="s">
        <v>23</v>
      </c>
      <c r="M163" t="s">
        <v>24</v>
      </c>
      <c r="N163" s="2" t="str">
        <f>HYPERLINK("https://yandex.ru/maps/?&amp;text=53.248675, 34.448226", "53.248675, 34.448226")</f>
        <v>53.248675, 34.448226</v>
      </c>
      <c r="O163" t="s">
        <v>531</v>
      </c>
      <c r="P163" t="s">
        <v>73</v>
      </c>
      <c r="Q163" s="7" t="str">
        <f>HYPERLINK("D:\torgi_project\venv_torgi\cache\objs_in_district/53.248675_34.448226.json", "53.248675_34.448226.json")</f>
        <v>53.248675_34.448226.json</v>
      </c>
      <c r="R163">
        <v>3434</v>
      </c>
      <c r="S163" s="6">
        <v>7.25</v>
      </c>
    </row>
    <row r="164" spans="1:19">
      <c r="A164" s="4"/>
      <c r="B164" t="s">
        <v>130</v>
      </c>
      <c r="C164" s="1">
        <v>174.7</v>
      </c>
      <c r="D164" s="2" t="str">
        <f>HYPERLINK("https://torgi.gov.ru/new/public/lots/lot/21000009230000000114_1/(lotInfo:info)", "21000009230000000114_1")</f>
        <v>21000009230000000114_1</v>
      </c>
      <c r="E164" t="s">
        <v>897</v>
      </c>
      <c r="F164" s="3">
        <v>11493.989696622781</v>
      </c>
      <c r="G164" s="3">
        <v>2008000</v>
      </c>
      <c r="H164" t="s">
        <v>898</v>
      </c>
      <c r="I164" t="s">
        <v>899</v>
      </c>
      <c r="J164" t="s">
        <v>900</v>
      </c>
      <c r="K164" s="6">
        <v>6.88</v>
      </c>
      <c r="L164" t="s">
        <v>901</v>
      </c>
      <c r="M164" t="s">
        <v>24</v>
      </c>
      <c r="N164" s="2" t="str">
        <f>HYPERLINK("https://yandex.ru/maps/?&amp;text=55.437107, 65.353587", "55.437107, 65.353587")</f>
        <v>55.437107, 65.353587</v>
      </c>
      <c r="O164" t="s">
        <v>902</v>
      </c>
      <c r="P164" t="s">
        <v>55</v>
      </c>
      <c r="Q164" s="7" t="str">
        <f>HYPERLINK("D:\torgi_project\venv_torgi\cache\objs_in_district/55.437107_65.353587.json", "55.437107_65.353587.json")</f>
        <v>55.437107_65.353587.json</v>
      </c>
      <c r="R164">
        <v>4292</v>
      </c>
      <c r="S164" s="6">
        <v>2.68</v>
      </c>
    </row>
    <row r="165" spans="1:19">
      <c r="A165" s="4"/>
      <c r="B165" t="s">
        <v>1526</v>
      </c>
      <c r="C165" s="1">
        <v>54.1</v>
      </c>
      <c r="D165" s="2" t="str">
        <f>HYPERLINK("https://torgi.gov.ru/new/public/lots/lot/21000005000000000821_1/(lotInfo:info)", "21000005000000000821_1")</f>
        <v>21000005000000000821_1</v>
      </c>
      <c r="E165" t="s">
        <v>1618</v>
      </c>
      <c r="F165" s="3">
        <v>84617.375231053607</v>
      </c>
      <c r="G165" s="3">
        <v>4577800</v>
      </c>
      <c r="H165" t="s">
        <v>1619</v>
      </c>
      <c r="I165" t="s">
        <v>76</v>
      </c>
      <c r="J165" t="s">
        <v>1620</v>
      </c>
      <c r="K165" s="6">
        <v>6.9</v>
      </c>
      <c r="L165" t="s">
        <v>90</v>
      </c>
      <c r="M165" t="s">
        <v>24</v>
      </c>
      <c r="N165" s="2" t="str">
        <f>HYPERLINK("https://yandex.ru/maps/?&amp;text=55.795753, 37.790104", "55.795753, 37.790104")</f>
        <v>55.795753, 37.790104</v>
      </c>
      <c r="O165" t="s">
        <v>1621</v>
      </c>
      <c r="P165" t="s">
        <v>117</v>
      </c>
      <c r="Q165" s="7" t="str">
        <f>HYPERLINK("D:\torgi_project\venv_torgi\cache\objs_in_district/55.795753_37.790104.json", "55.795753_37.790104.json")</f>
        <v>55.795753_37.790104.json</v>
      </c>
      <c r="R165">
        <v>7570</v>
      </c>
      <c r="S165" s="6">
        <v>11.18</v>
      </c>
    </row>
    <row r="166" spans="1:19">
      <c r="A166" s="4"/>
      <c r="B166" t="s">
        <v>164</v>
      </c>
      <c r="C166" s="1">
        <v>26.1</v>
      </c>
      <c r="D166" s="2" t="str">
        <f>HYPERLINK("https://torgi.gov.ru/new/public/lots/lot/21000016220000000010_2/(lotInfo:info)", "21000016220000000010_2")</f>
        <v>21000016220000000010_2</v>
      </c>
      <c r="E166" t="s">
        <v>923</v>
      </c>
      <c r="F166" s="3">
        <v>69731.800766283515</v>
      </c>
      <c r="G166" s="3">
        <v>1820000</v>
      </c>
      <c r="H166" t="s">
        <v>924</v>
      </c>
      <c r="I166" t="s">
        <v>925</v>
      </c>
      <c r="J166" t="s">
        <v>926</v>
      </c>
      <c r="K166" s="6">
        <v>7.06</v>
      </c>
      <c r="L166" t="s">
        <v>901</v>
      </c>
      <c r="M166" t="s">
        <v>24</v>
      </c>
      <c r="N166" s="2" t="str">
        <f>HYPERLINK("https://yandex.ru/maps/?&amp;text=51.74719, 36.19498", "51.74719, 36.19498")</f>
        <v>51.74719, 36.19498</v>
      </c>
      <c r="O166" t="s">
        <v>927</v>
      </c>
      <c r="P166" t="s">
        <v>928</v>
      </c>
      <c r="Q166" s="7" t="str">
        <f>HYPERLINK("D:\torgi_project\venv_torgi\cache\objs_in_district/51.74719_36.19498.json", "51.74719_36.19498.json")</f>
        <v>51.74719_36.19498.json</v>
      </c>
      <c r="R166">
        <v>2600</v>
      </c>
      <c r="S166" s="6">
        <v>26.82</v>
      </c>
    </row>
    <row r="167" spans="1:19">
      <c r="A167" s="4"/>
      <c r="B167" t="s">
        <v>55</v>
      </c>
      <c r="C167" s="1">
        <v>67</v>
      </c>
      <c r="D167" s="2" t="str">
        <f>HYPERLINK("https://torgi.gov.ru/new/public/lots/lot/21000003150000000002_5/(lotInfo:info)", "21000003150000000002_5")</f>
        <v>21000003150000000002_5</v>
      </c>
      <c r="E167" t="s">
        <v>404</v>
      </c>
      <c r="F167" s="3">
        <v>30820.895522388058</v>
      </c>
      <c r="G167" s="3">
        <v>2065000</v>
      </c>
      <c r="H167" t="s">
        <v>405</v>
      </c>
      <c r="I167" t="s">
        <v>406</v>
      </c>
      <c r="J167" t="s">
        <v>407</v>
      </c>
      <c r="K167" s="6">
        <v>7.14</v>
      </c>
      <c r="L167" t="s">
        <v>23</v>
      </c>
      <c r="M167" t="s">
        <v>24</v>
      </c>
      <c r="N167" s="2" t="str">
        <f>HYPERLINK("https://yandex.ru/maps/?&amp;text=44.637857, 41.952402", "44.637857, 41.952402")</f>
        <v>44.637857, 41.952402</v>
      </c>
      <c r="O167" t="s">
        <v>408</v>
      </c>
      <c r="P167" t="s">
        <v>409</v>
      </c>
      <c r="Q167" s="7" t="str">
        <f>HYPERLINK("D:\torgi_project\venv_torgi\cache\objs_in_district/44.637857_41.952402.json", "44.637857_41.952402.json")</f>
        <v>44.637857_41.952402.json</v>
      </c>
      <c r="R167">
        <v>2419</v>
      </c>
      <c r="S167" s="6">
        <v>12.74</v>
      </c>
    </row>
    <row r="168" spans="1:19">
      <c r="A168" s="4"/>
      <c r="B168" t="s">
        <v>729</v>
      </c>
      <c r="C168" s="1">
        <v>15.1</v>
      </c>
      <c r="D168" s="2" t="str">
        <f>HYPERLINK("https://torgi.gov.ru/new/public/lots/lot/21000002520000000001_11/(lotInfo:info)", "21000002520000000001_11")</f>
        <v>21000002520000000001_11</v>
      </c>
      <c r="E168" t="s">
        <v>1300</v>
      </c>
      <c r="F168" s="3">
        <v>42781.456953642388</v>
      </c>
      <c r="G168" s="3">
        <v>646000</v>
      </c>
      <c r="H168" t="s">
        <v>1310</v>
      </c>
      <c r="I168" t="s">
        <v>1302</v>
      </c>
      <c r="J168" t="s">
        <v>1311</v>
      </c>
      <c r="K168" s="6">
        <v>7.14</v>
      </c>
      <c r="L168" t="s">
        <v>23</v>
      </c>
      <c r="M168" t="s">
        <v>24</v>
      </c>
      <c r="N168" s="2" t="str">
        <f>HYPERLINK("https://yandex.ru/maps/?&amp;text=53.249493, 50.2018", "53.249493, 50.2018")</f>
        <v>53.249493, 50.2018</v>
      </c>
      <c r="O168" t="s">
        <v>1312</v>
      </c>
      <c r="P168" t="s">
        <v>37</v>
      </c>
      <c r="Q168" s="7" t="str">
        <f>HYPERLINK("D:\torgi_project\venv_torgi\cache\objs_in_district/53.249493_50.2018.json", "53.249493_50.2018.json")</f>
        <v>53.249493_50.2018.json</v>
      </c>
      <c r="R168">
        <v>4933</v>
      </c>
      <c r="S168" s="6">
        <v>8.67</v>
      </c>
    </row>
    <row r="169" spans="1:19">
      <c r="A169" s="4"/>
      <c r="B169" t="s">
        <v>1526</v>
      </c>
      <c r="C169" s="1">
        <v>59.9</v>
      </c>
      <c r="D169" s="2" t="str">
        <f>HYPERLINK("https://torgi.gov.ru/new/public/lots/lot/21000005000000000820_1/(lotInfo:info)", "21000005000000000820_1")</f>
        <v>21000005000000000820_1</v>
      </c>
      <c r="E169" t="s">
        <v>1618</v>
      </c>
      <c r="F169" s="3">
        <v>88743.739565943237</v>
      </c>
      <c r="G169" s="3">
        <v>5315750</v>
      </c>
      <c r="H169" t="s">
        <v>1622</v>
      </c>
      <c r="I169" t="s">
        <v>76</v>
      </c>
      <c r="J169" t="s">
        <v>1623</v>
      </c>
      <c r="K169" s="6">
        <v>7.24</v>
      </c>
      <c r="L169" t="s">
        <v>90</v>
      </c>
      <c r="M169" t="s">
        <v>24</v>
      </c>
      <c r="N169" s="2" t="str">
        <f>HYPERLINK("https://yandex.ru/maps/?&amp;text=55.795753, 37.790104", "55.795753, 37.790104")</f>
        <v>55.795753, 37.790104</v>
      </c>
      <c r="O169" t="s">
        <v>1621</v>
      </c>
      <c r="P169" t="s">
        <v>117</v>
      </c>
      <c r="Q169" s="7" t="str">
        <f>HYPERLINK("D:\torgi_project\venv_torgi\cache\objs_in_district/55.795753_37.790104.json", "55.795753_37.790104.json")</f>
        <v>55.795753_37.790104.json</v>
      </c>
      <c r="R169">
        <v>7570</v>
      </c>
      <c r="S169" s="6">
        <v>11.72</v>
      </c>
    </row>
    <row r="170" spans="1:19">
      <c r="A170" s="4"/>
      <c r="B170" t="s">
        <v>107</v>
      </c>
      <c r="C170" s="1">
        <v>35.200000000000003</v>
      </c>
      <c r="D170" s="2" t="str">
        <f>HYPERLINK("https://torgi.gov.ru/new/public/lots/lot/21000014890000000011_1/(lotInfo:info)", "21000014890000000011_1")</f>
        <v>21000014890000000011_1</v>
      </c>
      <c r="E170" t="s">
        <v>367</v>
      </c>
      <c r="F170" s="3">
        <v>29659.090909090912</v>
      </c>
      <c r="G170" s="3">
        <v>1044000</v>
      </c>
      <c r="H170" t="s">
        <v>368</v>
      </c>
      <c r="I170" t="s">
        <v>363</v>
      </c>
      <c r="J170" t="s">
        <v>369</v>
      </c>
      <c r="K170" s="6">
        <v>7.25</v>
      </c>
      <c r="L170" t="s">
        <v>23</v>
      </c>
      <c r="M170" t="s">
        <v>24</v>
      </c>
      <c r="N170" s="2" t="str">
        <f>HYPERLINK("https://yandex.ru/maps/?&amp;text=55.976074, 92.886795", "55.976074, 92.886795")</f>
        <v>55.976074, 92.886795</v>
      </c>
      <c r="O170" t="s">
        <v>370</v>
      </c>
      <c r="P170" t="s">
        <v>209</v>
      </c>
      <c r="Q170" s="7" t="str">
        <f>HYPERLINK("D:\torgi_project\venv_torgi\cache\objs_in_district/55.976074_92.886795.json", "55.976074_92.886795.json")</f>
        <v>55.976074_92.886795.json</v>
      </c>
      <c r="R170">
        <v>4937</v>
      </c>
      <c r="S170" s="6">
        <v>6.01</v>
      </c>
    </row>
    <row r="171" spans="1:19">
      <c r="A171" s="4"/>
      <c r="B171" t="s">
        <v>1711</v>
      </c>
      <c r="C171" s="1">
        <v>39.1</v>
      </c>
      <c r="D171" s="2" t="str">
        <f>HYPERLINK("https://torgi.gov.ru/new/public/lots/lot/21000002210000000649_1/(lotInfo:info)", "21000002210000000649_1")</f>
        <v>21000002210000000649_1</v>
      </c>
      <c r="E171" t="s">
        <v>1743</v>
      </c>
      <c r="F171" s="3">
        <v>76726.342710997444</v>
      </c>
      <c r="G171" s="3">
        <v>3000000</v>
      </c>
      <c r="H171" t="s">
        <v>1744</v>
      </c>
      <c r="I171" t="s">
        <v>1740</v>
      </c>
      <c r="J171" t="s">
        <v>1745</v>
      </c>
      <c r="K171" s="6">
        <v>7.28</v>
      </c>
      <c r="L171" t="s">
        <v>23</v>
      </c>
      <c r="M171" t="s">
        <v>24</v>
      </c>
      <c r="N171" s="2" t="str">
        <f>HYPERLINK("https://yandex.ru/maps/?&amp;text=59.919712, 30.277555", "59.919712, 30.277555")</f>
        <v>59.919712, 30.277555</v>
      </c>
      <c r="O171" t="s">
        <v>1746</v>
      </c>
      <c r="P171" t="s">
        <v>387</v>
      </c>
      <c r="Q171" s="7" t="str">
        <f>HYPERLINK("D:\torgi_project\venv_torgi\cache\objs_in_district/59.919712_30.277555.json", "59.919712_30.277555.json")</f>
        <v>59.919712_30.277555.json</v>
      </c>
      <c r="R171">
        <v>15227</v>
      </c>
      <c r="S171" s="6">
        <v>5.04</v>
      </c>
    </row>
    <row r="172" spans="1:19">
      <c r="A172" s="4"/>
      <c r="B172" t="s">
        <v>158</v>
      </c>
      <c r="C172" s="1">
        <v>989</v>
      </c>
      <c r="D172" s="2" t="str">
        <f>HYPERLINK("https://torgi.gov.ru/new/public/lots/lot/22000003620000000002_1/(lotInfo:info)", "22000003620000000002_1")</f>
        <v>22000003620000000002_1</v>
      </c>
      <c r="E172" t="s">
        <v>614</v>
      </c>
      <c r="F172" s="3">
        <v>4620.8291203235594</v>
      </c>
      <c r="G172" s="3">
        <v>4570000</v>
      </c>
      <c r="H172" t="s">
        <v>615</v>
      </c>
      <c r="I172" t="s">
        <v>616</v>
      </c>
      <c r="J172" t="s">
        <v>617</v>
      </c>
      <c r="K172" s="6">
        <v>7.37</v>
      </c>
      <c r="L172" t="s">
        <v>23</v>
      </c>
      <c r="M172" t="s">
        <v>24</v>
      </c>
      <c r="N172" s="2" t="str">
        <f>HYPERLINK("https://yandex.ru/maps/?&amp;text=59.386623, 35.951523", "59.386623, 35.951523")</f>
        <v>59.386623, 35.951523</v>
      </c>
      <c r="O172" t="s">
        <v>618</v>
      </c>
      <c r="P172" t="s">
        <v>291</v>
      </c>
      <c r="Q172" s="7" t="str">
        <f>HYPERLINK("D:\torgi_project\venv_torgi\cache\objs_in_district/59.386623_35.951523.json", "59.386623_35.951523.json")</f>
        <v>59.386623_35.951523.json</v>
      </c>
      <c r="R172">
        <v>425</v>
      </c>
      <c r="S172" s="6">
        <v>10.87</v>
      </c>
    </row>
    <row r="173" spans="1:19">
      <c r="A173" s="4"/>
      <c r="B173" t="s">
        <v>554</v>
      </c>
      <c r="C173" s="1">
        <v>758.4</v>
      </c>
      <c r="D173" s="2" t="str">
        <f>HYPERLINK("https://torgi.gov.ru/new/public/lots/lot/21000001470000000002_1/(lotInfo:info)", "21000001470000000002_1")</f>
        <v>21000001470000000002_1</v>
      </c>
      <c r="E173" t="s">
        <v>572</v>
      </c>
      <c r="F173" s="3">
        <v>2640.427215189874</v>
      </c>
      <c r="G173" s="3">
        <v>2002500</v>
      </c>
      <c r="H173" t="s">
        <v>573</v>
      </c>
      <c r="I173" t="s">
        <v>574</v>
      </c>
      <c r="J173" t="s">
        <v>575</v>
      </c>
      <c r="K173" s="6">
        <v>7.46</v>
      </c>
      <c r="L173" t="s">
        <v>90</v>
      </c>
      <c r="M173" t="s">
        <v>24</v>
      </c>
      <c r="N173" s="2" t="str">
        <f>HYPERLINK("https://yandex.ru/maps/?&amp;text=56.29895, 39.37774", "56.29895, 39.37774")</f>
        <v>56.29895, 39.37774</v>
      </c>
      <c r="O173" t="s">
        <v>576</v>
      </c>
      <c r="P173" t="s">
        <v>204</v>
      </c>
      <c r="Q173" s="7" t="str">
        <f>HYPERLINK("D:\torgi_project\venv_torgi\cache\objs_in_district/56.29895_39.37774.json", "56.29895_39.37774.json")</f>
        <v>56.29895_39.37774.json</v>
      </c>
      <c r="R173">
        <v>1377</v>
      </c>
      <c r="S173" s="6">
        <v>1.92</v>
      </c>
    </row>
    <row r="174" spans="1:19">
      <c r="A174" s="4"/>
      <c r="B174" t="s">
        <v>291</v>
      </c>
      <c r="C174" s="1">
        <v>533.20000000000005</v>
      </c>
      <c r="D174" s="2" t="str">
        <f>HYPERLINK("https://torgi.gov.ru/new/public/lots/lot/22000022080000000003_1/(lotInfo:info)", "22000022080000000003_1")</f>
        <v>22000022080000000003_1</v>
      </c>
      <c r="E174" t="s">
        <v>296</v>
      </c>
      <c r="F174" s="3">
        <v>1507.121905476369</v>
      </c>
      <c r="G174" s="3">
        <v>803597.4</v>
      </c>
      <c r="H174" t="s">
        <v>297</v>
      </c>
      <c r="I174" t="s">
        <v>298</v>
      </c>
      <c r="J174" t="s">
        <v>299</v>
      </c>
      <c r="K174" s="6">
        <v>7.73</v>
      </c>
      <c r="L174" t="s">
        <v>23</v>
      </c>
      <c r="M174" t="s">
        <v>24</v>
      </c>
      <c r="N174" s="2" t="str">
        <f>HYPERLINK("https://yandex.ru/maps/?&amp;text=51.640116, 84.329213", "51.640116, 84.329213")</f>
        <v>51.640116, 84.329213</v>
      </c>
      <c r="O174" t="s">
        <v>300</v>
      </c>
      <c r="P174" t="s">
        <v>27</v>
      </c>
      <c r="Q174" s="7" t="str">
        <f>HYPERLINK("D:\torgi_project\venv_torgi\cache\objs_in_district/51.640116_84.329213.json", "51.640116_84.329213.json")</f>
        <v>51.640116_84.329213.json</v>
      </c>
      <c r="R174">
        <v>184</v>
      </c>
      <c r="S174" s="6">
        <v>8.19</v>
      </c>
    </row>
    <row r="175" spans="1:19">
      <c r="A175" s="4"/>
      <c r="B175" t="s">
        <v>241</v>
      </c>
      <c r="C175" s="1">
        <v>31.2</v>
      </c>
      <c r="D175" s="2" t="str">
        <f>HYPERLINK("https://torgi.gov.ru/new/public/lots/lot/22000012370000000016_1/(lotInfo:info)", "22000012370000000016_1")</f>
        <v>22000012370000000016_1</v>
      </c>
      <c r="E175" t="s">
        <v>242</v>
      </c>
      <c r="F175" s="3">
        <v>18559.8717948718</v>
      </c>
      <c r="G175" s="3">
        <v>579068</v>
      </c>
      <c r="H175" t="s">
        <v>243</v>
      </c>
      <c r="I175" t="s">
        <v>244</v>
      </c>
      <c r="J175" t="s">
        <v>245</v>
      </c>
      <c r="K175" s="6">
        <v>7.81</v>
      </c>
      <c r="L175" t="s">
        <v>90</v>
      </c>
      <c r="M175" t="s">
        <v>24</v>
      </c>
      <c r="N175" s="2" t="str">
        <f>HYPERLINK("https://yandex.ru/maps/?&amp;text=55.492447, 46.414288", "55.492447, 46.414288")</f>
        <v>55.492447, 46.414288</v>
      </c>
      <c r="O175" t="s">
        <v>246</v>
      </c>
      <c r="P175" t="s">
        <v>247</v>
      </c>
      <c r="Q175" s="7" t="str">
        <f>HYPERLINK("D:\torgi_project\venv_torgi\cache\objs_in_district/55.492447_46.414288.json", "55.492447_46.414288.json")</f>
        <v>55.492447_46.414288.json</v>
      </c>
      <c r="R175">
        <v>2157</v>
      </c>
      <c r="S175" s="6">
        <v>8.6</v>
      </c>
    </row>
    <row r="176" spans="1:19">
      <c r="A176" s="4"/>
      <c r="B176" t="s">
        <v>513</v>
      </c>
      <c r="C176" s="1">
        <v>69</v>
      </c>
      <c r="D176" s="2" t="str">
        <f>HYPERLINK("https://torgi.gov.ru/new/public/lots/lot/21000008500000000006_1/(lotInfo:info)", "21000008500000000006_1")</f>
        <v>21000008500000000006_1</v>
      </c>
      <c r="E176" t="s">
        <v>523</v>
      </c>
      <c r="F176" s="3">
        <v>37347.82608695652</v>
      </c>
      <c r="G176" s="3">
        <v>2577000</v>
      </c>
      <c r="H176" t="s">
        <v>547</v>
      </c>
      <c r="I176" t="s">
        <v>544</v>
      </c>
      <c r="J176" t="s">
        <v>548</v>
      </c>
      <c r="K176" s="6">
        <v>7.84</v>
      </c>
      <c r="L176" t="s">
        <v>23</v>
      </c>
      <c r="M176" t="s">
        <v>24</v>
      </c>
      <c r="N176" s="2" t="str">
        <f>HYPERLINK("https://yandex.ru/maps/?&amp;text=53.2517967, 34.4422385", "53.2517967, 34.4422385")</f>
        <v>53.2517967, 34.4422385</v>
      </c>
      <c r="O176" t="s">
        <v>549</v>
      </c>
      <c r="P176" t="s">
        <v>247</v>
      </c>
      <c r="Q176" s="7" t="str">
        <f>HYPERLINK("D:\torgi_project\venv_torgi\cache\objs_in_district/53.2517967_34.4422385.json", "53.2517967_34.4422385.json")</f>
        <v>53.2517967_34.4422385.json</v>
      </c>
      <c r="R176">
        <v>5625</v>
      </c>
      <c r="S176" s="6">
        <v>6.64</v>
      </c>
    </row>
    <row r="177" spans="1:19">
      <c r="A177" s="4"/>
      <c r="B177" t="s">
        <v>27</v>
      </c>
      <c r="C177" s="1">
        <v>613</v>
      </c>
      <c r="D177" s="2" t="str">
        <f>HYPERLINK("https://torgi.gov.ru/new/public/lots/lot/22000039540000000001_1/(lotInfo:info)", "22000039540000000001_1")</f>
        <v>22000039540000000001_1</v>
      </c>
      <c r="E177" t="s">
        <v>97</v>
      </c>
      <c r="F177" s="3">
        <v>2712.887438825448</v>
      </c>
      <c r="G177" s="3">
        <v>1663000</v>
      </c>
      <c r="H177" t="s">
        <v>98</v>
      </c>
      <c r="I177" t="s">
        <v>99</v>
      </c>
      <c r="J177" t="s">
        <v>100</v>
      </c>
      <c r="K177" s="6">
        <v>7.86</v>
      </c>
      <c r="L177" t="s">
        <v>90</v>
      </c>
      <c r="M177" t="s">
        <v>24</v>
      </c>
      <c r="N177" s="2" t="str">
        <f>HYPERLINK("https://yandex.ru/maps/?&amp;text=55.104079, 55.368992", "55.104079, 55.368992")</f>
        <v>55.104079, 55.368992</v>
      </c>
      <c r="O177" t="s">
        <v>101</v>
      </c>
      <c r="P177" t="s">
        <v>79</v>
      </c>
      <c r="Q177" s="7" t="str">
        <f>HYPERLINK("D:\torgi_project\venv_torgi\cache\objs_in_district/55.104079_55.368992.json", "55.104079_55.368992.json")</f>
        <v>55.104079_55.368992.json</v>
      </c>
      <c r="R177">
        <v>725</v>
      </c>
      <c r="S177" s="6">
        <v>3.74</v>
      </c>
    </row>
    <row r="178" spans="1:19">
      <c r="A178" s="4"/>
      <c r="B178" t="s">
        <v>263</v>
      </c>
      <c r="C178" s="1">
        <v>41.5</v>
      </c>
      <c r="D178" s="2" t="str">
        <f>HYPERLINK("https://torgi.gov.ru/new/public/lots/lot/22000014810000000003_1/(lotInfo:info)", "22000014810000000003_1")</f>
        <v>22000014810000000003_1</v>
      </c>
      <c r="E178" t="s">
        <v>770</v>
      </c>
      <c r="F178" s="3">
        <v>34940.963855421687</v>
      </c>
      <c r="G178" s="3">
        <v>1450050</v>
      </c>
      <c r="H178" t="s">
        <v>771</v>
      </c>
      <c r="I178" t="s">
        <v>772</v>
      </c>
      <c r="J178" t="s">
        <v>773</v>
      </c>
      <c r="K178" s="6">
        <v>8.32</v>
      </c>
      <c r="L178" t="s">
        <v>23</v>
      </c>
      <c r="M178" t="s">
        <v>24</v>
      </c>
      <c r="N178" s="2" t="str">
        <f>HYPERLINK("https://yandex.ru/maps/?&amp;text=54.552807, 36.29545", "54.552807, 36.29545")</f>
        <v>54.552807, 36.29545</v>
      </c>
      <c r="O178" t="s">
        <v>774</v>
      </c>
      <c r="P178" t="s">
        <v>291</v>
      </c>
      <c r="Q178" s="7" t="str">
        <f>HYPERLINK("D:\torgi_project\venv_torgi\cache\objs_in_district/54.552807_36.29545.json", "54.552807_36.29545.json")</f>
        <v>54.552807_36.29545.json</v>
      </c>
      <c r="R178">
        <v>2720</v>
      </c>
      <c r="S178" s="6">
        <v>12.85</v>
      </c>
    </row>
    <row r="179" spans="1:19">
      <c r="A179" s="4"/>
      <c r="B179" t="s">
        <v>1526</v>
      </c>
      <c r="C179" s="1">
        <v>202.2</v>
      </c>
      <c r="D179" s="2" t="str">
        <f>HYPERLINK("https://torgi.gov.ru/new/public/lots/lot/21000005000000000392_1/(lotInfo:info)", "21000005000000000392_1")</f>
        <v>21000005000000000392_1</v>
      </c>
      <c r="E179" t="s">
        <v>1657</v>
      </c>
      <c r="F179" s="3">
        <v>44000.989119683487</v>
      </c>
      <c r="G179" s="3">
        <v>8897000</v>
      </c>
      <c r="H179" t="s">
        <v>1658</v>
      </c>
      <c r="I179" t="s">
        <v>1654</v>
      </c>
      <c r="J179" t="s">
        <v>1659</v>
      </c>
      <c r="K179" s="6">
        <v>8.33</v>
      </c>
      <c r="L179" t="s">
        <v>90</v>
      </c>
      <c r="M179" t="s">
        <v>24</v>
      </c>
      <c r="N179" s="2" t="str">
        <f>HYPERLINK("https://yandex.ru/maps/?&amp;text=55.77836, 37.83774", "55.77836, 37.83774")</f>
        <v>55.77836, 37.83774</v>
      </c>
      <c r="O179" t="s">
        <v>1660</v>
      </c>
      <c r="P179" t="s">
        <v>92</v>
      </c>
      <c r="Q179" s="7" t="str">
        <f>HYPERLINK("D:\torgi_project\venv_torgi\cache\objs_in_district/55.77836_37.83774.json", "55.77836_37.83774.json")</f>
        <v>55.77836_37.83774.json</v>
      </c>
      <c r="R179">
        <v>16944</v>
      </c>
      <c r="S179" s="6">
        <v>2.6</v>
      </c>
    </row>
    <row r="180" spans="1:19">
      <c r="A180" s="4"/>
      <c r="B180" t="s">
        <v>1711</v>
      </c>
      <c r="C180" s="1">
        <v>58.3</v>
      </c>
      <c r="D180" s="2" t="str">
        <f>HYPERLINK("https://torgi.gov.ru/new/public/lots/lot/21000002210000000357_1/(lotInfo:info)", "21000002210000000357_1")</f>
        <v>21000002210000000357_1</v>
      </c>
      <c r="E180" t="s">
        <v>1853</v>
      </c>
      <c r="F180" s="3">
        <v>64425.385934819897</v>
      </c>
      <c r="G180" s="3">
        <v>3756000</v>
      </c>
      <c r="H180" t="s">
        <v>1854</v>
      </c>
      <c r="I180" t="s">
        <v>1855</v>
      </c>
      <c r="J180" t="s">
        <v>1856</v>
      </c>
      <c r="K180" s="6">
        <v>8.3800000000000008</v>
      </c>
      <c r="L180" t="s">
        <v>23</v>
      </c>
      <c r="M180" t="s">
        <v>24</v>
      </c>
      <c r="N180" s="2" t="str">
        <f>HYPERLINK("https://yandex.ru/maps/?&amp;text=59.941651, 30.497588", "59.941651, 30.497588")</f>
        <v>59.941651, 30.497588</v>
      </c>
      <c r="O180" t="s">
        <v>1857</v>
      </c>
      <c r="P180" t="s">
        <v>1109</v>
      </c>
      <c r="Q180" s="7" t="str">
        <f>HYPERLINK("D:\torgi_project\venv_torgi\cache\objs_in_district/59.941651_30.497588.json", "59.941651_30.497588.json")</f>
        <v>59.941651_30.497588.json</v>
      </c>
      <c r="R180">
        <v>7596</v>
      </c>
      <c r="S180" s="6">
        <v>8.48</v>
      </c>
    </row>
    <row r="181" spans="1:19">
      <c r="A181" s="4"/>
      <c r="B181" t="s">
        <v>634</v>
      </c>
      <c r="C181" s="1">
        <v>43.2</v>
      </c>
      <c r="D181" s="2" t="str">
        <f>HYPERLINK("https://torgi.gov.ru/new/public/lots/lot/21000033070000000010_1/(lotInfo:info)", "21000033070000000010_1")</f>
        <v>21000033070000000010_1</v>
      </c>
      <c r="E181" t="s">
        <v>652</v>
      </c>
      <c r="F181" s="3">
        <v>70717.592592592584</v>
      </c>
      <c r="G181" s="3">
        <v>3055000</v>
      </c>
      <c r="H181" t="s">
        <v>653</v>
      </c>
      <c r="I181" t="s">
        <v>654</v>
      </c>
      <c r="J181" t="s">
        <v>655</v>
      </c>
      <c r="K181" s="6">
        <v>8.42</v>
      </c>
      <c r="L181" t="s">
        <v>23</v>
      </c>
      <c r="M181" t="s">
        <v>24</v>
      </c>
      <c r="N181" s="2" t="str">
        <f>HYPERLINK("https://yandex.ru/maps/?&amp;text=51.67364, 39.15688", "51.67364, 39.15688")</f>
        <v>51.67364, 39.15688</v>
      </c>
      <c r="O181" t="s">
        <v>656</v>
      </c>
      <c r="P181" t="s">
        <v>657</v>
      </c>
      <c r="Q181" s="7" t="str">
        <f>HYPERLINK("D:\torgi_project\venv_torgi\cache\objs_in_district/51.67364_39.15688.json", "51.67364_39.15688.json")</f>
        <v>51.67364_39.15688.json</v>
      </c>
      <c r="R181">
        <v>4421</v>
      </c>
      <c r="S181" s="6">
        <v>16</v>
      </c>
    </row>
    <row r="182" spans="1:19">
      <c r="A182" s="4"/>
      <c r="B182" t="s">
        <v>415</v>
      </c>
      <c r="C182" s="1">
        <v>273.5</v>
      </c>
      <c r="D182" s="2" t="str">
        <f>HYPERLINK("https://torgi.gov.ru/new/public/lots/lot/22000110650000000001_1/(lotInfo:info)", "22000110650000000001_1")</f>
        <v>22000110650000000001_1</v>
      </c>
      <c r="E182" t="s">
        <v>844</v>
      </c>
      <c r="F182" s="3">
        <v>2298.8336380255942</v>
      </c>
      <c r="G182" s="3">
        <v>628731</v>
      </c>
      <c r="H182" t="s">
        <v>845</v>
      </c>
      <c r="I182" t="s">
        <v>846</v>
      </c>
      <c r="J182" t="s">
        <v>847</v>
      </c>
      <c r="K182" s="6">
        <v>8.42</v>
      </c>
      <c r="L182" t="s">
        <v>23</v>
      </c>
      <c r="M182" t="s">
        <v>24</v>
      </c>
      <c r="N182" s="2" t="str">
        <f>HYPERLINK("https://yandex.ru/maps/?&amp;text=58.497129, 49.025862", "58.497129, 49.025862")</f>
        <v>58.497129, 49.025862</v>
      </c>
      <c r="O182" t="s">
        <v>848</v>
      </c>
      <c r="P182" t="s">
        <v>79</v>
      </c>
      <c r="Q182" s="7" t="str">
        <f>HYPERLINK("D:\torgi_project\venv_torgi\cache\objs_in_district/58.497129_49.025862.json", "58.497129_49.025862.json")</f>
        <v>58.497129_49.025862.json</v>
      </c>
      <c r="R182">
        <v>146</v>
      </c>
      <c r="S182" s="6">
        <v>15.75</v>
      </c>
    </row>
    <row r="183" spans="1:19">
      <c r="A183" s="4"/>
      <c r="B183" t="s">
        <v>1711</v>
      </c>
      <c r="C183" s="1">
        <v>22.6</v>
      </c>
      <c r="D183" s="2" t="str">
        <f>HYPERLINK("https://torgi.gov.ru/new/public/lots/lot/21000002210000000346_1/(lotInfo:info)", "21000002210000000346_1")</f>
        <v>21000002210000000346_1</v>
      </c>
      <c r="E183" t="s">
        <v>1858</v>
      </c>
      <c r="F183" s="3">
        <v>91150.442477876102</v>
      </c>
      <c r="G183" s="3">
        <v>2060000</v>
      </c>
      <c r="H183" t="s">
        <v>1859</v>
      </c>
      <c r="I183" t="s">
        <v>1860</v>
      </c>
      <c r="J183" t="s">
        <v>1861</v>
      </c>
      <c r="K183" s="6">
        <v>8.5299999999999994</v>
      </c>
      <c r="L183" t="s">
        <v>23</v>
      </c>
      <c r="M183" t="s">
        <v>24</v>
      </c>
      <c r="N183" s="2" t="str">
        <f>HYPERLINK("https://yandex.ru/maps/?&amp;text=59.926715, 30.302447", "59.926715, 30.302447")</f>
        <v>59.926715, 30.302447</v>
      </c>
      <c r="O183" t="s">
        <v>1862</v>
      </c>
      <c r="P183" t="s">
        <v>1863</v>
      </c>
      <c r="Q183" s="7" t="str">
        <f>HYPERLINK("D:\torgi_project\venv_torgi\cache\objs_in_district/59.926715_30.302447.json", "59.926715_30.302447.json")</f>
        <v>59.926715_30.302447.json</v>
      </c>
      <c r="R183">
        <v>10908</v>
      </c>
      <c r="S183" s="6">
        <v>8.36</v>
      </c>
    </row>
    <row r="184" spans="1:19">
      <c r="A184" s="4"/>
      <c r="B184" t="s">
        <v>130</v>
      </c>
      <c r="C184" s="1">
        <v>67.400000000000006</v>
      </c>
      <c r="D184" s="2" t="str">
        <f>HYPERLINK("https://torgi.gov.ru/new/public/lots/lot/21000020130000000007_1/(lotInfo:info)", "21000020130000000007_1")</f>
        <v>21000020130000000007_1</v>
      </c>
      <c r="E184" t="s">
        <v>903</v>
      </c>
      <c r="F184" s="3">
        <v>10459.94065281899</v>
      </c>
      <c r="G184" s="3">
        <v>705000</v>
      </c>
      <c r="H184" t="s">
        <v>904</v>
      </c>
      <c r="I184" t="s">
        <v>905</v>
      </c>
      <c r="J184" t="s">
        <v>906</v>
      </c>
      <c r="K184" s="6">
        <v>8.92</v>
      </c>
      <c r="L184" t="s">
        <v>23</v>
      </c>
      <c r="M184" t="s">
        <v>24</v>
      </c>
      <c r="N184" s="2" t="str">
        <f>HYPERLINK("https://yandex.ru/maps/?&amp;text=55.277565, 66.509808", "55.277565, 66.509808")</f>
        <v>55.277565, 66.509808</v>
      </c>
      <c r="O184" t="s">
        <v>857</v>
      </c>
      <c r="P184" t="s">
        <v>692</v>
      </c>
      <c r="Q184" s="7" t="str">
        <f>HYPERLINK("D:\torgi_project\venv_torgi\cache\objs_in_district/55.277565_66.509808.json", "55.277565_66.509808.json")</f>
        <v>55.277565_66.509808.json</v>
      </c>
      <c r="R184">
        <v>559</v>
      </c>
      <c r="S184" s="6">
        <v>18.71</v>
      </c>
    </row>
    <row r="185" spans="1:19">
      <c r="A185" s="4"/>
      <c r="B185" t="s">
        <v>554</v>
      </c>
      <c r="C185" s="1">
        <v>21.3</v>
      </c>
      <c r="D185" s="2" t="str">
        <f>HYPERLINK("https://torgi.gov.ru/new/public/lots/lot/21000004310000000145_4/(lotInfo:info)", "21000004310000000145_4")</f>
        <v>21000004310000000145_4</v>
      </c>
      <c r="E185" t="s">
        <v>563</v>
      </c>
      <c r="F185" s="3">
        <v>31228.262910798119</v>
      </c>
      <c r="G185" s="3">
        <v>665162</v>
      </c>
      <c r="H185" t="s">
        <v>564</v>
      </c>
      <c r="I185" t="s">
        <v>565</v>
      </c>
      <c r="J185" t="s">
        <v>566</v>
      </c>
      <c r="K185" s="6">
        <v>8.99</v>
      </c>
      <c r="L185" t="s">
        <v>23</v>
      </c>
      <c r="M185" t="s">
        <v>35</v>
      </c>
      <c r="N185" s="2" t="str">
        <f>HYPERLINK("https://yandex.ru/maps/?&amp;text=56.132138, 40.389944", "56.132138, 40.389944")</f>
        <v>56.132138, 40.389944</v>
      </c>
      <c r="O185" t="s">
        <v>567</v>
      </c>
      <c r="P185" t="s">
        <v>554</v>
      </c>
      <c r="Q185" s="7" t="str">
        <f>HYPERLINK("D:\torgi_project\venv_torgi\cache\objs_in_district/56.132138_40.389944.json", "56.132138_40.389944.json")</f>
        <v>56.132138_40.389944.json</v>
      </c>
      <c r="R185">
        <v>4673</v>
      </c>
      <c r="S185" s="6">
        <v>6.68</v>
      </c>
    </row>
    <row r="186" spans="1:19" hidden="1">
      <c r="A186" s="4"/>
      <c r="B186" t="s">
        <v>130</v>
      </c>
      <c r="C186" s="1">
        <v>31.8</v>
      </c>
      <c r="D186" s="2" t="str">
        <f>HYPERLINK("https://torgi.gov.ru/new/public/lots/lot/21000025240000000011_1/(lotInfo:info)", "21000025240000000011_1")</f>
        <v>21000025240000000011_1</v>
      </c>
      <c r="E186" t="s">
        <v>907</v>
      </c>
      <c r="F186" s="3">
        <v>22233.993710691819</v>
      </c>
      <c r="G186" s="3">
        <v>707041</v>
      </c>
      <c r="H186" t="s">
        <v>908</v>
      </c>
      <c r="I186" t="s">
        <v>909</v>
      </c>
      <c r="J186" t="s">
        <v>910</v>
      </c>
      <c r="L186" t="s">
        <v>23</v>
      </c>
      <c r="M186" t="s">
        <v>24</v>
      </c>
      <c r="N186" s="2" t="str">
        <f>HYPERLINK("https://yandex.ru/maps/?&amp;text=55.023926, 82.95924", "55.023926, 82.95924")</f>
        <v>55.023926, 82.95924</v>
      </c>
      <c r="R186">
        <v>5862</v>
      </c>
      <c r="S186" s="6">
        <v>3.79</v>
      </c>
    </row>
    <row r="187" spans="1:19">
      <c r="A187" s="4"/>
      <c r="B187" t="s">
        <v>1495</v>
      </c>
      <c r="C187" s="1">
        <v>217.4</v>
      </c>
      <c r="D187" s="2" t="str">
        <f>HYPERLINK("https://torgi.gov.ru/new/public/lots/lot/22000034760000000055_1/(lotInfo:info)", "22000034760000000055_1")</f>
        <v>22000034760000000055_1</v>
      </c>
      <c r="E187" t="s">
        <v>343</v>
      </c>
      <c r="F187" s="3">
        <v>39788.40846366145</v>
      </c>
      <c r="G187" s="3">
        <v>8650000</v>
      </c>
      <c r="H187" t="s">
        <v>1514</v>
      </c>
      <c r="I187" t="s">
        <v>1336</v>
      </c>
      <c r="J187" t="s">
        <v>1515</v>
      </c>
      <c r="K187" s="6">
        <v>9.15</v>
      </c>
      <c r="L187" t="s">
        <v>901</v>
      </c>
      <c r="M187" t="s">
        <v>24</v>
      </c>
      <c r="N187" s="2" t="str">
        <f>HYPERLINK("https://yandex.ru/maps/?&amp;text=57.6224, 39.880222", "57.6224, 39.880222")</f>
        <v>57.6224, 39.880222</v>
      </c>
      <c r="O187" t="s">
        <v>1516</v>
      </c>
      <c r="P187" t="s">
        <v>1044</v>
      </c>
      <c r="Q187" s="7" t="str">
        <f>HYPERLINK("D:\torgi_project\venv_torgi\cache\objs_in_district/57.6224_39.880222.json", "57.6224_39.880222.json")</f>
        <v>57.6224_39.880222.json</v>
      </c>
      <c r="R187">
        <v>4524</v>
      </c>
      <c r="S187" s="6">
        <v>8.7899999999999991</v>
      </c>
    </row>
    <row r="188" spans="1:19" hidden="1">
      <c r="A188" s="4"/>
      <c r="B188" t="s">
        <v>164</v>
      </c>
      <c r="C188" s="1">
        <v>76.099999999999994</v>
      </c>
      <c r="D188" s="2" t="str">
        <f>HYPERLINK("https://torgi.gov.ru/new/public/lots/lot/21000016390000000075_9/(lotInfo:info)", "21000016390000000075_9")</f>
        <v>21000016390000000075_9</v>
      </c>
      <c r="E188" t="s">
        <v>916</v>
      </c>
      <c r="F188" s="3">
        <v>60212.877792378451</v>
      </c>
      <c r="G188" s="3">
        <v>4582200</v>
      </c>
      <c r="I188" t="s">
        <v>917</v>
      </c>
      <c r="J188" t="s">
        <v>918</v>
      </c>
      <c r="L188" t="s">
        <v>23</v>
      </c>
      <c r="M188" t="s">
        <v>35</v>
      </c>
    </row>
    <row r="189" spans="1:19" hidden="1">
      <c r="A189" s="4"/>
      <c r="B189" t="s">
        <v>164</v>
      </c>
      <c r="C189" s="1">
        <v>59.6</v>
      </c>
      <c r="D189" s="2" t="str">
        <f>HYPERLINK("https://torgi.gov.ru/new/public/lots/lot/21000003800000000001_1/(lotInfo:info)", "21000003800000000001_1")</f>
        <v>21000003800000000001_1</v>
      </c>
      <c r="E189" t="s">
        <v>919</v>
      </c>
      <c r="F189" s="3">
        <v>36332.290268456367</v>
      </c>
      <c r="G189" s="3">
        <v>2165404.5</v>
      </c>
      <c r="H189" t="s">
        <v>920</v>
      </c>
      <c r="I189" t="s">
        <v>921</v>
      </c>
      <c r="J189" t="s">
        <v>922</v>
      </c>
      <c r="L189" t="s">
        <v>23</v>
      </c>
      <c r="M189" t="s">
        <v>24</v>
      </c>
    </row>
    <row r="190" spans="1:19">
      <c r="A190" s="4"/>
      <c r="B190" t="s">
        <v>1495</v>
      </c>
      <c r="C190" s="1">
        <v>94.8</v>
      </c>
      <c r="D190" s="2" t="str">
        <f>HYPERLINK("https://torgi.gov.ru/new/public/lots/lot/21000012550000000033_1/(lotInfo:info)", "21000012550000000033_1")</f>
        <v>21000012550000000033_1</v>
      </c>
      <c r="E190" t="s">
        <v>1504</v>
      </c>
      <c r="F190" s="3">
        <v>56645.569620253169</v>
      </c>
      <c r="G190" s="3">
        <v>5370000</v>
      </c>
      <c r="H190" t="s">
        <v>1505</v>
      </c>
      <c r="I190" t="s">
        <v>1506</v>
      </c>
      <c r="K190" s="6">
        <v>9.2799999999999994</v>
      </c>
      <c r="L190" t="s">
        <v>901</v>
      </c>
      <c r="M190" t="s">
        <v>24</v>
      </c>
      <c r="N190" s="2" t="str">
        <f>HYPERLINK("https://yandex.ru/maps/?&amp;text=57.623642, 39.88226", "57.623642, 39.88226")</f>
        <v>57.623642, 39.88226</v>
      </c>
      <c r="O190" t="s">
        <v>1507</v>
      </c>
      <c r="P190" t="s">
        <v>1508</v>
      </c>
      <c r="Q190" s="7" t="str">
        <f>HYPERLINK("D:\torgi_project\venv_torgi\cache\objs_in_district/57.623642_39.88226.json", "57.623642_39.88226.json")</f>
        <v>57.623642_39.88226.json</v>
      </c>
      <c r="R190">
        <v>3734</v>
      </c>
      <c r="S190" s="6">
        <v>15.17</v>
      </c>
    </row>
    <row r="191" spans="1:19">
      <c r="A191" s="4"/>
      <c r="B191" t="s">
        <v>27</v>
      </c>
      <c r="C191" s="1">
        <v>114</v>
      </c>
      <c r="D191" s="2" t="str">
        <f>HYPERLINK("https://torgi.gov.ru/new/public/lots/lot/22000053850000000001_1/(lotInfo:info)", "22000053850000000001_1")</f>
        <v>22000053850000000001_1</v>
      </c>
      <c r="E191" t="s">
        <v>80</v>
      </c>
      <c r="F191" s="3">
        <v>48938.596491228069</v>
      </c>
      <c r="G191" s="3">
        <v>5579000</v>
      </c>
      <c r="H191" t="s">
        <v>81</v>
      </c>
      <c r="I191" t="s">
        <v>82</v>
      </c>
      <c r="J191" t="s">
        <v>83</v>
      </c>
      <c r="K191" s="6">
        <v>9.3000000000000007</v>
      </c>
      <c r="L191" t="s">
        <v>23</v>
      </c>
      <c r="M191" t="s">
        <v>24</v>
      </c>
      <c r="N191" s="2" t="str">
        <f>HYPERLINK("https://yandex.ru/maps/?&amp;text=54.60266, 53.694893", "54.60266, 53.694893")</f>
        <v>54.60266, 53.694893</v>
      </c>
      <c r="O191" t="s">
        <v>84</v>
      </c>
      <c r="P191" t="s">
        <v>85</v>
      </c>
      <c r="Q191" s="7" t="str">
        <f>HYPERLINK("D:\torgi_project\venv_torgi\cache\objs_in_district/54.60266_53.694893.json", "54.60266_53.694893.json")</f>
        <v>54.60266_53.694893.json</v>
      </c>
      <c r="R191">
        <v>3829</v>
      </c>
      <c r="S191" s="6">
        <v>12.78</v>
      </c>
    </row>
    <row r="192" spans="1:19">
      <c r="A192" s="4"/>
      <c r="B192" t="s">
        <v>1526</v>
      </c>
      <c r="C192" s="1">
        <v>87.3</v>
      </c>
      <c r="D192" s="2" t="str">
        <f>HYPERLINK("https://torgi.gov.ru/new/public/lots/lot/21000005000000001412_1/(lotInfo:info)", "21000005000000001412_1")</f>
        <v>21000005000000001412_1</v>
      </c>
      <c r="E192" t="s">
        <v>1599</v>
      </c>
      <c r="F192" s="3">
        <v>104579.03780068731</v>
      </c>
      <c r="G192" s="3">
        <v>9129750</v>
      </c>
      <c r="H192" t="s">
        <v>1600</v>
      </c>
      <c r="I192" t="s">
        <v>1601</v>
      </c>
      <c r="J192" t="s">
        <v>1602</v>
      </c>
      <c r="K192" s="6">
        <v>9.35</v>
      </c>
      <c r="L192" t="s">
        <v>23</v>
      </c>
      <c r="M192" t="s">
        <v>24</v>
      </c>
      <c r="N192" s="2" t="str">
        <f>HYPERLINK("https://yandex.ru/maps/?&amp;text=55.7362574, 37.6311334", "55.7362574, 37.6311334")</f>
        <v>55.7362574, 37.6311334</v>
      </c>
      <c r="O192" t="s">
        <v>1603</v>
      </c>
      <c r="P192" t="s">
        <v>1604</v>
      </c>
      <c r="Q192" s="7" t="str">
        <f>HYPERLINK("D:\torgi_project\venv_torgi\cache\objs_in_district/55.7362574_37.6311334.json", "55.7362574_37.6311334.json")</f>
        <v>55.7362574_37.6311334.json</v>
      </c>
      <c r="R192">
        <v>9409</v>
      </c>
      <c r="S192" s="6">
        <v>11.11</v>
      </c>
    </row>
    <row r="193" spans="1:19">
      <c r="A193" s="4"/>
      <c r="B193" t="s">
        <v>318</v>
      </c>
      <c r="C193" s="1">
        <v>72.8</v>
      </c>
      <c r="D193" s="2" t="str">
        <f>HYPERLINK("https://torgi.gov.ru/new/public/lots/lot/22000009580000000001_1/(lotInfo:info)", "22000009580000000001_1")</f>
        <v>22000009580000000001_1</v>
      </c>
      <c r="E193" t="s">
        <v>1383</v>
      </c>
      <c r="F193" s="3">
        <v>39987.980769230773</v>
      </c>
      <c r="G193" s="3">
        <v>2911125</v>
      </c>
      <c r="H193" t="s">
        <v>1384</v>
      </c>
      <c r="I193" t="s">
        <v>585</v>
      </c>
      <c r="J193" t="s">
        <v>1385</v>
      </c>
      <c r="K193" s="6">
        <v>9.5399999999999991</v>
      </c>
      <c r="L193" t="s">
        <v>23</v>
      </c>
      <c r="M193" t="s">
        <v>24</v>
      </c>
      <c r="N193" s="2" t="str">
        <f>HYPERLINK("https://yandex.ru/maps/?&amp;text=56.269581, 34.328391", "56.269581, 34.328391")</f>
        <v>56.269581, 34.328391</v>
      </c>
      <c r="O193" t="s">
        <v>1386</v>
      </c>
      <c r="P193" t="s">
        <v>453</v>
      </c>
      <c r="Q193" s="7" t="str">
        <f>HYPERLINK("D:\torgi_project\venv_torgi\cache\objs_in_district/56.269581_34.328391.json", "56.269581_34.328391.json")</f>
        <v>56.269581_34.328391.json</v>
      </c>
      <c r="R193">
        <v>1723</v>
      </c>
      <c r="S193" s="6">
        <v>23.21</v>
      </c>
    </row>
    <row r="194" spans="1:19" hidden="1">
      <c r="A194" s="4"/>
      <c r="B194" t="s">
        <v>929</v>
      </c>
      <c r="C194" s="1">
        <v>586</v>
      </c>
      <c r="D194" s="2" t="str">
        <f>HYPERLINK("https://torgi.gov.ru/new/public/lots/lot/21000022100000000002_1/(lotInfo:info)", "21000022100000000002_1")</f>
        <v>21000022100000000002_1</v>
      </c>
      <c r="E194" t="s">
        <v>711</v>
      </c>
      <c r="F194" s="3">
        <v>3194.5392491467578</v>
      </c>
      <c r="G194" s="3">
        <v>1872000</v>
      </c>
      <c r="H194" t="s">
        <v>943</v>
      </c>
      <c r="I194" t="s">
        <v>944</v>
      </c>
      <c r="J194" t="s">
        <v>945</v>
      </c>
      <c r="L194" t="s">
        <v>90</v>
      </c>
      <c r="M194" t="s">
        <v>24</v>
      </c>
    </row>
    <row r="195" spans="1:19">
      <c r="A195" s="4"/>
      <c r="B195" t="s">
        <v>1526</v>
      </c>
      <c r="C195" s="1">
        <v>69.400000000000006</v>
      </c>
      <c r="D195" s="2" t="str">
        <f>HYPERLINK("https://torgi.gov.ru/new/public/lots/lot/21000005000000000696_1/(lotInfo:info)", "21000005000000000696_1")</f>
        <v>21000005000000000696_1</v>
      </c>
      <c r="E195" t="s">
        <v>1636</v>
      </c>
      <c r="F195" s="3">
        <v>29243.515850144089</v>
      </c>
      <c r="G195" s="3">
        <v>2029500</v>
      </c>
      <c r="H195" t="s">
        <v>1637</v>
      </c>
      <c r="I195" t="s">
        <v>1638</v>
      </c>
      <c r="J195" t="s">
        <v>1639</v>
      </c>
      <c r="K195" s="6">
        <v>9.64</v>
      </c>
      <c r="L195" t="s">
        <v>90</v>
      </c>
      <c r="M195" t="s">
        <v>24</v>
      </c>
      <c r="N195" s="2" t="str">
        <f>HYPERLINK("https://yandex.ru/maps/?&amp;text=55.614296, 37.49481", "55.614296, 37.49481")</f>
        <v>55.614296, 37.49481</v>
      </c>
      <c r="O195" t="s">
        <v>1640</v>
      </c>
      <c r="P195" t="s">
        <v>430</v>
      </c>
      <c r="Q195" s="7" t="str">
        <f>HYPERLINK("D:\torgi_project\venv_torgi\cache\objs_in_district/55.614296_37.49481.json", "55.614296_37.49481.json")</f>
        <v>55.614296_37.49481.json</v>
      </c>
      <c r="R195">
        <v>5819</v>
      </c>
      <c r="S195" s="6">
        <v>5.03</v>
      </c>
    </row>
    <row r="196" spans="1:19">
      <c r="A196" s="4"/>
      <c r="B196" t="s">
        <v>241</v>
      </c>
      <c r="C196" s="1">
        <v>59.9</v>
      </c>
      <c r="D196" s="2" t="str">
        <f>HYPERLINK("https://torgi.gov.ru/new/public/lots/lot/22000053090000000003_3/(lotInfo:info)", "22000053090000000003_3")</f>
        <v>22000053090000000003_3</v>
      </c>
      <c r="E196" t="s">
        <v>273</v>
      </c>
      <c r="F196" s="3">
        <v>43538.814691151922</v>
      </c>
      <c r="G196" s="3">
        <v>2607975</v>
      </c>
      <c r="H196" t="s">
        <v>274</v>
      </c>
      <c r="I196" t="s">
        <v>270</v>
      </c>
      <c r="J196" t="s">
        <v>275</v>
      </c>
      <c r="K196" s="6">
        <v>9.66</v>
      </c>
      <c r="L196" t="s">
        <v>23</v>
      </c>
      <c r="M196" t="s">
        <v>24</v>
      </c>
      <c r="N196" s="2" t="str">
        <f>HYPERLINK("https://yandex.ru/maps/?&amp;text=55.510136, 47.502068", "55.510136, 47.502068")</f>
        <v>55.510136, 47.502068</v>
      </c>
      <c r="O196" t="s">
        <v>276</v>
      </c>
      <c r="P196" t="s">
        <v>277</v>
      </c>
      <c r="Q196" s="7" t="str">
        <f>HYPERLINK("D:\torgi_project\venv_torgi\cache\objs_in_district/55.510136_47.502068.json", "55.510136_47.502068.json")</f>
        <v>55.510136_47.502068.json</v>
      </c>
      <c r="R196">
        <v>3227</v>
      </c>
      <c r="S196" s="6">
        <v>13.49</v>
      </c>
    </row>
    <row r="197" spans="1:19">
      <c r="A197" s="4"/>
      <c r="B197" t="s">
        <v>152</v>
      </c>
      <c r="C197" s="1">
        <v>34.700000000000003</v>
      </c>
      <c r="D197" s="2" t="str">
        <f>HYPERLINK("https://torgi.gov.ru/new/public/lots/lot/21000016640000000006_7/(lotInfo:info)", "21000016640000000006_7")</f>
        <v>21000016640000000006_7</v>
      </c>
      <c r="E197" t="s">
        <v>153</v>
      </c>
      <c r="F197" s="3">
        <v>29825.602305475499</v>
      </c>
      <c r="G197" s="3">
        <v>1034948.4</v>
      </c>
      <c r="H197" t="s">
        <v>154</v>
      </c>
      <c r="I197" t="s">
        <v>155</v>
      </c>
      <c r="J197" t="s">
        <v>156</v>
      </c>
      <c r="K197" s="6">
        <v>9.7100000000000009</v>
      </c>
      <c r="L197" t="s">
        <v>90</v>
      </c>
      <c r="M197" t="s">
        <v>24</v>
      </c>
      <c r="N197" s="2" t="str">
        <f>HYPERLINK("https://yandex.ru/maps/?&amp;text=63.563084, 53.660748", "63.563084, 53.660748")</f>
        <v>63.563084, 53.660748</v>
      </c>
      <c r="O197" t="s">
        <v>157</v>
      </c>
      <c r="P197" t="s">
        <v>158</v>
      </c>
      <c r="Q197" s="7" t="str">
        <f>HYPERLINK("D:\torgi_project\venv_torgi\cache\objs_in_district/63.563084_53.660748.json", "63.563084_53.660748.json")</f>
        <v>63.563084_53.660748.json</v>
      </c>
      <c r="R197">
        <v>2035</v>
      </c>
      <c r="S197" s="6">
        <v>14.66</v>
      </c>
    </row>
    <row r="198" spans="1:19">
      <c r="A198" s="4"/>
      <c r="B198" t="s">
        <v>222</v>
      </c>
      <c r="C198" s="1">
        <v>190.8</v>
      </c>
      <c r="D198" s="2" t="str">
        <f>HYPERLINK("https://torgi.gov.ru/new/public/lots/lot/21000018880000000001_1/(lotInfo:info)", "21000018880000000001_1")</f>
        <v>21000018880000000001_1</v>
      </c>
      <c r="E198" t="s">
        <v>1260</v>
      </c>
      <c r="F198" s="3">
        <v>10980.06289308176</v>
      </c>
      <c r="G198" s="3">
        <v>2094996</v>
      </c>
      <c r="H198" t="s">
        <v>1261</v>
      </c>
      <c r="I198" t="s">
        <v>1262</v>
      </c>
      <c r="J198" t="s">
        <v>1263</v>
      </c>
      <c r="K198" s="6">
        <v>9.89</v>
      </c>
      <c r="L198" t="s">
        <v>901</v>
      </c>
      <c r="M198" t="s">
        <v>24</v>
      </c>
      <c r="N198" s="2" t="str">
        <f>HYPERLINK("https://yandex.ru/maps/?&amp;text=57.825256, 28.330519", "57.825256, 28.330519")</f>
        <v>57.825256, 28.330519</v>
      </c>
      <c r="O198" t="s">
        <v>420</v>
      </c>
      <c r="P198" t="s">
        <v>222</v>
      </c>
      <c r="Q198" s="7" t="str">
        <f>HYPERLINK("D:\torgi_project\venv_torgi\cache\objs_in_district/57.825256_28.330519.json", "57.825256_28.330519.json")</f>
        <v>57.825256_28.330519.json</v>
      </c>
      <c r="R198">
        <v>266</v>
      </c>
      <c r="S198" s="6">
        <v>41.28</v>
      </c>
    </row>
    <row r="199" spans="1:19">
      <c r="A199" s="4"/>
      <c r="B199" t="s">
        <v>1044</v>
      </c>
      <c r="C199" s="1">
        <v>22.8</v>
      </c>
      <c r="D199" s="2" t="str">
        <f>HYPERLINK("https://torgi.gov.ru/new/public/lots/lot/21000011320000000001_3/(lotInfo:info)", "21000011320000000001_3")</f>
        <v>21000011320000000001_3</v>
      </c>
      <c r="E199" t="s">
        <v>1098</v>
      </c>
      <c r="F199" s="3">
        <v>30710.087719298241</v>
      </c>
      <c r="G199" s="3">
        <v>700190</v>
      </c>
      <c r="H199" t="s">
        <v>1099</v>
      </c>
      <c r="I199" t="s">
        <v>1100</v>
      </c>
      <c r="J199" t="s">
        <v>1101</v>
      </c>
      <c r="K199" s="6">
        <v>9.9</v>
      </c>
      <c r="L199" t="s">
        <v>23</v>
      </c>
      <c r="M199" t="s">
        <v>24</v>
      </c>
      <c r="N199" s="2" t="str">
        <f>HYPERLINK("https://yandex.ru/maps/?&amp;text=56.328998, 43.992368", "56.328998, 43.992368")</f>
        <v>56.328998, 43.992368</v>
      </c>
      <c r="O199" t="s">
        <v>1102</v>
      </c>
      <c r="P199" t="s">
        <v>1103</v>
      </c>
      <c r="Q199" s="7" t="str">
        <f>HYPERLINK("D:\torgi_project\venv_torgi\cache\objs_in_district/56.328998_43.992368.json", "56.328998_43.992368.json")</f>
        <v>56.328998_43.992368.json</v>
      </c>
      <c r="R199">
        <v>3751</v>
      </c>
      <c r="S199" s="6">
        <v>8.19</v>
      </c>
    </row>
    <row r="200" spans="1:19">
      <c r="A200" s="4"/>
      <c r="B200" t="s">
        <v>453</v>
      </c>
      <c r="C200" s="1">
        <v>190.6</v>
      </c>
      <c r="D200" s="2" t="str">
        <f>HYPERLINK("https://torgi.gov.ru/new/public/lots/lot/21000031630000000010_1/(lotInfo:info)", "21000031630000000010_1")</f>
        <v>21000031630000000010_1</v>
      </c>
      <c r="E200" t="s">
        <v>469</v>
      </c>
      <c r="F200" s="3">
        <v>50820.566631689413</v>
      </c>
      <c r="G200" s="3">
        <v>9686400</v>
      </c>
      <c r="H200" t="s">
        <v>470</v>
      </c>
      <c r="I200" t="s">
        <v>471</v>
      </c>
      <c r="J200" t="s">
        <v>472</v>
      </c>
      <c r="K200" s="6">
        <v>10.02</v>
      </c>
      <c r="L200" t="s">
        <v>23</v>
      </c>
      <c r="M200" t="s">
        <v>24</v>
      </c>
      <c r="N200" s="2" t="str">
        <f>HYPERLINK("https://yandex.ru/maps/?&amp;text=64.53915, 39.799698", "64.53915, 39.799698")</f>
        <v>64.53915, 39.799698</v>
      </c>
      <c r="O200" t="s">
        <v>473</v>
      </c>
      <c r="P200" t="s">
        <v>227</v>
      </c>
      <c r="Q200" s="7" t="str">
        <f>HYPERLINK("D:\torgi_project\venv_torgi\cache\objs_in_district/64.53915_39.799698.json", "64.53915_39.799698.json")</f>
        <v>64.53915_39.799698.json</v>
      </c>
      <c r="R200">
        <v>2075</v>
      </c>
      <c r="S200" s="6">
        <v>24.49</v>
      </c>
    </row>
    <row r="201" spans="1:19">
      <c r="A201" s="4"/>
      <c r="B201" t="s">
        <v>27</v>
      </c>
      <c r="C201" s="1">
        <v>20.8</v>
      </c>
      <c r="D201" s="2" t="str">
        <f>HYPERLINK("https://torgi.gov.ru/new/public/lots/lot/22000029100000000001_1/(lotInfo:info)", "22000029100000000001_1")</f>
        <v>22000029100000000001_1</v>
      </c>
      <c r="E201" t="s">
        <v>62</v>
      </c>
      <c r="F201" s="3">
        <v>39903.846153846163</v>
      </c>
      <c r="G201" s="3">
        <v>830000</v>
      </c>
      <c r="H201" t="s">
        <v>63</v>
      </c>
      <c r="I201" t="s">
        <v>64</v>
      </c>
      <c r="J201" t="s">
        <v>65</v>
      </c>
      <c r="K201" s="6">
        <v>10.1</v>
      </c>
      <c r="L201" t="s">
        <v>23</v>
      </c>
      <c r="M201" t="s">
        <v>24</v>
      </c>
      <c r="N201" s="2" t="str">
        <f>HYPERLINK("https://yandex.ru/maps/?&amp;text=54.599618, 53.679773", "54.599618, 53.679773")</f>
        <v>54.599618, 53.679773</v>
      </c>
      <c r="O201" t="s">
        <v>66</v>
      </c>
      <c r="P201" t="s">
        <v>67</v>
      </c>
      <c r="Q201" s="7" t="str">
        <f>HYPERLINK("D:\torgi_project\venv_torgi\cache\objs_in_district/54.599618_53.679773.json", "54.599618_53.679773.json")</f>
        <v>54.599618_53.679773.json</v>
      </c>
      <c r="R201">
        <v>3322</v>
      </c>
      <c r="S201" s="6">
        <v>12.01</v>
      </c>
    </row>
    <row r="202" spans="1:19">
      <c r="A202" s="4"/>
      <c r="B202" t="s">
        <v>1711</v>
      </c>
      <c r="C202" s="1">
        <v>89.4</v>
      </c>
      <c r="D202" s="2" t="str">
        <f>HYPERLINK("https://torgi.gov.ru/new/public/lots/lot/21000002210000000033_1/(lotInfo:info)", "21000002210000000033_1")</f>
        <v>21000002210000000033_1</v>
      </c>
      <c r="E202" t="s">
        <v>1743</v>
      </c>
      <c r="F202" s="3">
        <v>82550.33557046979</v>
      </c>
      <c r="G202" s="3">
        <v>7380000</v>
      </c>
      <c r="H202" t="s">
        <v>2006</v>
      </c>
      <c r="I202" t="s">
        <v>2007</v>
      </c>
      <c r="J202" t="s">
        <v>2008</v>
      </c>
      <c r="K202" s="6">
        <v>10.11</v>
      </c>
      <c r="L202" t="s">
        <v>23</v>
      </c>
      <c r="M202" t="s">
        <v>24</v>
      </c>
      <c r="N202" s="2" t="str">
        <f>HYPERLINK("https://yandex.ru/maps/?&amp;text=59.887747, 30.270261", "59.887747, 30.270261")</f>
        <v>59.887747, 30.270261</v>
      </c>
      <c r="O202" t="s">
        <v>2009</v>
      </c>
      <c r="P202" t="s">
        <v>43</v>
      </c>
      <c r="Q202" s="7" t="str">
        <f>HYPERLINK("D:\torgi_project\venv_torgi\cache\objs_in_district/59.887747_30.270261.json", "59.887747_30.270261.json")</f>
        <v>59.887747_30.270261.json</v>
      </c>
      <c r="R202">
        <v>2808</v>
      </c>
      <c r="S202" s="6">
        <v>29.4</v>
      </c>
    </row>
    <row r="203" spans="1:19">
      <c r="A203" s="4"/>
      <c r="B203" t="s">
        <v>18</v>
      </c>
      <c r="C203" s="1">
        <v>52.9</v>
      </c>
      <c r="D203" s="2" t="str">
        <f>HYPERLINK("https://torgi.gov.ru/new/public/lots/lot/22000066460000000003_1/(lotInfo:info)", "22000066460000000003_1")</f>
        <v>22000066460000000003_1</v>
      </c>
      <c r="E203" t="s">
        <v>19</v>
      </c>
      <c r="F203" s="3">
        <v>26729.678638941401</v>
      </c>
      <c r="G203" s="3">
        <v>1414000</v>
      </c>
      <c r="H203" t="s">
        <v>20</v>
      </c>
      <c r="I203" t="s">
        <v>21</v>
      </c>
      <c r="J203" t="s">
        <v>22</v>
      </c>
      <c r="K203" s="6">
        <v>10.17</v>
      </c>
      <c r="L203" t="s">
        <v>23</v>
      </c>
      <c r="M203" t="s">
        <v>24</v>
      </c>
      <c r="N203" s="2" t="str">
        <f>HYPERLINK("https://yandex.ru/maps/?&amp;text=44.604739, 40.108358", "44.604739, 40.108358")</f>
        <v>44.604739, 40.108358</v>
      </c>
      <c r="O203" t="s">
        <v>25</v>
      </c>
      <c r="P203" t="s">
        <v>26</v>
      </c>
      <c r="Q203" s="7" t="str">
        <f>HYPERLINK("D:\torgi_project\venv_torgi\cache\objs_in_district/44.604739_40.108358.json", "44.604739_40.108358.json")</f>
        <v>44.604739_40.108358.json</v>
      </c>
      <c r="R203">
        <v>3142</v>
      </c>
      <c r="S203" s="6">
        <v>8.51</v>
      </c>
    </row>
    <row r="204" spans="1:19">
      <c r="A204" s="4"/>
      <c r="B204" t="s">
        <v>1711</v>
      </c>
      <c r="C204" s="1">
        <v>148.1</v>
      </c>
      <c r="D204" s="2" t="str">
        <f>HYPERLINK("https://torgi.gov.ru/new/public/lots/lot/21000002210000000258_1/(lotInfo:info)", "21000002210000000258_1")</f>
        <v>21000002210000000258_1</v>
      </c>
      <c r="E204" t="s">
        <v>1900</v>
      </c>
      <c r="F204" s="3">
        <v>52667.116812964217</v>
      </c>
      <c r="G204" s="3">
        <v>7800000</v>
      </c>
      <c r="H204" t="s">
        <v>1901</v>
      </c>
      <c r="I204" t="s">
        <v>1902</v>
      </c>
      <c r="J204" t="s">
        <v>1903</v>
      </c>
      <c r="K204" s="6">
        <v>10.210000000000001</v>
      </c>
      <c r="L204" t="s">
        <v>23</v>
      </c>
      <c r="M204" t="s">
        <v>24</v>
      </c>
      <c r="N204" s="2" t="str">
        <f>HYPERLINK("https://yandex.ru/maps/?&amp;text=59.926535, 30.357173", "59.926535, 30.357173")</f>
        <v>59.926535, 30.357173</v>
      </c>
      <c r="O204" t="s">
        <v>1904</v>
      </c>
      <c r="P204" t="s">
        <v>1905</v>
      </c>
      <c r="Q204" s="7" t="str">
        <f>HYPERLINK("D:\torgi_project\venv_torgi\cache\objs_in_district/59.926535_30.357173.json", "59.926535_30.357173.json")</f>
        <v>59.926535_30.357173.json</v>
      </c>
      <c r="R204">
        <v>10406</v>
      </c>
      <c r="S204" s="6">
        <v>5.0599999999999996</v>
      </c>
    </row>
    <row r="205" spans="1:19">
      <c r="A205" s="4"/>
      <c r="B205" t="s">
        <v>946</v>
      </c>
      <c r="C205" s="1">
        <v>242.6</v>
      </c>
      <c r="D205" s="2" t="str">
        <f>HYPERLINK("https://torgi.gov.ru/new/public/lots/lot/21000013960000000004_26/(lotInfo:info)", "21000013960000000004_26")</f>
        <v>21000013960000000004_26</v>
      </c>
      <c r="E205" t="s">
        <v>955</v>
      </c>
      <c r="F205" s="3">
        <v>29370.568837592749</v>
      </c>
      <c r="G205" s="3">
        <v>7125300</v>
      </c>
      <c r="H205" t="s">
        <v>956</v>
      </c>
      <c r="I205" t="s">
        <v>949</v>
      </c>
      <c r="J205" t="s">
        <v>957</v>
      </c>
      <c r="K205" s="6">
        <v>10.220000000000001</v>
      </c>
      <c r="L205" t="s">
        <v>23</v>
      </c>
      <c r="M205" t="s">
        <v>35</v>
      </c>
      <c r="N205" s="2" t="str">
        <f>HYPERLINK("https://yandex.ru/maps/?&amp;text=62.08512, 150.52081", "62.08512, 150.52081")</f>
        <v>62.08512, 150.52081</v>
      </c>
      <c r="O205" t="s">
        <v>958</v>
      </c>
      <c r="P205" t="s">
        <v>27</v>
      </c>
      <c r="Q205" s="7" t="str">
        <f>HYPERLINK("D:\torgi_project\venv_torgi\cache\objs_in_district/62.08512_150.52081.json", "62.08512_150.52081.json")</f>
        <v>62.08512_150.52081.json</v>
      </c>
      <c r="R205">
        <v>60</v>
      </c>
      <c r="S205" s="6">
        <v>489.51</v>
      </c>
    </row>
    <row r="206" spans="1:19">
      <c r="A206" s="4"/>
      <c r="B206" t="s">
        <v>577</v>
      </c>
      <c r="C206" s="1">
        <v>65.400000000000006</v>
      </c>
      <c r="D206" s="2" t="str">
        <f>HYPERLINK("https://torgi.gov.ru/new/public/lots/lot/21000029410000000004_1/(lotInfo:info)", "21000029410000000004_1")</f>
        <v>21000029410000000004_1</v>
      </c>
      <c r="E206" t="s">
        <v>583</v>
      </c>
      <c r="F206" s="3">
        <v>13470.948012232409</v>
      </c>
      <c r="G206" s="3">
        <v>881000</v>
      </c>
      <c r="H206" t="s">
        <v>584</v>
      </c>
      <c r="I206" t="s">
        <v>585</v>
      </c>
      <c r="J206" t="s">
        <v>586</v>
      </c>
      <c r="K206" s="6">
        <v>10.35</v>
      </c>
      <c r="L206" t="s">
        <v>23</v>
      </c>
      <c r="M206" t="s">
        <v>24</v>
      </c>
      <c r="N206" s="2" t="str">
        <f>HYPERLINK("https://yandex.ru/maps/?&amp;text=50.049374, 43.224488", "50.049374, 43.224488")</f>
        <v>50.049374, 43.224488</v>
      </c>
      <c r="O206" t="s">
        <v>587</v>
      </c>
      <c r="P206" t="s">
        <v>49</v>
      </c>
      <c r="Q206" s="7" t="str">
        <f>HYPERLINK("D:\torgi_project\venv_torgi\cache\objs_in_district/50.049374_43.224488.json", "50.049374_43.224488.json")</f>
        <v>50.049374_43.224488.json</v>
      </c>
      <c r="R206">
        <v>1766</v>
      </c>
      <c r="S206" s="6">
        <v>7.63</v>
      </c>
    </row>
    <row r="207" spans="1:19">
      <c r="A207" s="4"/>
      <c r="B207" t="s">
        <v>27</v>
      </c>
      <c r="C207" s="1">
        <v>98.7</v>
      </c>
      <c r="D207" s="2" t="str">
        <f>HYPERLINK("https://torgi.gov.ru/new/public/lots/lot/21000022850000000030_11/(lotInfo:info)", "21000022850000000030_11")</f>
        <v>21000022850000000030_11</v>
      </c>
      <c r="E207" t="s">
        <v>56</v>
      </c>
      <c r="F207" s="3">
        <v>34135.629685916923</v>
      </c>
      <c r="G207" s="3">
        <v>3369186.65</v>
      </c>
      <c r="H207" t="s">
        <v>57</v>
      </c>
      <c r="I207" t="s">
        <v>58</v>
      </c>
      <c r="J207" t="s">
        <v>59</v>
      </c>
      <c r="K207" s="6">
        <v>10.46</v>
      </c>
      <c r="L207" t="s">
        <v>23</v>
      </c>
      <c r="M207" t="s">
        <v>35</v>
      </c>
      <c r="N207" s="2" t="str">
        <f>HYPERLINK("https://yandex.ru/maps/?&amp;text=56.267822, 54.9341", "56.267822, 54.9341")</f>
        <v>56.267822, 54.9341</v>
      </c>
      <c r="O207" t="s">
        <v>60</v>
      </c>
      <c r="P207" t="s">
        <v>61</v>
      </c>
      <c r="Q207" s="7" t="str">
        <f>HYPERLINK("D:\torgi_project\venv_torgi\cache\objs_in_district/56.267822_54.9341.json", "56.267822_54.9341.json")</f>
        <v>56.267822_54.9341.json</v>
      </c>
      <c r="R207">
        <v>1744</v>
      </c>
      <c r="S207" s="6">
        <v>19.57</v>
      </c>
    </row>
    <row r="208" spans="1:19">
      <c r="A208" s="4"/>
      <c r="B208" t="s">
        <v>1526</v>
      </c>
      <c r="C208" s="1">
        <v>99.1</v>
      </c>
      <c r="D208" s="2" t="str">
        <f>HYPERLINK("https://torgi.gov.ru/new/public/lots/lot/21000005000000000130_1/(lotInfo:info)", "21000005000000000130_1")</f>
        <v>21000005000000000130_1</v>
      </c>
      <c r="E208" t="s">
        <v>1681</v>
      </c>
      <c r="F208" s="3">
        <v>70534.813319878915</v>
      </c>
      <c r="G208" s="3">
        <v>6990000</v>
      </c>
      <c r="H208" t="s">
        <v>1682</v>
      </c>
      <c r="I208" t="s">
        <v>1683</v>
      </c>
      <c r="J208" t="s">
        <v>1684</v>
      </c>
      <c r="K208" s="6">
        <v>10.51</v>
      </c>
      <c r="L208" t="s">
        <v>23</v>
      </c>
      <c r="M208" t="s">
        <v>24</v>
      </c>
      <c r="N208" s="2" t="str">
        <f>HYPERLINK("https://yandex.ru/maps/?&amp;text=55.832435, 37.4589756", "55.832435, 37.4589756")</f>
        <v>55.832435, 37.4589756</v>
      </c>
      <c r="O208" t="s">
        <v>1685</v>
      </c>
      <c r="P208" t="s">
        <v>73</v>
      </c>
      <c r="Q208" s="7" t="str">
        <f>HYPERLINK("D:\torgi_project\venv_torgi\cache\objs_in_district/55.832435_37.4589756.json", "55.832435_37.4589756.json")</f>
        <v>55.832435_37.4589756.json</v>
      </c>
      <c r="R208">
        <v>4075</v>
      </c>
      <c r="S208" s="6">
        <v>17.309999999999999</v>
      </c>
    </row>
    <row r="209" spans="1:19">
      <c r="A209" s="4"/>
      <c r="B209" t="s">
        <v>1711</v>
      </c>
      <c r="C209" s="1">
        <v>57.7</v>
      </c>
      <c r="D209" s="2" t="str">
        <f>HYPERLINK("https://torgi.gov.ru/new/public/lots/lot/21000002210000000212_1/(lotInfo:info)", "21000002210000000212_1")</f>
        <v>21000002210000000212_1</v>
      </c>
      <c r="E209" t="s">
        <v>1911</v>
      </c>
      <c r="F209" s="3">
        <v>71057.192374350081</v>
      </c>
      <c r="G209" s="3">
        <v>4100000</v>
      </c>
      <c r="H209" t="s">
        <v>1912</v>
      </c>
      <c r="I209" t="s">
        <v>1913</v>
      </c>
      <c r="J209" t="s">
        <v>1914</v>
      </c>
      <c r="K209" s="6">
        <v>10.51</v>
      </c>
      <c r="L209" t="s">
        <v>23</v>
      </c>
      <c r="M209" t="s">
        <v>24</v>
      </c>
      <c r="N209" s="2" t="str">
        <f>HYPERLINK("https://yandex.ru/maps/?&amp;text=59.913618, 30.281301", "59.913618, 30.281301")</f>
        <v>59.913618, 30.281301</v>
      </c>
      <c r="O209" t="s">
        <v>1915</v>
      </c>
      <c r="P209" t="s">
        <v>26</v>
      </c>
      <c r="Q209" s="7" t="str">
        <f>HYPERLINK("D:\torgi_project\venv_torgi\cache\objs_in_district/59.913618_30.281301.json", "59.913618_30.281301.json")</f>
        <v>59.913618_30.281301.json</v>
      </c>
      <c r="R209">
        <v>4623</v>
      </c>
      <c r="S209" s="6">
        <v>15.37</v>
      </c>
    </row>
    <row r="210" spans="1:19" hidden="1">
      <c r="A210" s="4"/>
      <c r="B210" t="s">
        <v>790</v>
      </c>
      <c r="C210" s="1">
        <v>387.9</v>
      </c>
      <c r="D210" s="2" t="str">
        <f>HYPERLINK("https://torgi.gov.ru/new/public/lots/lot/22000023110000000005_1/(lotInfo:info)", "22000023110000000005_1")</f>
        <v>22000023110000000005_1</v>
      </c>
      <c r="E210" t="s">
        <v>1017</v>
      </c>
      <c r="F210" s="3">
        <v>3469.9664862077861</v>
      </c>
      <c r="G210" s="3">
        <v>1346000</v>
      </c>
      <c r="H210" t="s">
        <v>1018</v>
      </c>
      <c r="I210" t="s">
        <v>1019</v>
      </c>
      <c r="J210" t="s">
        <v>1020</v>
      </c>
      <c r="L210" t="s">
        <v>23</v>
      </c>
      <c r="M210" t="s">
        <v>24</v>
      </c>
    </row>
    <row r="211" spans="1:19">
      <c r="A211" s="4"/>
      <c r="B211" t="s">
        <v>1526</v>
      </c>
      <c r="C211" s="1">
        <v>99.3</v>
      </c>
      <c r="D211" s="2" t="str">
        <f>HYPERLINK("https://torgi.gov.ru/new/public/lots/lot/21000005000000002256_1/(lotInfo:info)", "21000005000000002256_1")</f>
        <v>21000005000000002256_1</v>
      </c>
      <c r="E211" t="s">
        <v>1527</v>
      </c>
      <c r="F211" s="3">
        <v>52366.565961732129</v>
      </c>
      <c r="G211" s="3">
        <v>5200000</v>
      </c>
      <c r="H211" t="s">
        <v>1528</v>
      </c>
      <c r="I211" t="s">
        <v>1529</v>
      </c>
      <c r="J211" t="s">
        <v>1530</v>
      </c>
      <c r="K211" s="6">
        <v>10.52</v>
      </c>
      <c r="L211" t="s">
        <v>23</v>
      </c>
      <c r="M211" t="s">
        <v>24</v>
      </c>
      <c r="N211" s="2" t="str">
        <f>HYPERLINK("https://yandex.ru/maps/?&amp;text=55.816495, 37.662569", "55.816495, 37.662569")</f>
        <v>55.816495, 37.662569</v>
      </c>
      <c r="O211" t="s">
        <v>1531</v>
      </c>
      <c r="P211" t="s">
        <v>577</v>
      </c>
      <c r="Q211" s="7" t="str">
        <f>HYPERLINK("D:\torgi_project\venv_torgi\cache\objs_in_district/55.816495_37.662569.json", "55.816495_37.662569.json")</f>
        <v>55.816495_37.662569.json</v>
      </c>
      <c r="R211">
        <v>8702</v>
      </c>
      <c r="S211" s="6">
        <v>6.02</v>
      </c>
    </row>
    <row r="212" spans="1:19" hidden="1">
      <c r="A212" s="4"/>
      <c r="B212" t="s">
        <v>790</v>
      </c>
      <c r="C212" s="1">
        <v>32.5</v>
      </c>
      <c r="D212" s="2" t="str">
        <f>HYPERLINK("https://torgi.gov.ru/new/public/lots/lot/22000023110000000004_1/(lotInfo:info)", "22000023110000000004_1")</f>
        <v>22000023110000000004_1</v>
      </c>
      <c r="E212" t="s">
        <v>1026</v>
      </c>
      <c r="F212" s="3">
        <v>15503.846153846151</v>
      </c>
      <c r="G212" s="3">
        <v>503875</v>
      </c>
      <c r="H212" t="s">
        <v>1027</v>
      </c>
      <c r="I212" t="s">
        <v>1028</v>
      </c>
      <c r="J212" t="s">
        <v>1029</v>
      </c>
      <c r="L212" t="s">
        <v>23</v>
      </c>
      <c r="M212" t="s">
        <v>24</v>
      </c>
    </row>
    <row r="213" spans="1:19">
      <c r="A213" s="4"/>
      <c r="B213" t="s">
        <v>1711</v>
      </c>
      <c r="C213" s="1">
        <v>17.2</v>
      </c>
      <c r="D213" s="2" t="str">
        <f>HYPERLINK("https://torgi.gov.ru/new/public/lots/lot/21000002210000000038_1/(lotInfo:info)", "21000002210000000038_1")</f>
        <v>21000002210000000038_1</v>
      </c>
      <c r="E213" t="s">
        <v>1756</v>
      </c>
      <c r="F213" s="3">
        <v>159883.72093023261</v>
      </c>
      <c r="G213" s="3">
        <v>2750000</v>
      </c>
      <c r="H213" t="s">
        <v>2003</v>
      </c>
      <c r="I213" t="s">
        <v>1990</v>
      </c>
      <c r="J213" t="s">
        <v>2004</v>
      </c>
      <c r="K213" s="6">
        <v>10.55</v>
      </c>
      <c r="L213" t="s">
        <v>23</v>
      </c>
      <c r="M213" t="s">
        <v>24</v>
      </c>
      <c r="N213" s="2" t="str">
        <f>HYPERLINK("https://yandex.ru/maps/?&amp;text=59.91365, 30.313191", "59.91365, 30.313191")</f>
        <v>59.91365, 30.313191</v>
      </c>
      <c r="O213" t="s">
        <v>2005</v>
      </c>
      <c r="P213" t="s">
        <v>1806</v>
      </c>
      <c r="Q213" s="7" t="str">
        <f>HYPERLINK("D:\torgi_project\venv_torgi\cache\objs_in_district/59.91365_30.313191.json", "59.91365_30.313191.json")</f>
        <v>59.91365_30.313191.json</v>
      </c>
      <c r="R213">
        <v>8134</v>
      </c>
      <c r="S213" s="6">
        <v>19.66</v>
      </c>
    </row>
    <row r="214" spans="1:19" hidden="1">
      <c r="A214" s="4"/>
      <c r="B214" t="s">
        <v>790</v>
      </c>
      <c r="C214" s="1">
        <v>32.700000000000003</v>
      </c>
      <c r="D214" s="2" t="str">
        <f>HYPERLINK("https://torgi.gov.ru/new/public/lots/lot/22000023110000000002_1/(lotInfo:info)", "22000023110000000002_1")</f>
        <v>22000023110000000002_1</v>
      </c>
      <c r="E214" t="s">
        <v>1035</v>
      </c>
      <c r="F214" s="3">
        <v>20045.871559633029</v>
      </c>
      <c r="G214" s="3">
        <v>655500</v>
      </c>
      <c r="H214" t="s">
        <v>1036</v>
      </c>
      <c r="I214" t="s">
        <v>1037</v>
      </c>
      <c r="J214" t="s">
        <v>1038</v>
      </c>
      <c r="L214" t="s">
        <v>23</v>
      </c>
      <c r="M214" t="s">
        <v>24</v>
      </c>
    </row>
    <row r="215" spans="1:19">
      <c r="A215" s="4"/>
      <c r="B215" t="s">
        <v>1711</v>
      </c>
      <c r="C215" s="1">
        <v>23.8</v>
      </c>
      <c r="D215" s="2" t="str">
        <f>HYPERLINK("https://torgi.gov.ru/new/public/lots/lot/21000002210000000398_1/(lotInfo:info)", "21000002210000000398_1")</f>
        <v>21000002210000000398_1</v>
      </c>
      <c r="E215" t="s">
        <v>1843</v>
      </c>
      <c r="F215" s="3">
        <v>154621.84873949579</v>
      </c>
      <c r="G215" s="3">
        <v>3680000</v>
      </c>
      <c r="H215" t="s">
        <v>1844</v>
      </c>
      <c r="I215" t="s">
        <v>1841</v>
      </c>
      <c r="J215" t="s">
        <v>1845</v>
      </c>
      <c r="K215" s="6">
        <v>10.59</v>
      </c>
      <c r="L215" t="s">
        <v>23</v>
      </c>
      <c r="M215" t="s">
        <v>24</v>
      </c>
      <c r="N215" s="2" t="str">
        <f>HYPERLINK("https://yandex.ru/maps/?&amp;text=59.924149, 30.283708", "59.924149, 30.283708")</f>
        <v>59.924149, 30.283708</v>
      </c>
      <c r="O215" t="s">
        <v>1846</v>
      </c>
      <c r="P215" t="s">
        <v>1766</v>
      </c>
      <c r="Q215" s="7" t="str">
        <f>HYPERLINK("D:\torgi_project\venv_torgi\cache\objs_in_district/59.924149_30.283708.json", "59.924149_30.283708.json")</f>
        <v>59.924149_30.283708.json</v>
      </c>
      <c r="R215">
        <v>13144</v>
      </c>
      <c r="S215" s="6">
        <v>11.76</v>
      </c>
    </row>
    <row r="216" spans="1:19">
      <c r="A216" s="4"/>
      <c r="B216" t="s">
        <v>92</v>
      </c>
      <c r="C216" s="1">
        <v>32.299999999999997</v>
      </c>
      <c r="D216" s="2" t="str">
        <f>HYPERLINK("https://torgi.gov.ru/new/public/lots/lot/21000012860000000007_3/(lotInfo:info)", "21000012860000000007_3")</f>
        <v>21000012860000000007_3</v>
      </c>
      <c r="E216" t="s">
        <v>882</v>
      </c>
      <c r="F216" s="3">
        <v>36222.910216718272</v>
      </c>
      <c r="G216" s="3">
        <v>1170000</v>
      </c>
      <c r="H216" t="s">
        <v>883</v>
      </c>
      <c r="I216" t="s">
        <v>884</v>
      </c>
      <c r="J216" t="s">
        <v>885</v>
      </c>
      <c r="K216" s="6">
        <v>10.64</v>
      </c>
      <c r="L216" t="s">
        <v>23</v>
      </c>
      <c r="M216" t="s">
        <v>24</v>
      </c>
      <c r="N216" s="2" t="str">
        <f>HYPERLINK("https://yandex.ru/maps/?&amp;text=57.7481, 41.001232", "57.7481, 41.001232")</f>
        <v>57.7481, 41.001232</v>
      </c>
      <c r="O216" t="s">
        <v>886</v>
      </c>
      <c r="P216" t="s">
        <v>61</v>
      </c>
      <c r="Q216" s="7" t="str">
        <f>HYPERLINK("D:\torgi_project\venv_torgi\cache\objs_in_district/57.7481_41.001232.json", "57.7481_41.001232.json")</f>
        <v>57.7481_41.001232.json</v>
      </c>
      <c r="R216">
        <v>3024</v>
      </c>
      <c r="S216" s="6">
        <v>11.98</v>
      </c>
    </row>
    <row r="217" spans="1:19">
      <c r="A217" s="4"/>
      <c r="B217" t="s">
        <v>634</v>
      </c>
      <c r="C217" s="1">
        <v>66.5</v>
      </c>
      <c r="D217" s="2" t="str">
        <f>HYPERLINK("https://torgi.gov.ru/new/public/lots/lot/21000031780000000003_1/(lotInfo:info)", "21000031780000000003_1")</f>
        <v>21000031780000000003_1</v>
      </c>
      <c r="E217" t="s">
        <v>663</v>
      </c>
      <c r="F217" s="3">
        <v>9203.0075187969924</v>
      </c>
      <c r="G217" s="3">
        <v>612000</v>
      </c>
      <c r="H217" t="s">
        <v>664</v>
      </c>
      <c r="I217" t="s">
        <v>665</v>
      </c>
      <c r="J217" t="s">
        <v>666</v>
      </c>
      <c r="K217" s="6">
        <v>10.71</v>
      </c>
      <c r="L217" t="s">
        <v>592</v>
      </c>
      <c r="M217" t="s">
        <v>24</v>
      </c>
      <c r="N217" s="2" t="str">
        <f>HYPERLINK("https://yandex.ru/maps/?&amp;text=50.712498, 39.43391", "50.712498, 39.43391")</f>
        <v>50.712498, 39.43391</v>
      </c>
      <c r="O217" t="s">
        <v>667</v>
      </c>
      <c r="P217" t="s">
        <v>488</v>
      </c>
      <c r="Q217" s="7" t="str">
        <f>HYPERLINK("D:\torgi_project\venv_torgi\cache\objs_in_district/50.712498_39.43391.json", "50.712498_39.43391.json")</f>
        <v>50.712498_39.43391.json</v>
      </c>
      <c r="R217">
        <v>949</v>
      </c>
      <c r="S217" s="6">
        <v>9.6999999999999993</v>
      </c>
    </row>
    <row r="218" spans="1:19">
      <c r="A218" s="4"/>
      <c r="B218" t="s">
        <v>1526</v>
      </c>
      <c r="C218" s="1">
        <v>61.3</v>
      </c>
      <c r="D218" s="2" t="str">
        <f>HYPERLINK("https://torgi.gov.ru/new/public/lots/lot/21000005000000001416_1/(lotInfo:info)", "21000005000000001416_1")</f>
        <v>21000005000000001416_1</v>
      </c>
      <c r="E218" t="s">
        <v>1593</v>
      </c>
      <c r="F218" s="3">
        <v>88531.810766721042</v>
      </c>
      <c r="G218" s="3">
        <v>5427000</v>
      </c>
      <c r="H218" t="s">
        <v>1594</v>
      </c>
      <c r="I218" t="s">
        <v>1595</v>
      </c>
      <c r="J218" t="s">
        <v>1596</v>
      </c>
      <c r="K218" s="6">
        <v>10.86</v>
      </c>
      <c r="L218" t="s">
        <v>23</v>
      </c>
      <c r="M218" t="s">
        <v>24</v>
      </c>
      <c r="N218" s="2" t="str">
        <f>HYPERLINK("https://yandex.ru/maps/?&amp;text=55.73795, 37.640156", "55.73795, 37.640156")</f>
        <v>55.73795, 37.640156</v>
      </c>
      <c r="O218" t="s">
        <v>1597</v>
      </c>
      <c r="P218" t="s">
        <v>1598</v>
      </c>
      <c r="Q218" s="7" t="str">
        <f>HYPERLINK("D:\torgi_project\venv_torgi\cache\objs_in_district/55.73795_37.640156.json", "55.73795_37.640156.json")</f>
        <v>55.73795_37.640156.json</v>
      </c>
      <c r="R218">
        <v>9455</v>
      </c>
      <c r="S218" s="6">
        <v>9.36</v>
      </c>
    </row>
    <row r="219" spans="1:19" hidden="1">
      <c r="A219" s="4"/>
      <c r="B219" t="s">
        <v>1044</v>
      </c>
      <c r="C219" s="1">
        <v>213.3</v>
      </c>
      <c r="D219" s="2" t="str">
        <f>HYPERLINK("https://torgi.gov.ru/new/public/lots/lot/21000019800000000012_2/(lotInfo:info)", "21000019800000000012_2")</f>
        <v>21000019800000000012_2</v>
      </c>
      <c r="E219" t="s">
        <v>1060</v>
      </c>
      <c r="F219" s="3">
        <v>3375.5274261603372</v>
      </c>
      <c r="G219" s="3">
        <v>720000</v>
      </c>
      <c r="H219" t="s">
        <v>1061</v>
      </c>
      <c r="I219" t="s">
        <v>1057</v>
      </c>
      <c r="J219" t="s">
        <v>1062</v>
      </c>
      <c r="L219" t="s">
        <v>592</v>
      </c>
      <c r="M219" t="s">
        <v>24</v>
      </c>
    </row>
    <row r="220" spans="1:19">
      <c r="A220" s="4"/>
      <c r="B220" t="s">
        <v>107</v>
      </c>
      <c r="C220" s="1">
        <v>10.4</v>
      </c>
      <c r="D220" s="2" t="str">
        <f>HYPERLINK("https://torgi.gov.ru/new/public/lots/lot/21000014890000000014_1/(lotInfo:info)", "21000014890000000014_1")</f>
        <v>21000014890000000014_1</v>
      </c>
      <c r="E220" t="s">
        <v>361</v>
      </c>
      <c r="F220" s="3">
        <v>120841.3461538462</v>
      </c>
      <c r="G220" s="3">
        <v>1256750</v>
      </c>
      <c r="H220" t="s">
        <v>362</v>
      </c>
      <c r="I220" t="s">
        <v>363</v>
      </c>
      <c r="J220" t="s">
        <v>364</v>
      </c>
      <c r="K220" s="6">
        <v>11.08</v>
      </c>
      <c r="L220" t="s">
        <v>23</v>
      </c>
      <c r="M220" t="s">
        <v>24</v>
      </c>
      <c r="N220" s="2" t="str">
        <f>HYPERLINK("https://yandex.ru/maps/?&amp;text=56.034843, 92.919092", "56.034843, 92.919092")</f>
        <v>56.034843, 92.919092</v>
      </c>
      <c r="O220" t="s">
        <v>365</v>
      </c>
      <c r="P220" t="s">
        <v>366</v>
      </c>
      <c r="Q220" s="7" t="str">
        <f>HYPERLINK("D:\torgi_project\venv_torgi\cache\objs_in_district/56.034843_92.919092.json", "56.034843_92.919092.json")</f>
        <v>56.034843_92.919092.json</v>
      </c>
      <c r="R220">
        <v>3572</v>
      </c>
      <c r="S220" s="6">
        <v>33.83</v>
      </c>
    </row>
    <row r="221" spans="1:19">
      <c r="A221" s="4"/>
      <c r="B221" t="s">
        <v>1177</v>
      </c>
      <c r="C221" s="1">
        <v>144.69999999999999</v>
      </c>
      <c r="D221" s="2" t="str">
        <f>HYPERLINK("https://torgi.gov.ru/new/public/lots/lot/22000061470000000001_10/(lotInfo:info)", "22000061470000000001_10")</f>
        <v>22000061470000000001_10</v>
      </c>
      <c r="E221" t="s">
        <v>1192</v>
      </c>
      <c r="F221" s="3">
        <v>11610.22805805114</v>
      </c>
      <c r="G221" s="3">
        <v>1680000</v>
      </c>
      <c r="H221" t="s">
        <v>1193</v>
      </c>
      <c r="I221" t="s">
        <v>1194</v>
      </c>
      <c r="J221" t="s">
        <v>1195</v>
      </c>
      <c r="K221" s="6">
        <v>11.24</v>
      </c>
      <c r="L221" t="s">
        <v>23</v>
      </c>
      <c r="M221" t="s">
        <v>24</v>
      </c>
      <c r="N221" s="2" t="str">
        <f>HYPERLINK("https://yandex.ru/maps/?&amp;text=52.460484, 44.205044", "52.460484, 44.205044")</f>
        <v>52.460484, 44.205044</v>
      </c>
      <c r="O221" t="s">
        <v>1196</v>
      </c>
      <c r="P221" t="s">
        <v>118</v>
      </c>
      <c r="Q221" s="7" t="str">
        <f>HYPERLINK("D:\torgi_project\venv_torgi\cache\objs_in_district/52.460484_44.205044.json", "52.460484_44.205044.json")</f>
        <v>52.460484_44.205044.json</v>
      </c>
      <c r="R221">
        <v>2817</v>
      </c>
      <c r="S221" s="6">
        <v>4.12</v>
      </c>
    </row>
    <row r="222" spans="1:19" hidden="1">
      <c r="A222" s="4"/>
      <c r="B222" t="s">
        <v>1044</v>
      </c>
      <c r="C222" s="1">
        <v>45.1</v>
      </c>
      <c r="D222" s="2" t="str">
        <f>HYPERLINK("https://torgi.gov.ru/new/public/lots/lot/21000011320000000030_5/(lotInfo:info)", "21000011320000000030_5")</f>
        <v>21000011320000000030_5</v>
      </c>
      <c r="E222" t="s">
        <v>1073</v>
      </c>
      <c r="F222" s="3">
        <v>18847.006651884702</v>
      </c>
      <c r="G222" s="3">
        <v>850000</v>
      </c>
      <c r="H222" t="s">
        <v>1074</v>
      </c>
      <c r="I222" t="s">
        <v>1075</v>
      </c>
      <c r="L222" t="s">
        <v>90</v>
      </c>
      <c r="M222" t="s">
        <v>24</v>
      </c>
    </row>
    <row r="223" spans="1:19">
      <c r="A223" s="4"/>
      <c r="B223" t="s">
        <v>1711</v>
      </c>
      <c r="C223" s="1">
        <v>86.8</v>
      </c>
      <c r="D223" s="2" t="str">
        <f>HYPERLINK("https://torgi.gov.ru/new/public/lots/lot/21000002210000000274_1/(lotInfo:info)", "21000002210000000274_1")</f>
        <v>21000002210000000274_1</v>
      </c>
      <c r="E223" t="s">
        <v>1884</v>
      </c>
      <c r="F223" s="3">
        <v>99078.341013824887</v>
      </c>
      <c r="G223" s="3">
        <v>8600000</v>
      </c>
      <c r="H223" t="s">
        <v>1885</v>
      </c>
      <c r="I223" t="s">
        <v>1886</v>
      </c>
      <c r="J223" t="s">
        <v>1887</v>
      </c>
      <c r="K223" s="6">
        <v>11.34</v>
      </c>
      <c r="L223" t="s">
        <v>23</v>
      </c>
      <c r="M223" t="s">
        <v>24</v>
      </c>
      <c r="N223" s="2" t="str">
        <f>HYPERLINK("https://yandex.ru/maps/?&amp;text=59.916649, 30.286098", "59.916649, 30.286098")</f>
        <v>59.916649, 30.286098</v>
      </c>
      <c r="O223" t="s">
        <v>1888</v>
      </c>
      <c r="P223" t="s">
        <v>1508</v>
      </c>
      <c r="Q223" s="7" t="str">
        <f>HYPERLINK("D:\torgi_project\venv_torgi\cache\objs_in_district/59.916649_30.286098.json", "59.916649_30.286098.json")</f>
        <v>59.916649_30.286098.json</v>
      </c>
      <c r="R223">
        <v>8455</v>
      </c>
      <c r="S223" s="6">
        <v>11.72</v>
      </c>
    </row>
    <row r="224" spans="1:19" hidden="1">
      <c r="A224" s="4"/>
      <c r="B224" t="s">
        <v>1044</v>
      </c>
      <c r="C224" s="1">
        <v>27</v>
      </c>
      <c r="D224" s="2" t="str">
        <f>HYPERLINK("https://torgi.gov.ru/new/public/lots/lot/21000011320000000026_9/(lotInfo:info)", "21000011320000000026_9")</f>
        <v>21000011320000000026_9</v>
      </c>
      <c r="E224" t="s">
        <v>1081</v>
      </c>
      <c r="F224" s="3">
        <v>24556.35</v>
      </c>
      <c r="G224" s="3">
        <v>663021.44999999995</v>
      </c>
      <c r="H224" t="s">
        <v>1082</v>
      </c>
      <c r="I224" t="s">
        <v>1083</v>
      </c>
      <c r="J224" t="s">
        <v>1084</v>
      </c>
      <c r="L224" t="s">
        <v>23</v>
      </c>
      <c r="M224" t="s">
        <v>24</v>
      </c>
    </row>
    <row r="225" spans="1:19" hidden="1">
      <c r="A225" s="4"/>
      <c r="B225" t="s">
        <v>1044</v>
      </c>
      <c r="C225" s="1">
        <v>84.2</v>
      </c>
      <c r="D225" s="2" t="str">
        <f>HYPERLINK("https://torgi.gov.ru/new/public/lots/lot/21000012580000000001_1/(lotInfo:info)", "21000012580000000001_1")</f>
        <v>21000012580000000001_1</v>
      </c>
      <c r="E225" t="s">
        <v>1085</v>
      </c>
      <c r="F225" s="3">
        <v>14311.16389548694</v>
      </c>
      <c r="G225" s="3">
        <v>1205000</v>
      </c>
      <c r="H225" t="s">
        <v>1086</v>
      </c>
      <c r="I225" t="s">
        <v>1087</v>
      </c>
      <c r="J225" t="s">
        <v>1088</v>
      </c>
      <c r="L225" t="s">
        <v>23</v>
      </c>
      <c r="M225" t="s">
        <v>24</v>
      </c>
    </row>
    <row r="226" spans="1:19">
      <c r="A226" s="4"/>
      <c r="B226" t="s">
        <v>1711</v>
      </c>
      <c r="C226" s="1">
        <v>13</v>
      </c>
      <c r="D226" s="2" t="str">
        <f>HYPERLINK("https://torgi.gov.ru/new/public/lots/lot/21000002210000000298_1/(lotInfo:info)", "21000002210000000298_1")</f>
        <v>21000002210000000298_1</v>
      </c>
      <c r="E226" t="s">
        <v>1843</v>
      </c>
      <c r="F226" s="3">
        <v>159230.76923076919</v>
      </c>
      <c r="G226" s="3">
        <v>2070000</v>
      </c>
      <c r="H226" t="s">
        <v>1875</v>
      </c>
      <c r="I226" t="s">
        <v>1876</v>
      </c>
      <c r="J226" t="s">
        <v>1877</v>
      </c>
      <c r="K226" s="6">
        <v>11.46</v>
      </c>
      <c r="L226" t="s">
        <v>23</v>
      </c>
      <c r="M226" t="s">
        <v>24</v>
      </c>
      <c r="N226" s="2" t="str">
        <f>HYPERLINK("https://yandex.ru/maps/?&amp;text=59.918751, 30.280825", "59.918751, 30.280825")</f>
        <v>59.918751, 30.280825</v>
      </c>
      <c r="O226" t="s">
        <v>1878</v>
      </c>
      <c r="P226" t="s">
        <v>1879</v>
      </c>
      <c r="Q226" s="7" t="str">
        <f>HYPERLINK("D:\torgi_project\venv_torgi\cache\objs_in_district/59.918751_30.280825.json", "59.918751_30.280825.json")</f>
        <v>59.918751_30.280825.json</v>
      </c>
      <c r="R226">
        <v>15227</v>
      </c>
      <c r="S226" s="6">
        <v>10.46</v>
      </c>
    </row>
    <row r="227" spans="1:19" hidden="1">
      <c r="A227" s="4"/>
      <c r="B227" t="s">
        <v>1044</v>
      </c>
      <c r="C227" s="1">
        <v>125.4</v>
      </c>
      <c r="D227" s="2" t="str">
        <f>HYPERLINK("https://torgi.gov.ru/new/public/lots/lot/21000011320000000012_2/(lotInfo:info)", "21000011320000000012_2")</f>
        <v>21000011320000000012_2</v>
      </c>
      <c r="E227" t="s">
        <v>1094</v>
      </c>
      <c r="F227" s="3">
        <v>71810.722169059009</v>
      </c>
      <c r="G227" s="3">
        <v>9005064.5600000005</v>
      </c>
      <c r="H227" t="s">
        <v>1095</v>
      </c>
      <c r="I227" t="s">
        <v>1096</v>
      </c>
      <c r="J227" t="s">
        <v>1097</v>
      </c>
      <c r="L227" t="s">
        <v>23</v>
      </c>
      <c r="M227" t="s">
        <v>24</v>
      </c>
    </row>
    <row r="228" spans="1:19">
      <c r="A228" s="4"/>
      <c r="B228" t="s">
        <v>1526</v>
      </c>
      <c r="C228" s="1">
        <v>72.7</v>
      </c>
      <c r="D228" s="2" t="str">
        <f>HYPERLINK("https://torgi.gov.ru/new/public/lots/lot/21000005000000000691_1/(lotInfo:info)", "21000005000000000691_1")</f>
        <v>21000005000000000691_1</v>
      </c>
      <c r="E228" t="s">
        <v>1636</v>
      </c>
      <c r="F228" s="3">
        <v>92654.745529573585</v>
      </c>
      <c r="G228" s="3">
        <v>6736000</v>
      </c>
      <c r="H228" t="s">
        <v>1641</v>
      </c>
      <c r="I228" t="s">
        <v>1642</v>
      </c>
      <c r="J228" t="s">
        <v>1643</v>
      </c>
      <c r="K228" s="6">
        <v>11.62</v>
      </c>
      <c r="L228" t="s">
        <v>90</v>
      </c>
      <c r="M228" t="s">
        <v>24</v>
      </c>
      <c r="N228" s="2" t="str">
        <f>HYPERLINK("https://yandex.ru/maps/?&amp;text=55.547204, 37.569459", "55.547204, 37.569459")</f>
        <v>55.547204, 37.569459</v>
      </c>
      <c r="O228" t="s">
        <v>1644</v>
      </c>
      <c r="P228" t="s">
        <v>125</v>
      </c>
      <c r="Q228" s="7" t="str">
        <f>HYPERLINK("D:\torgi_project\venv_torgi\cache\objs_in_district/55.547204_37.569459.json", "55.547204_37.569459.json")</f>
        <v>55.547204_37.569459.json</v>
      </c>
      <c r="R228">
        <v>2253</v>
      </c>
      <c r="S228" s="6">
        <v>41.13</v>
      </c>
    </row>
    <row r="229" spans="1:19">
      <c r="A229" s="4"/>
      <c r="B229" t="s">
        <v>1711</v>
      </c>
      <c r="C229" s="1">
        <v>24.7</v>
      </c>
      <c r="D229" s="2" t="str">
        <f>HYPERLINK("https://torgi.gov.ru/new/public/lots/lot/21000002210000000236_1/(lotInfo:info)", "21000002210000000236_1")</f>
        <v>21000002210000000236_1</v>
      </c>
      <c r="E229" t="s">
        <v>1728</v>
      </c>
      <c r="F229" s="3">
        <v>107692.3076923077</v>
      </c>
      <c r="G229" s="3">
        <v>2660000</v>
      </c>
      <c r="H229" t="s">
        <v>1906</v>
      </c>
      <c r="I229" t="s">
        <v>1907</v>
      </c>
      <c r="J229" t="s">
        <v>1908</v>
      </c>
      <c r="K229" s="6">
        <v>11.69</v>
      </c>
      <c r="L229" t="s">
        <v>23</v>
      </c>
      <c r="M229" t="s">
        <v>24</v>
      </c>
      <c r="N229" s="2" t="str">
        <f>HYPERLINK("https://yandex.ru/maps/?&amp;text=59.925908, 30.305322", "59.925908, 30.305322")</f>
        <v>59.925908, 30.305322</v>
      </c>
      <c r="O229" t="s">
        <v>1909</v>
      </c>
      <c r="P229" t="s">
        <v>1910</v>
      </c>
      <c r="Q229" s="7" t="str">
        <f>HYPERLINK("D:\torgi_project\venv_torgi\cache\objs_in_district/59.925908_30.305322.json", "59.925908_30.305322.json")</f>
        <v>59.925908_30.305322.json</v>
      </c>
      <c r="R229">
        <v>9714</v>
      </c>
      <c r="S229" s="6">
        <v>11.09</v>
      </c>
    </row>
    <row r="230" spans="1:19">
      <c r="A230" s="4"/>
      <c r="B230" t="s">
        <v>55</v>
      </c>
      <c r="C230" s="1">
        <v>104.8</v>
      </c>
      <c r="D230" s="2" t="str">
        <f>HYPERLINK("https://torgi.gov.ru/new/public/lots/lot/21000011380000000001_1/(lotInfo:info)", "21000011380000000001_1")</f>
        <v>21000011380000000001_1</v>
      </c>
      <c r="E230" t="s">
        <v>393</v>
      </c>
      <c r="F230" s="3">
        <v>14427.48091603053</v>
      </c>
      <c r="G230" s="3">
        <v>1512000</v>
      </c>
      <c r="H230" t="s">
        <v>394</v>
      </c>
      <c r="I230" t="s">
        <v>395</v>
      </c>
      <c r="J230" t="s">
        <v>396</v>
      </c>
      <c r="K230" s="6">
        <v>11.87</v>
      </c>
      <c r="L230" t="s">
        <v>23</v>
      </c>
      <c r="M230" t="s">
        <v>24</v>
      </c>
      <c r="N230" s="2" t="str">
        <f>HYPERLINK("https://yandex.ru/maps/?&amp;text=44.109623, 42.98381", "44.109623, 42.98381")</f>
        <v>44.109623, 42.98381</v>
      </c>
      <c r="O230" t="s">
        <v>397</v>
      </c>
      <c r="P230" t="s">
        <v>152</v>
      </c>
      <c r="Q230" s="7" t="str">
        <f>HYPERLINK("D:\torgi_project\venv_torgi\cache\objs_in_district/44.109623_42.98381.json", "44.109623_42.98381.json")</f>
        <v>44.109623_42.98381.json</v>
      </c>
      <c r="R230">
        <v>1888</v>
      </c>
      <c r="S230" s="6">
        <v>7.64</v>
      </c>
    </row>
    <row r="231" spans="1:19">
      <c r="A231" s="4"/>
      <c r="B231" t="s">
        <v>125</v>
      </c>
      <c r="C231" s="1">
        <v>17</v>
      </c>
      <c r="D231" s="2" t="str">
        <f>HYPERLINK("https://torgi.gov.ru/new/public/lots/lot/22000020710000000001_3/(lotInfo:info)", "22000020710000000001_3")</f>
        <v>22000020710000000001_3</v>
      </c>
      <c r="E231" t="s">
        <v>146</v>
      </c>
      <c r="F231" s="3">
        <v>51000</v>
      </c>
      <c r="G231" s="3">
        <v>867000</v>
      </c>
      <c r="H231" t="s">
        <v>147</v>
      </c>
      <c r="I231" t="s">
        <v>148</v>
      </c>
      <c r="J231" t="s">
        <v>149</v>
      </c>
      <c r="K231" s="6">
        <v>11.99</v>
      </c>
      <c r="L231" t="s">
        <v>23</v>
      </c>
      <c r="M231" t="s">
        <v>24</v>
      </c>
      <c r="N231" s="2" t="str">
        <f>HYPERLINK("https://yandex.ru/maps/?&amp;text=61.758864, 34.311808", "61.758864, 34.311808")</f>
        <v>61.758864, 34.311808</v>
      </c>
      <c r="O231" t="s">
        <v>150</v>
      </c>
      <c r="P231" t="s">
        <v>151</v>
      </c>
      <c r="Q231" s="7" t="str">
        <f>HYPERLINK("D:\torgi_project\venv_torgi\cache\objs_in_district/61.758864_34.311808.json", "61.758864_34.311808.json")</f>
        <v>61.758864_34.311808.json</v>
      </c>
      <c r="R231">
        <v>2321</v>
      </c>
      <c r="S231" s="6">
        <v>21.97</v>
      </c>
    </row>
    <row r="232" spans="1:19">
      <c r="A232" s="4"/>
      <c r="B232" t="s">
        <v>1711</v>
      </c>
      <c r="C232" s="1">
        <v>37.299999999999997</v>
      </c>
      <c r="D232" s="2" t="str">
        <f>HYPERLINK("https://torgi.gov.ru/new/public/lots/lot/21000002210000000636_1/(lotInfo:info)", "21000002210000000636_1")</f>
        <v>21000002210000000636_1</v>
      </c>
      <c r="E232" t="s">
        <v>1752</v>
      </c>
      <c r="F232" s="3">
        <v>99731.903485254705</v>
      </c>
      <c r="G232" s="3">
        <v>3720000</v>
      </c>
      <c r="H232" t="s">
        <v>1753</v>
      </c>
      <c r="I232" t="s">
        <v>1748</v>
      </c>
      <c r="J232" t="s">
        <v>1754</v>
      </c>
      <c r="K232" s="6">
        <v>12.16</v>
      </c>
      <c r="L232" t="s">
        <v>23</v>
      </c>
      <c r="M232" t="s">
        <v>24</v>
      </c>
      <c r="N232" s="2" t="str">
        <f>HYPERLINK("https://yandex.ru/maps/?&amp;text=59.919193, 30.276378", "59.919193, 30.276378")</f>
        <v>59.919193, 30.276378</v>
      </c>
      <c r="O232" t="s">
        <v>1755</v>
      </c>
      <c r="P232" t="s">
        <v>1044</v>
      </c>
      <c r="Q232" s="7" t="str">
        <f>HYPERLINK("D:\torgi_project\venv_torgi\cache\objs_in_district/59.919193_30.276378.json", "59.919193_30.276378.json")</f>
        <v>59.919193_30.276378.json</v>
      </c>
      <c r="R232">
        <v>15227</v>
      </c>
      <c r="S232" s="6">
        <v>6.55</v>
      </c>
    </row>
    <row r="233" spans="1:19">
      <c r="A233" s="4"/>
      <c r="B233" t="s">
        <v>1495</v>
      </c>
      <c r="C233" s="1">
        <v>270.3</v>
      </c>
      <c r="D233" s="2" t="str">
        <f>HYPERLINK("https://torgi.gov.ru/new/public/lots/lot/21000019870000000003_1/(lotInfo:info)", "21000019870000000003_1")</f>
        <v>21000019870000000003_1</v>
      </c>
      <c r="E233" t="s">
        <v>1517</v>
      </c>
      <c r="F233" s="3">
        <v>20292.267850536438</v>
      </c>
      <c r="G233" s="3">
        <v>5485000</v>
      </c>
      <c r="H233" t="s">
        <v>1518</v>
      </c>
      <c r="I233" t="s">
        <v>1519</v>
      </c>
      <c r="J233" t="s">
        <v>1520</v>
      </c>
      <c r="K233" s="6">
        <v>12.25</v>
      </c>
      <c r="L233" t="s">
        <v>23</v>
      </c>
      <c r="M233" t="s">
        <v>24</v>
      </c>
      <c r="N233" s="2" t="str">
        <f>HYPERLINK("https://yandex.ru/maps/?&amp;text=57.305371, 39.86125", "57.305371, 39.86125")</f>
        <v>57.305371, 39.86125</v>
      </c>
      <c r="O233" t="s">
        <v>1521</v>
      </c>
      <c r="P233" t="s">
        <v>216</v>
      </c>
      <c r="Q233" s="7" t="str">
        <f>HYPERLINK("D:\torgi_project\venv_torgi\cache\objs_in_district/57.305371_39.86125.json", "57.305371_39.86125.json")</f>
        <v>57.305371_39.86125.json</v>
      </c>
      <c r="R233">
        <v>1729</v>
      </c>
      <c r="S233" s="6">
        <v>11.74</v>
      </c>
    </row>
    <row r="234" spans="1:19">
      <c r="A234" s="4"/>
      <c r="B234" t="s">
        <v>577</v>
      </c>
      <c r="C234" s="1">
        <v>863.72</v>
      </c>
      <c r="D234" s="2" t="str">
        <f>HYPERLINK("https://torgi.gov.ru/new/public/lots/lot/21000004930000000009_1/(lotInfo:info)", "21000004930000000009_1")</f>
        <v>21000004930000000009_1</v>
      </c>
      <c r="E234" t="s">
        <v>588</v>
      </c>
      <c r="F234" s="3">
        <v>3126.0130597878938</v>
      </c>
      <c r="G234" s="3">
        <v>2700000</v>
      </c>
      <c r="H234" t="s">
        <v>589</v>
      </c>
      <c r="I234" t="s">
        <v>590</v>
      </c>
      <c r="J234" t="s">
        <v>591</v>
      </c>
      <c r="K234" s="6">
        <v>12.36</v>
      </c>
      <c r="L234" t="s">
        <v>592</v>
      </c>
      <c r="M234" t="s">
        <v>24</v>
      </c>
      <c r="N234" s="2" t="str">
        <f>HYPERLINK("https://yandex.ru/maps/?&amp;text=49.066343, 44.817911", "49.066343, 44.817911")</f>
        <v>49.066343, 44.817911</v>
      </c>
      <c r="O234" t="s">
        <v>593</v>
      </c>
      <c r="P234" t="s">
        <v>67</v>
      </c>
      <c r="Q234" s="7" t="str">
        <f>HYPERLINK("D:\torgi_project\venv_torgi\cache\objs_in_district/49.066343_44.817911.json", "49.066343_44.817911.json")</f>
        <v>49.066343_44.817911.json</v>
      </c>
      <c r="R234">
        <v>711</v>
      </c>
      <c r="S234" s="6">
        <v>4.4000000000000004</v>
      </c>
    </row>
    <row r="235" spans="1:19">
      <c r="A235" s="4"/>
      <c r="B235" t="s">
        <v>577</v>
      </c>
      <c r="C235" s="1">
        <v>45.3</v>
      </c>
      <c r="D235" s="2" t="str">
        <f>HYPERLINK("https://torgi.gov.ru/new/public/lots/lot/21000028510000000004_1/(lotInfo:info)", "21000028510000000004_1")</f>
        <v>21000028510000000004_1</v>
      </c>
      <c r="E235" t="s">
        <v>578</v>
      </c>
      <c r="F235" s="3">
        <v>40846.559823399562</v>
      </c>
      <c r="G235" s="3">
        <v>1850349.16</v>
      </c>
      <c r="H235" t="s">
        <v>579</v>
      </c>
      <c r="I235" t="s">
        <v>580</v>
      </c>
      <c r="J235" t="s">
        <v>581</v>
      </c>
      <c r="K235" s="6">
        <v>12.4</v>
      </c>
      <c r="L235" t="s">
        <v>23</v>
      </c>
      <c r="M235" t="s">
        <v>24</v>
      </c>
      <c r="N235" s="2" t="str">
        <f>HYPERLINK("https://yandex.ru/maps/?&amp;text=49.767542, 43.640022", "49.767542, 43.640022")</f>
        <v>49.767542, 43.640022</v>
      </c>
      <c r="O235" t="s">
        <v>582</v>
      </c>
      <c r="P235" t="s">
        <v>415</v>
      </c>
      <c r="Q235" s="7" t="str">
        <f>HYPERLINK("D:\torgi_project\venv_torgi\cache\objs_in_district/49.767542_43.640022.json", "49.767542_43.640022.json")</f>
        <v>49.767542_43.640022.json</v>
      </c>
      <c r="R235">
        <v>1267</v>
      </c>
      <c r="S235" s="6">
        <v>32.24</v>
      </c>
    </row>
    <row r="236" spans="1:19" hidden="1">
      <c r="A236" s="4"/>
      <c r="B236" t="s">
        <v>403</v>
      </c>
      <c r="C236" s="1">
        <v>64.400000000000006</v>
      </c>
      <c r="D236" s="2" t="str">
        <f>HYPERLINK("https://torgi.gov.ru/new/public/lots/lot/21000018980000000001_1/(lotInfo:info)", "21000018980000000001_1")</f>
        <v>21000018980000000001_1</v>
      </c>
      <c r="E236" t="s">
        <v>1140</v>
      </c>
      <c r="F236" s="3">
        <v>20496.89440993789</v>
      </c>
      <c r="G236" s="3">
        <v>1320000</v>
      </c>
      <c r="H236" t="s">
        <v>1141</v>
      </c>
      <c r="I236" t="s">
        <v>1142</v>
      </c>
      <c r="J236" t="s">
        <v>1143</v>
      </c>
      <c r="L236" t="s">
        <v>23</v>
      </c>
      <c r="M236" t="s">
        <v>24</v>
      </c>
    </row>
    <row r="237" spans="1:19">
      <c r="A237" s="4"/>
      <c r="B237" t="s">
        <v>784</v>
      </c>
      <c r="C237" s="1">
        <v>26</v>
      </c>
      <c r="D237" s="2" t="str">
        <f>HYPERLINK("https://torgi.gov.ru/new/public/lots/lot/21000000010000000002_2/(lotInfo:info)", "21000000010000000002_2")</f>
        <v>21000000010000000002_2</v>
      </c>
      <c r="E237" t="s">
        <v>831</v>
      </c>
      <c r="F237" s="3">
        <v>21753.846153846149</v>
      </c>
      <c r="G237" s="3">
        <v>565600</v>
      </c>
      <c r="H237" t="s">
        <v>832</v>
      </c>
      <c r="I237" t="s">
        <v>833</v>
      </c>
      <c r="J237" t="s">
        <v>834</v>
      </c>
      <c r="K237" s="6">
        <v>12.4</v>
      </c>
      <c r="L237" t="s">
        <v>23</v>
      </c>
      <c r="M237" t="s">
        <v>24</v>
      </c>
      <c r="N237" s="2" t="str">
        <f>HYPERLINK("https://yandex.ru/maps/?&amp;text=53.908273, 86.789662", "53.908273, 86.789662")</f>
        <v>53.908273, 86.789662</v>
      </c>
      <c r="O237" t="s">
        <v>835</v>
      </c>
      <c r="P237" t="s">
        <v>151</v>
      </c>
      <c r="Q237" s="7" t="str">
        <f>HYPERLINK("D:\torgi_project\venv_torgi\cache\objs_in_district/53.908273_86.789662.json", "53.908273_86.789662.json")</f>
        <v>53.908273_86.789662.json</v>
      </c>
      <c r="R237">
        <v>2226</v>
      </c>
      <c r="S237" s="6">
        <v>9.77</v>
      </c>
    </row>
    <row r="238" spans="1:19">
      <c r="A238" s="4"/>
      <c r="B238" t="s">
        <v>929</v>
      </c>
      <c r="C238" s="1">
        <v>14.4</v>
      </c>
      <c r="D238" s="2" t="str">
        <f>HYPERLINK("https://torgi.gov.ru/new/public/lots/lot/22000031890000000002_1/(lotInfo:info)", "22000031890000000002_1")</f>
        <v>22000031890000000002_1</v>
      </c>
      <c r="E238" t="s">
        <v>935</v>
      </c>
      <c r="F238" s="3">
        <v>45833.333333333343</v>
      </c>
      <c r="G238" s="3">
        <v>660000</v>
      </c>
      <c r="H238" t="s">
        <v>940</v>
      </c>
      <c r="I238" t="s">
        <v>937</v>
      </c>
      <c r="J238" t="s">
        <v>941</v>
      </c>
      <c r="K238" s="6">
        <v>12.52</v>
      </c>
      <c r="L238" t="s">
        <v>23</v>
      </c>
      <c r="M238" t="s">
        <v>24</v>
      </c>
      <c r="N238" s="2" t="str">
        <f>HYPERLINK("https://yandex.ru/maps/?&amp;text=59.81674, 29.980823", "59.81674, 29.980823")</f>
        <v>59.81674, 29.980823</v>
      </c>
      <c r="O238" t="s">
        <v>942</v>
      </c>
      <c r="P238" t="s">
        <v>85</v>
      </c>
      <c r="Q238" s="7" t="str">
        <f>HYPERLINK("D:\torgi_project\venv_torgi\cache\objs_in_district/59.81674_29.980823.json", "59.81674_29.980823.json")</f>
        <v>59.81674_29.980823.json</v>
      </c>
      <c r="R238">
        <v>163</v>
      </c>
      <c r="S238" s="6">
        <v>281.19</v>
      </c>
    </row>
    <row r="239" spans="1:19" hidden="1">
      <c r="A239" s="4"/>
      <c r="B239" t="s">
        <v>1149</v>
      </c>
      <c r="C239" s="1">
        <v>129.9</v>
      </c>
      <c r="D239" s="2" t="str">
        <f>HYPERLINK("https://torgi.gov.ru/new/public/lots/lot/21000028380000000003_5/(lotInfo:info)", "21000028380000000003_5")</f>
        <v>21000028380000000003_5</v>
      </c>
      <c r="E239" t="s">
        <v>1154</v>
      </c>
      <c r="F239" s="3">
        <v>12646.651270207851</v>
      </c>
      <c r="G239" s="3">
        <v>1642800</v>
      </c>
      <c r="H239" t="s">
        <v>1155</v>
      </c>
      <c r="I239" t="s">
        <v>1156</v>
      </c>
      <c r="J239" t="s">
        <v>1157</v>
      </c>
      <c r="L239" t="s">
        <v>23</v>
      </c>
      <c r="M239" t="s">
        <v>24</v>
      </c>
    </row>
    <row r="240" spans="1:19">
      <c r="A240" s="4"/>
      <c r="B240" t="s">
        <v>1526</v>
      </c>
      <c r="C240" s="1">
        <v>27.5</v>
      </c>
      <c r="D240" s="2" t="str">
        <f>HYPERLINK("https://torgi.gov.ru/new/public/lots/lot/21000005000000000128_1/(lotInfo:info)", "21000005000000000128_1")</f>
        <v>21000005000000000128_1</v>
      </c>
      <c r="E240" t="s">
        <v>1686</v>
      </c>
      <c r="F240" s="3">
        <v>168149.09090909091</v>
      </c>
      <c r="G240" s="3">
        <v>4624100</v>
      </c>
      <c r="H240" t="s">
        <v>1687</v>
      </c>
      <c r="I240" t="s">
        <v>148</v>
      </c>
      <c r="J240" t="s">
        <v>1688</v>
      </c>
      <c r="K240" s="6">
        <v>12.53</v>
      </c>
      <c r="L240" t="s">
        <v>23</v>
      </c>
      <c r="M240" t="s">
        <v>24</v>
      </c>
      <c r="N240" s="2" t="str">
        <f>HYPERLINK("https://yandex.ru/maps/?&amp;text=55.711072, 37.39453", "55.711072, 37.39453")</f>
        <v>55.711072, 37.39453</v>
      </c>
      <c r="O240" t="s">
        <v>1689</v>
      </c>
      <c r="P240" t="s">
        <v>61</v>
      </c>
      <c r="Q240" s="7" t="str">
        <f>HYPERLINK("D:\torgi_project\venv_torgi\cache\objs_in_district/55.711072_37.39453.json", "55.711072_37.39453.json")</f>
        <v>55.711072_37.39453.json</v>
      </c>
      <c r="R240">
        <v>8521</v>
      </c>
      <c r="S240" s="6">
        <v>19.73</v>
      </c>
    </row>
    <row r="241" spans="1:19">
      <c r="A241" s="4"/>
      <c r="B241" t="s">
        <v>1526</v>
      </c>
      <c r="C241" s="1">
        <v>79.7</v>
      </c>
      <c r="D241" s="2" t="str">
        <f>HYPERLINK("https://torgi.gov.ru/new/public/lots/lot/21000005000000001540_1/(lotInfo:info)", "21000005000000001540_1")</f>
        <v>21000005000000001540_1</v>
      </c>
      <c r="E241" t="s">
        <v>1580</v>
      </c>
      <c r="F241" s="3">
        <v>120439.774153074</v>
      </c>
      <c r="G241" s="3">
        <v>9599050</v>
      </c>
      <c r="H241" t="s">
        <v>1581</v>
      </c>
      <c r="I241" t="s">
        <v>1582</v>
      </c>
      <c r="J241" t="s">
        <v>1583</v>
      </c>
      <c r="K241" s="6">
        <v>12.62</v>
      </c>
      <c r="L241" t="s">
        <v>23</v>
      </c>
      <c r="M241" t="s">
        <v>24</v>
      </c>
      <c r="N241" s="2" t="str">
        <f>HYPERLINK("https://yandex.ru/maps/?&amp;text=55.715124, 37.89181", "55.715124, 37.89181")</f>
        <v>55.715124, 37.89181</v>
      </c>
      <c r="O241" t="s">
        <v>1584</v>
      </c>
      <c r="P241" t="s">
        <v>1006</v>
      </c>
      <c r="Q241" s="7" t="str">
        <f>HYPERLINK("D:\torgi_project\venv_torgi\cache\objs_in_district/55.715124_37.89181.json", "55.715124_37.89181.json")</f>
        <v>55.715124_37.89181.json</v>
      </c>
      <c r="R241">
        <v>4146</v>
      </c>
      <c r="S241" s="6">
        <v>29.05</v>
      </c>
    </row>
    <row r="242" spans="1:19">
      <c r="A242" s="4"/>
      <c r="B242" t="s">
        <v>1526</v>
      </c>
      <c r="C242" s="1">
        <v>88.6</v>
      </c>
      <c r="D242" s="2" t="str">
        <f>HYPERLINK("https://torgi.gov.ru/new/public/lots/lot/21000005000000001432_1/(lotInfo:info)", "21000005000000001432_1")</f>
        <v>21000005000000001432_1</v>
      </c>
      <c r="E242" t="s">
        <v>1527</v>
      </c>
      <c r="F242" s="3">
        <v>94221.218961625287</v>
      </c>
      <c r="G242" s="3">
        <v>8348000</v>
      </c>
      <c r="H242" t="s">
        <v>1589</v>
      </c>
      <c r="I242" t="s">
        <v>1590</v>
      </c>
      <c r="J242" t="s">
        <v>1591</v>
      </c>
      <c r="K242" s="6">
        <v>12.63</v>
      </c>
      <c r="L242" t="s">
        <v>23</v>
      </c>
      <c r="M242" t="s">
        <v>24</v>
      </c>
      <c r="N242" s="2" t="str">
        <f>HYPERLINK("https://yandex.ru/maps/?&amp;text=55.543526, 37.563548", "55.543526, 37.563548")</f>
        <v>55.543526, 37.563548</v>
      </c>
      <c r="O242" t="s">
        <v>1592</v>
      </c>
      <c r="P242" t="s">
        <v>189</v>
      </c>
      <c r="Q242" s="7" t="str">
        <f>HYPERLINK("D:\torgi_project\venv_torgi\cache\objs_in_district/55.543526_37.563548.json", "55.543526_37.563548.json")</f>
        <v>55.543526_37.563548.json</v>
      </c>
      <c r="R242">
        <v>2931</v>
      </c>
      <c r="S242" s="6">
        <v>32.15</v>
      </c>
    </row>
    <row r="243" spans="1:19">
      <c r="A243" s="4"/>
      <c r="B243" t="s">
        <v>1711</v>
      </c>
      <c r="C243" s="1">
        <v>14.9</v>
      </c>
      <c r="D243" s="2" t="str">
        <f>HYPERLINK("https://torgi.gov.ru/new/public/lots/lot/21000002210000000022_1/(lotInfo:info)", "21000002210000000022_1")</f>
        <v>21000002210000000022_1</v>
      </c>
      <c r="E243" t="s">
        <v>1712</v>
      </c>
      <c r="F243" s="3">
        <v>169127.51677852351</v>
      </c>
      <c r="G243" s="3">
        <v>2520000</v>
      </c>
      <c r="H243" t="s">
        <v>2023</v>
      </c>
      <c r="I243" t="s">
        <v>2015</v>
      </c>
      <c r="J243" t="s">
        <v>2024</v>
      </c>
      <c r="K243" s="6">
        <v>12.65</v>
      </c>
      <c r="L243" t="s">
        <v>23</v>
      </c>
      <c r="M243" t="s">
        <v>24</v>
      </c>
      <c r="N243" s="2" t="str">
        <f>HYPERLINK("https://yandex.ru/maps/?&amp;text=59.919491, 30.297363", "59.919491, 30.297363")</f>
        <v>59.919491, 30.297363</v>
      </c>
      <c r="O243" t="s">
        <v>2025</v>
      </c>
      <c r="P243" t="s">
        <v>2026</v>
      </c>
      <c r="Q243" s="7" t="str">
        <f>HYPERLINK("D:\torgi_project\venv_torgi\cache\objs_in_district/59.919491_30.297363.json", "59.919491_30.297363.json")</f>
        <v>59.919491_30.297363.json</v>
      </c>
      <c r="R243">
        <v>8108</v>
      </c>
      <c r="S243" s="6">
        <v>20.86</v>
      </c>
    </row>
    <row r="244" spans="1:19">
      <c r="A244" s="4"/>
      <c r="B244" t="s">
        <v>488</v>
      </c>
      <c r="C244" s="1">
        <v>13.7</v>
      </c>
      <c r="D244" s="2" t="str">
        <f>HYPERLINK("https://torgi.gov.ru/new/public/lots/lot/21000004710000001028_1/(lotInfo:info)", "21000004710000001028_1")</f>
        <v>21000004710000001028_1</v>
      </c>
      <c r="E244" t="s">
        <v>981</v>
      </c>
      <c r="F244" s="3">
        <v>100074.1605839416</v>
      </c>
      <c r="G244" s="3">
        <v>1371016</v>
      </c>
      <c r="H244" t="s">
        <v>982</v>
      </c>
      <c r="I244" t="s">
        <v>983</v>
      </c>
      <c r="J244" t="s">
        <v>984</v>
      </c>
      <c r="K244" s="6">
        <v>12.69</v>
      </c>
      <c r="L244" t="s">
        <v>23</v>
      </c>
      <c r="M244" t="s">
        <v>24</v>
      </c>
      <c r="N244" s="2" t="str">
        <f>HYPERLINK("https://yandex.ru/maps/?&amp;text=55.923096, 37.85644", "55.923096, 37.85644")</f>
        <v>55.923096, 37.85644</v>
      </c>
      <c r="O244" t="s">
        <v>985</v>
      </c>
      <c r="P244" t="s">
        <v>204</v>
      </c>
      <c r="Q244" s="7" t="str">
        <f>HYPERLINK("D:\torgi_project\venv_torgi\cache\objs_in_district/55.923096_37.85644.json", "55.923096_37.85644.json")</f>
        <v>55.923096_37.85644.json</v>
      </c>
      <c r="R244">
        <v>3273</v>
      </c>
      <c r="S244" s="6">
        <v>30.58</v>
      </c>
    </row>
    <row r="245" spans="1:19">
      <c r="A245" s="4"/>
      <c r="B245" t="s">
        <v>1711</v>
      </c>
      <c r="C245" s="1">
        <v>14</v>
      </c>
      <c r="D245" s="2" t="str">
        <f>HYPERLINK("https://torgi.gov.ru/new/public/lots/lot/21000002210000000271_1/(lotInfo:info)", "21000002210000000271_1")</f>
        <v>21000002210000000271_1</v>
      </c>
      <c r="E245" t="s">
        <v>1743</v>
      </c>
      <c r="F245" s="3">
        <v>77142.857142857145</v>
      </c>
      <c r="G245" s="3">
        <v>1080000</v>
      </c>
      <c r="H245" t="s">
        <v>1892</v>
      </c>
      <c r="I245" t="s">
        <v>1886</v>
      </c>
      <c r="J245" t="s">
        <v>1893</v>
      </c>
      <c r="K245" s="6">
        <v>12.7</v>
      </c>
      <c r="L245" t="s">
        <v>23</v>
      </c>
      <c r="M245" t="s">
        <v>24</v>
      </c>
      <c r="N245" s="2" t="str">
        <f>HYPERLINK("https://yandex.ru/maps/?&amp;text=59.954502, 30.409113", "59.954502, 30.409113")</f>
        <v>59.954502, 30.409113</v>
      </c>
      <c r="O245" t="s">
        <v>1894</v>
      </c>
      <c r="P245" t="s">
        <v>222</v>
      </c>
      <c r="Q245" s="7" t="str">
        <f>HYPERLINK("D:\torgi_project\venv_torgi\cache\objs_in_district/59.954502_30.409113.json", "59.954502_30.409113.json")</f>
        <v>59.954502_30.409113.json</v>
      </c>
      <c r="R245">
        <v>6233</v>
      </c>
      <c r="S245" s="6">
        <v>12.38</v>
      </c>
    </row>
    <row r="246" spans="1:19">
      <c r="A246" s="4"/>
      <c r="B246" t="s">
        <v>716</v>
      </c>
      <c r="C246" s="1">
        <v>194.2</v>
      </c>
      <c r="D246" s="2" t="str">
        <f>HYPERLINK("https://torgi.gov.ru/new/public/lots/lot/22000054080000000004_1/(lotInfo:info)", "22000054080000000004_1")</f>
        <v>22000054080000000004_1</v>
      </c>
      <c r="E246" t="s">
        <v>751</v>
      </c>
      <c r="F246" s="3">
        <v>4055.6127703398561</v>
      </c>
      <c r="G246" s="3">
        <v>787600</v>
      </c>
      <c r="H246" t="s">
        <v>752</v>
      </c>
      <c r="I246" t="s">
        <v>753</v>
      </c>
      <c r="J246" t="s">
        <v>754</v>
      </c>
      <c r="K246" s="6">
        <v>12.75</v>
      </c>
      <c r="L246" t="s">
        <v>23</v>
      </c>
      <c r="M246" t="s">
        <v>24</v>
      </c>
      <c r="N246" s="2" t="str">
        <f>HYPERLINK("https://yandex.ru/maps/?&amp;text=54.446863, 21.017658", "54.446863, 21.017658")</f>
        <v>54.446863, 21.017658</v>
      </c>
      <c r="O246" t="s">
        <v>755</v>
      </c>
      <c r="P246" t="s">
        <v>178</v>
      </c>
      <c r="Q246" s="7" t="str">
        <f>HYPERLINK("D:\torgi_project\venv_torgi\cache\objs_in_district/54.446863_21.017658.json", "54.446863_21.017658.json")</f>
        <v>54.446863_21.017658.json</v>
      </c>
      <c r="R246">
        <v>1084</v>
      </c>
      <c r="S246" s="6">
        <v>3.74</v>
      </c>
    </row>
    <row r="247" spans="1:19">
      <c r="A247" s="4"/>
      <c r="B247" t="s">
        <v>290</v>
      </c>
      <c r="C247" s="1">
        <v>30.3</v>
      </c>
      <c r="D247" s="2" t="str">
        <f>HYPERLINK("https://torgi.gov.ru/new/public/lots/lot/22000022680000000001_1/(lotInfo:info)", "22000022680000000001_1")</f>
        <v>22000022680000000001_1</v>
      </c>
      <c r="E247" t="s">
        <v>1110</v>
      </c>
      <c r="F247" s="3">
        <v>71242.574257425746</v>
      </c>
      <c r="G247" s="3">
        <v>2158650</v>
      </c>
      <c r="H247" t="s">
        <v>1111</v>
      </c>
      <c r="I247" t="s">
        <v>1112</v>
      </c>
      <c r="J247" t="s">
        <v>1113</v>
      </c>
      <c r="K247" s="6">
        <v>12.92</v>
      </c>
      <c r="L247" t="s">
        <v>23</v>
      </c>
      <c r="M247" t="s">
        <v>24</v>
      </c>
      <c r="N247" s="2" t="str">
        <f>HYPERLINK("https://yandex.ru/maps/?&amp;text=57.990744, 31.368667", "57.990744, 31.368667")</f>
        <v>57.990744, 31.368667</v>
      </c>
      <c r="O247" t="s">
        <v>1114</v>
      </c>
      <c r="P247" t="s">
        <v>682</v>
      </c>
      <c r="Q247" s="7" t="str">
        <f>HYPERLINK("D:\torgi_project\venv_torgi\cache\objs_in_district/57.990744_31.368667.json", "57.990744_31.368667.json")</f>
        <v>57.990744_31.368667.json</v>
      </c>
      <c r="R247">
        <v>298</v>
      </c>
      <c r="S247" s="6">
        <v>239.07</v>
      </c>
    </row>
    <row r="248" spans="1:19">
      <c r="A248" s="4"/>
      <c r="B248" t="s">
        <v>453</v>
      </c>
      <c r="C248" s="1">
        <v>17.399999999999999</v>
      </c>
      <c r="D248" s="2" t="str">
        <f>HYPERLINK("https://torgi.gov.ru/new/public/lots/lot/21000006750000000006_8/(lotInfo:info)", "21000006750000000006_8")</f>
        <v>21000006750000000006_8</v>
      </c>
      <c r="E248" t="s">
        <v>474</v>
      </c>
      <c r="F248" s="3">
        <v>75632.18390804599</v>
      </c>
      <c r="G248" s="3">
        <v>1316000</v>
      </c>
      <c r="H248" t="s">
        <v>475</v>
      </c>
      <c r="I248" t="s">
        <v>476</v>
      </c>
      <c r="J248" t="s">
        <v>477</v>
      </c>
      <c r="K248" s="6">
        <v>12.95</v>
      </c>
      <c r="L248" t="s">
        <v>23</v>
      </c>
      <c r="M248" t="s">
        <v>24</v>
      </c>
      <c r="N248" s="2" t="str">
        <f>HYPERLINK("https://yandex.ru/maps/?&amp;text=64.543696, 40.5679", "64.543696, 40.5679")</f>
        <v>64.543696, 40.5679</v>
      </c>
      <c r="O248" t="s">
        <v>478</v>
      </c>
      <c r="P248" t="s">
        <v>479</v>
      </c>
      <c r="Q248" s="7" t="str">
        <f>HYPERLINK("D:\torgi_project\venv_torgi\cache\objs_in_district/64.543696_40.5679.json", "64.543696_40.5679.json")</f>
        <v>64.543696_40.5679.json</v>
      </c>
      <c r="R248">
        <v>2764</v>
      </c>
      <c r="S248" s="6">
        <v>27.36</v>
      </c>
    </row>
    <row r="249" spans="1:19">
      <c r="A249" s="4"/>
      <c r="B249" t="s">
        <v>784</v>
      </c>
      <c r="C249" s="1">
        <v>483.3</v>
      </c>
      <c r="D249" s="2" t="str">
        <f>HYPERLINK("https://torgi.gov.ru/new/public/lots/lot/21000000010000000002_1/(lotInfo:info)", "21000000010000000002_1")</f>
        <v>21000000010000000002_1</v>
      </c>
      <c r="E249" t="s">
        <v>836</v>
      </c>
      <c r="F249" s="3">
        <v>6575.6259052348432</v>
      </c>
      <c r="G249" s="3">
        <v>3178000</v>
      </c>
      <c r="H249" t="s">
        <v>837</v>
      </c>
      <c r="I249" t="s">
        <v>833</v>
      </c>
      <c r="J249" t="s">
        <v>838</v>
      </c>
      <c r="K249" s="6">
        <v>12.97</v>
      </c>
      <c r="L249" t="s">
        <v>23</v>
      </c>
      <c r="M249" t="s">
        <v>24</v>
      </c>
      <c r="N249" s="2" t="str">
        <f>HYPERLINK("https://yandex.ru/maps/?&amp;text=53.86843, 86.75309", "53.86843, 86.75309")</f>
        <v>53.86843, 86.75309</v>
      </c>
      <c r="O249" t="s">
        <v>839</v>
      </c>
      <c r="P249" t="s">
        <v>49</v>
      </c>
      <c r="Q249" s="7" t="str">
        <f>HYPERLINK("D:\torgi_project\venv_torgi\cache\objs_in_district/53.86843_86.75309.json", "53.86843_86.75309.json")</f>
        <v>53.86843_86.75309.json</v>
      </c>
      <c r="R249">
        <v>1927</v>
      </c>
      <c r="S249" s="6">
        <v>3.41</v>
      </c>
    </row>
    <row r="250" spans="1:19">
      <c r="A250" s="4"/>
      <c r="B250" t="s">
        <v>291</v>
      </c>
      <c r="C250" s="1">
        <v>198.2</v>
      </c>
      <c r="D250" s="2" t="str">
        <f>HYPERLINK("https://torgi.gov.ru/new/public/lots/lot/21000015510000000006_1/(lotInfo:info)", "21000015510000000006_1")</f>
        <v>21000015510000000006_1</v>
      </c>
      <c r="E250" t="s">
        <v>314</v>
      </c>
      <c r="F250" s="3">
        <v>24621.59434914228</v>
      </c>
      <c r="G250" s="3">
        <v>4880000</v>
      </c>
      <c r="H250" t="s">
        <v>315</v>
      </c>
      <c r="I250" t="s">
        <v>207</v>
      </c>
      <c r="J250" t="s">
        <v>316</v>
      </c>
      <c r="K250" s="6">
        <v>13.09</v>
      </c>
      <c r="L250" t="s">
        <v>23</v>
      </c>
      <c r="M250" t="s">
        <v>24</v>
      </c>
      <c r="N250" s="2" t="str">
        <f>HYPERLINK("https://yandex.ru/maps/?&amp;text=53.332577, 83.791214", "53.332577, 83.791214")</f>
        <v>53.332577, 83.791214</v>
      </c>
      <c r="O250" t="s">
        <v>317</v>
      </c>
      <c r="P250" t="s">
        <v>318</v>
      </c>
      <c r="Q250" s="7" t="str">
        <f>HYPERLINK("D:\torgi_project\venv_torgi\cache\objs_in_district/53.332577_83.791214.json", "53.332577_83.791214.json")</f>
        <v>53.332577_83.791214.json</v>
      </c>
      <c r="R250">
        <v>4158</v>
      </c>
      <c r="S250" s="6">
        <v>5.92</v>
      </c>
    </row>
    <row r="251" spans="1:19">
      <c r="A251" s="4"/>
      <c r="B251" t="s">
        <v>1711</v>
      </c>
      <c r="C251" s="1">
        <v>19.399999999999999</v>
      </c>
      <c r="D251" s="2" t="str">
        <f>HYPERLINK("https://torgi.gov.ru/new/public/lots/lot/21000002210000000321_1/(lotInfo:info)", "21000002210000000321_1")</f>
        <v>21000002210000000321_1</v>
      </c>
      <c r="E251" t="s">
        <v>1761</v>
      </c>
      <c r="F251" s="3">
        <v>89948.453608247422</v>
      </c>
      <c r="G251" s="3">
        <v>1745000</v>
      </c>
      <c r="H251" t="s">
        <v>1870</v>
      </c>
      <c r="I251" t="s">
        <v>1871</v>
      </c>
      <c r="J251" t="s">
        <v>1872</v>
      </c>
      <c r="K251" s="6">
        <v>13.21</v>
      </c>
      <c r="L251" t="s">
        <v>23</v>
      </c>
      <c r="M251" t="s">
        <v>24</v>
      </c>
      <c r="N251" s="2" t="str">
        <f>HYPERLINK("https://yandex.ru/maps/?&amp;text=59.873451, 30.384005", "59.873451, 30.384005")</f>
        <v>59.873451, 30.384005</v>
      </c>
      <c r="O251" t="s">
        <v>1873</v>
      </c>
      <c r="P251" t="s">
        <v>1874</v>
      </c>
      <c r="Q251" s="7" t="str">
        <f>HYPERLINK("D:\torgi_project\venv_torgi\cache\objs_in_district/59.873451_30.384005.json", "59.873451_30.384005.json")</f>
        <v>59.873451_30.384005.json</v>
      </c>
      <c r="R251">
        <v>6584</v>
      </c>
      <c r="S251" s="6">
        <v>13.66</v>
      </c>
    </row>
    <row r="252" spans="1:19">
      <c r="A252" s="4"/>
      <c r="B252" t="s">
        <v>1526</v>
      </c>
      <c r="C252" s="1">
        <v>31.7</v>
      </c>
      <c r="D252" s="2" t="str">
        <f>HYPERLINK("https://torgi.gov.ru/new/public/lots/lot/21000005000000000924_1/(lotInfo:info)", "21000005000000000924_1")</f>
        <v>21000005000000000924_1</v>
      </c>
      <c r="E252" t="s">
        <v>1532</v>
      </c>
      <c r="F252" s="3">
        <v>107223.97476340691</v>
      </c>
      <c r="G252" s="3">
        <v>3399000</v>
      </c>
      <c r="H252" t="s">
        <v>1613</v>
      </c>
      <c r="I252" t="s">
        <v>1614</v>
      </c>
      <c r="J252" t="s">
        <v>1615</v>
      </c>
      <c r="K252" s="6">
        <v>13.43</v>
      </c>
      <c r="L252" t="s">
        <v>23</v>
      </c>
      <c r="M252" t="s">
        <v>24</v>
      </c>
      <c r="N252" s="2" t="str">
        <f>HYPERLINK("https://yandex.ru/maps/?&amp;text=55.881763, 37.492168", "55.881763, 37.492168")</f>
        <v>55.881763, 37.492168</v>
      </c>
      <c r="O252" t="s">
        <v>1616</v>
      </c>
      <c r="P252" t="s">
        <v>1617</v>
      </c>
      <c r="Q252" s="7" t="str">
        <f>HYPERLINK("D:\torgi_project\venv_torgi\cache\objs_in_district/55.881763_37.492168.json", "55.881763_37.492168.json")</f>
        <v>55.881763_37.492168.json</v>
      </c>
      <c r="R252">
        <v>8845</v>
      </c>
      <c r="S252" s="6">
        <v>12.12</v>
      </c>
    </row>
    <row r="253" spans="1:19">
      <c r="A253" s="4"/>
      <c r="B253" t="s">
        <v>1711</v>
      </c>
      <c r="C253" s="1">
        <v>11.7</v>
      </c>
      <c r="D253" s="2" t="str">
        <f>HYPERLINK("https://torgi.gov.ru/new/public/lots/lot/21000002210000000707_1/(lotInfo:info)", "21000002210000000707_1")</f>
        <v>21000002210000000707_1</v>
      </c>
      <c r="E253" t="s">
        <v>1723</v>
      </c>
      <c r="F253" s="3">
        <v>111111.11111111109</v>
      </c>
      <c r="G253" s="3">
        <v>1300000</v>
      </c>
      <c r="H253" t="s">
        <v>1724</v>
      </c>
      <c r="I253" t="s">
        <v>471</v>
      </c>
      <c r="J253" t="s">
        <v>1725</v>
      </c>
      <c r="K253" s="6">
        <v>13.47</v>
      </c>
      <c r="L253" t="s">
        <v>23</v>
      </c>
      <c r="M253" t="s">
        <v>24</v>
      </c>
      <c r="N253" s="2" t="str">
        <f>HYPERLINK("https://yandex.ru/maps/?&amp;text=59.939379, 30.357766", "59.939379, 30.357766")</f>
        <v>59.939379, 30.357766</v>
      </c>
      <c r="O253" t="s">
        <v>1726</v>
      </c>
      <c r="P253" t="s">
        <v>1727</v>
      </c>
      <c r="Q253" s="7" t="str">
        <f>HYPERLINK("D:\torgi_project\venv_torgi\cache\objs_in_district/59.939379_30.357766.json", "59.939379_30.357766.json")</f>
        <v>59.939379_30.357766.json</v>
      </c>
      <c r="R253">
        <v>11664</v>
      </c>
      <c r="S253" s="6">
        <v>9.5299999999999994</v>
      </c>
    </row>
    <row r="254" spans="1:19">
      <c r="A254" s="4"/>
      <c r="B254" t="s">
        <v>1163</v>
      </c>
      <c r="C254" s="1">
        <v>101</v>
      </c>
      <c r="D254" s="2" t="str">
        <f>HYPERLINK("https://torgi.gov.ru/new/public/lots/lot/22000042460000000004_5/(lotInfo:info)", "22000042460000000004_5")</f>
        <v>22000042460000000004_5</v>
      </c>
      <c r="E254" t="s">
        <v>1173</v>
      </c>
      <c r="F254" s="3">
        <v>13630</v>
      </c>
      <c r="G254" s="3">
        <v>1376630</v>
      </c>
      <c r="H254" t="s">
        <v>1174</v>
      </c>
      <c r="I254" t="s">
        <v>1175</v>
      </c>
      <c r="K254" s="6">
        <v>13.48</v>
      </c>
      <c r="L254" t="s">
        <v>23</v>
      </c>
      <c r="M254" t="s">
        <v>24</v>
      </c>
      <c r="N254" s="2" t="str">
        <f>HYPERLINK("https://yandex.ru/maps/?&amp;text=53.00078, 36.1259", "53.00078, 36.1259")</f>
        <v>53.00078, 36.1259</v>
      </c>
      <c r="O254" t="s">
        <v>1176</v>
      </c>
      <c r="P254" t="s">
        <v>18</v>
      </c>
      <c r="Q254" s="7" t="str">
        <f>HYPERLINK("D:\torgi_project\venv_torgi\cache\objs_in_district/53.00078_36.1259.json", "53.00078_36.1259.json")</f>
        <v>53.00078_36.1259.json</v>
      </c>
      <c r="R254">
        <v>689</v>
      </c>
      <c r="S254" s="6">
        <v>19.78</v>
      </c>
    </row>
    <row r="255" spans="1:19">
      <c r="A255" s="4"/>
      <c r="B255" t="s">
        <v>1526</v>
      </c>
      <c r="C255" s="1">
        <v>66.400000000000006</v>
      </c>
      <c r="D255" s="2" t="str">
        <f>HYPERLINK("https://torgi.gov.ru/new/public/lots/lot/21000005000000000067_1/(lotInfo:info)", "21000005000000000067_1")</f>
        <v>21000005000000000067_1</v>
      </c>
      <c r="E255" t="s">
        <v>1698</v>
      </c>
      <c r="F255" s="3">
        <v>139753.01204819279</v>
      </c>
      <c r="G255" s="3">
        <v>9279600</v>
      </c>
      <c r="H255" t="s">
        <v>1699</v>
      </c>
      <c r="I255" t="s">
        <v>1700</v>
      </c>
      <c r="J255" t="s">
        <v>1701</v>
      </c>
      <c r="K255" s="6">
        <v>13.49</v>
      </c>
      <c r="L255" t="s">
        <v>23</v>
      </c>
      <c r="M255" t="s">
        <v>24</v>
      </c>
      <c r="N255" s="2" t="str">
        <f>HYPERLINK("https://yandex.ru/maps/?&amp;text=55.78604, 37.606873", "55.78604, 37.606873")</f>
        <v>55.78604, 37.606873</v>
      </c>
      <c r="O255" t="s">
        <v>1702</v>
      </c>
      <c r="P255" t="s">
        <v>1703</v>
      </c>
      <c r="Q255" s="7" t="str">
        <f>HYPERLINK("D:\torgi_project\venv_torgi\cache\objs_in_district/55.78604_37.606873.json", "55.78604_37.606873.json")</f>
        <v>55.78604_37.606873.json</v>
      </c>
      <c r="R255">
        <v>10532</v>
      </c>
      <c r="S255" s="6">
        <v>13.27</v>
      </c>
    </row>
    <row r="256" spans="1:19">
      <c r="A256" s="4"/>
      <c r="B256" t="s">
        <v>790</v>
      </c>
      <c r="C256" s="1">
        <v>78.599999999999994</v>
      </c>
      <c r="D256" s="2" t="str">
        <f>HYPERLINK("https://torgi.gov.ru/new/public/lots/lot/21000007760000000001_1/(lotInfo:info)", "21000007760000000001_1")</f>
        <v>21000007760000000001_1</v>
      </c>
      <c r="E256" t="s">
        <v>1039</v>
      </c>
      <c r="F256" s="3">
        <v>35480.916030534347</v>
      </c>
      <c r="G256" s="3">
        <v>2788800</v>
      </c>
      <c r="H256" t="s">
        <v>1040</v>
      </c>
      <c r="I256" t="s">
        <v>1041</v>
      </c>
      <c r="J256" t="s">
        <v>1042</v>
      </c>
      <c r="K256" s="6">
        <v>13.61</v>
      </c>
      <c r="L256" t="s">
        <v>23</v>
      </c>
      <c r="M256" t="s">
        <v>24</v>
      </c>
      <c r="N256" s="2" t="str">
        <f>HYPERLINK("https://yandex.ru/maps/?&amp;text=68.93968, 33.11737", "68.93968, 33.11737")</f>
        <v>68.93968, 33.11737</v>
      </c>
      <c r="O256" t="s">
        <v>1043</v>
      </c>
      <c r="P256" t="s">
        <v>152</v>
      </c>
      <c r="Q256" s="7" t="str">
        <f>HYPERLINK("D:\torgi_project\venv_torgi\cache\objs_in_district/68.93968_33.11737.json", "68.93968_33.11737.json")</f>
        <v>68.93968_33.11737.json</v>
      </c>
      <c r="R256">
        <v>1814</v>
      </c>
      <c r="S256" s="6">
        <v>19.559999999999999</v>
      </c>
    </row>
    <row r="257" spans="1:19">
      <c r="A257" s="4"/>
      <c r="B257" t="s">
        <v>1149</v>
      </c>
      <c r="C257" s="1">
        <v>179.7</v>
      </c>
      <c r="D257" s="2" t="str">
        <f>HYPERLINK("https://torgi.gov.ru/new/public/lots/lot/22000101880000000001_1/(lotInfo:info)", "22000101880000000001_1")</f>
        <v>22000101880000000001_1</v>
      </c>
      <c r="E257" t="s">
        <v>1150</v>
      </c>
      <c r="F257" s="3">
        <v>3338.8981636060098</v>
      </c>
      <c r="G257" s="3">
        <v>600000</v>
      </c>
      <c r="H257" t="s">
        <v>1151</v>
      </c>
      <c r="I257" t="s">
        <v>1152</v>
      </c>
      <c r="J257" t="s">
        <v>1153</v>
      </c>
      <c r="K257" s="6">
        <v>13.74</v>
      </c>
      <c r="L257" t="s">
        <v>23</v>
      </c>
      <c r="M257" t="s">
        <v>24</v>
      </c>
      <c r="N257" s="2" t="str">
        <f>HYPERLINK("https://yandex.ru/maps/?&amp;text=51.667953, 54.198029", "51.667953, 54.198029")</f>
        <v>51.667953, 54.198029</v>
      </c>
      <c r="O257" t="s">
        <v>697</v>
      </c>
      <c r="P257" t="s">
        <v>49</v>
      </c>
      <c r="Q257" s="7" t="str">
        <f>HYPERLINK("D:\torgi_project\venv_torgi\cache\objs_in_district/51.667953_54.198029.json", "51.667953_54.198029.json")</f>
        <v>51.667953_54.198029.json</v>
      </c>
      <c r="R257">
        <v>233</v>
      </c>
      <c r="S257" s="6">
        <v>14.33</v>
      </c>
    </row>
    <row r="258" spans="1:19">
      <c r="A258" s="4"/>
      <c r="B258" t="s">
        <v>1406</v>
      </c>
      <c r="C258" s="1">
        <v>47</v>
      </c>
      <c r="D258" s="2" t="str">
        <f>HYPERLINK("https://torgi.gov.ru/new/public/lots/lot/21000018800000000002_1/(lotInfo:info)", "21000018800000000002_1")</f>
        <v>21000018800000000002_1</v>
      </c>
      <c r="E258" t="s">
        <v>1411</v>
      </c>
      <c r="F258" s="3">
        <v>18468.08510638298</v>
      </c>
      <c r="G258" s="3">
        <v>868000</v>
      </c>
      <c r="H258" t="s">
        <v>1412</v>
      </c>
      <c r="I258" t="s">
        <v>1413</v>
      </c>
      <c r="J258" t="s">
        <v>1414</v>
      </c>
      <c r="K258" s="6">
        <v>13.86</v>
      </c>
      <c r="L258" t="s">
        <v>901</v>
      </c>
      <c r="M258" t="s">
        <v>24</v>
      </c>
      <c r="N258" s="2" t="str">
        <f>HYPERLINK("https://yandex.ru/maps/?&amp;text=54.205135, 37.619125", "54.205135, 37.619125")</f>
        <v>54.205135, 37.619125</v>
      </c>
      <c r="O258" t="s">
        <v>1415</v>
      </c>
      <c r="P258" t="s">
        <v>233</v>
      </c>
      <c r="Q258" s="7" t="str">
        <f>HYPERLINK("D:\torgi_project\venv_torgi\cache\objs_in_district/54.205135_37.619125.json", "54.205135_37.619125.json")</f>
        <v>54.205135_37.619125.json</v>
      </c>
      <c r="R258">
        <v>3666</v>
      </c>
      <c r="S258" s="6">
        <v>5.04</v>
      </c>
    </row>
    <row r="259" spans="1:19">
      <c r="A259" s="4"/>
      <c r="B259" t="s">
        <v>1526</v>
      </c>
      <c r="C259" s="1">
        <v>46.5</v>
      </c>
      <c r="D259" s="2" t="str">
        <f>HYPERLINK("https://torgi.gov.ru/new/public/lots/lot/21000005000000000011_1/(lotInfo:info)", "21000005000000000011_1")</f>
        <v>21000005000000000011_1</v>
      </c>
      <c r="E259" t="s">
        <v>1547</v>
      </c>
      <c r="F259" s="3">
        <v>129567.74193548389</v>
      </c>
      <c r="G259" s="3">
        <v>6024900</v>
      </c>
      <c r="H259" t="s">
        <v>1666</v>
      </c>
      <c r="I259" t="s">
        <v>1667</v>
      </c>
      <c r="J259" t="s">
        <v>1668</v>
      </c>
      <c r="K259" s="6">
        <v>14.15</v>
      </c>
      <c r="L259" t="s">
        <v>23</v>
      </c>
      <c r="M259" t="s">
        <v>24</v>
      </c>
      <c r="N259" s="2" t="str">
        <f>HYPERLINK("https://yandex.ru/maps/?&amp;text=55.79057, 37.668148", "55.79057, 37.668148")</f>
        <v>55.79057, 37.668148</v>
      </c>
      <c r="O259" t="s">
        <v>1669</v>
      </c>
      <c r="P259" t="s">
        <v>233</v>
      </c>
      <c r="Q259" s="7" t="str">
        <f>HYPERLINK("D:\torgi_project\venv_torgi\cache\objs_in_district/55.79057_37.668148.json", "55.79057_37.668148.json")</f>
        <v>55.79057_37.668148.json</v>
      </c>
      <c r="R259">
        <v>6615</v>
      </c>
      <c r="S259" s="6">
        <v>19.59</v>
      </c>
    </row>
    <row r="260" spans="1:19" hidden="1">
      <c r="A260" s="4"/>
      <c r="B260" t="s">
        <v>508</v>
      </c>
      <c r="C260" s="1">
        <v>15.3</v>
      </c>
      <c r="D260" s="2" t="str">
        <f>HYPERLINK("https://torgi.gov.ru/new/public/lots/lot/21000012310000000003_1/(lotInfo:info)", "21000012310000000003_1")</f>
        <v>21000012310000000003_1</v>
      </c>
      <c r="E260" t="s">
        <v>1249</v>
      </c>
      <c r="F260" s="3">
        <v>42320.261437908492</v>
      </c>
      <c r="G260" s="3">
        <v>647500</v>
      </c>
      <c r="H260" t="s">
        <v>1253</v>
      </c>
      <c r="I260" t="s">
        <v>709</v>
      </c>
      <c r="J260" t="s">
        <v>1254</v>
      </c>
      <c r="L260" t="s">
        <v>23</v>
      </c>
      <c r="M260" t="s">
        <v>24</v>
      </c>
    </row>
    <row r="261" spans="1:19">
      <c r="A261" s="4"/>
      <c r="B261" t="s">
        <v>178</v>
      </c>
      <c r="C261" s="1">
        <v>82.8</v>
      </c>
      <c r="D261" s="2" t="str">
        <f>HYPERLINK("https://torgi.gov.ru/new/public/lots/lot/22000059440000000022_10/(lotInfo:info)", "22000059440000000022_10")</f>
        <v>22000059440000000022_10</v>
      </c>
      <c r="E261" t="s">
        <v>179</v>
      </c>
      <c r="F261" s="3">
        <v>23743.96135265701</v>
      </c>
      <c r="G261" s="3">
        <v>1966000</v>
      </c>
      <c r="H261" t="s">
        <v>180</v>
      </c>
      <c r="I261" t="s">
        <v>181</v>
      </c>
      <c r="K261" s="6">
        <v>14.39</v>
      </c>
      <c r="L261" t="s">
        <v>23</v>
      </c>
      <c r="M261" t="s">
        <v>24</v>
      </c>
      <c r="N261" s="2" t="str">
        <f>HYPERLINK("https://yandex.ru/maps/?&amp;text=54.1707765, 45.139448", "54.1707765, 45.139448")</f>
        <v>54.1707765, 45.139448</v>
      </c>
      <c r="O261" t="s">
        <v>182</v>
      </c>
      <c r="P261" t="s">
        <v>183</v>
      </c>
      <c r="Q261" s="7" t="str">
        <f>HYPERLINK("D:\torgi_project\venv_torgi\cache\objs_in_district/54.1707765_45.139448.json", "54.1707765_45.139448.json")</f>
        <v>54.1707765_45.139448.json</v>
      </c>
      <c r="R261">
        <v>3626</v>
      </c>
      <c r="S261" s="6">
        <v>6.55</v>
      </c>
    </row>
    <row r="262" spans="1:19">
      <c r="A262" s="4"/>
      <c r="B262" t="s">
        <v>929</v>
      </c>
      <c r="C262" s="1">
        <v>122.23</v>
      </c>
      <c r="D262" s="2" t="str">
        <f>HYPERLINK("https://torgi.gov.ru/new/public/lots/lot/21000029540000000001_1/(lotInfo:info)", "21000029540000000001_1")</f>
        <v>21000029540000000001_1</v>
      </c>
      <c r="E262" t="s">
        <v>930</v>
      </c>
      <c r="F262" s="3">
        <v>42361.948785077308</v>
      </c>
      <c r="G262" s="3">
        <v>5177901</v>
      </c>
      <c r="H262" t="s">
        <v>931</v>
      </c>
      <c r="I262" t="s">
        <v>932</v>
      </c>
      <c r="J262" t="s">
        <v>933</v>
      </c>
      <c r="K262" s="6">
        <v>14.56</v>
      </c>
      <c r="L262" t="s">
        <v>23</v>
      </c>
      <c r="M262" t="s">
        <v>24</v>
      </c>
      <c r="N262" s="2" t="str">
        <f>HYPERLINK("https://yandex.ru/maps/?&amp;text=60.104836, 32.313137", "60.104836, 32.313137")</f>
        <v>60.104836, 32.313137</v>
      </c>
      <c r="O262" t="s">
        <v>934</v>
      </c>
      <c r="P262" t="s">
        <v>657</v>
      </c>
      <c r="Q262" s="7" t="str">
        <f>HYPERLINK("D:\torgi_project\venv_torgi\cache\objs_in_district/60.104836_32.313137.json", "60.104836_32.313137.json")</f>
        <v>60.104836_32.313137.json</v>
      </c>
      <c r="R262">
        <v>402</v>
      </c>
      <c r="S262" s="6">
        <v>105.38</v>
      </c>
    </row>
    <row r="263" spans="1:19" hidden="1">
      <c r="A263" s="4"/>
      <c r="B263" t="s">
        <v>387</v>
      </c>
      <c r="C263" s="1">
        <v>243</v>
      </c>
      <c r="D263" s="2" t="str">
        <f>HYPERLINK("https://torgi.gov.ru/new/public/lots/lot/21000021890000000005_8/(lotInfo:info)", "21000021890000000005_8")</f>
        <v>21000021890000000005_8</v>
      </c>
      <c r="E263" t="s">
        <v>1264</v>
      </c>
      <c r="F263" s="3">
        <v>11728</v>
      </c>
      <c r="G263" s="3">
        <v>2849904</v>
      </c>
      <c r="I263" t="s">
        <v>1265</v>
      </c>
      <c r="J263" t="s">
        <v>1266</v>
      </c>
      <c r="L263" t="s">
        <v>23</v>
      </c>
      <c r="M263" t="s">
        <v>24</v>
      </c>
    </row>
    <row r="264" spans="1:19">
      <c r="A264" s="4"/>
      <c r="B264" t="s">
        <v>1711</v>
      </c>
      <c r="C264" s="1">
        <v>106.3</v>
      </c>
      <c r="D264" s="2" t="str">
        <f>HYPERLINK("https://torgi.gov.ru/new/public/lots/lot/21000002210000000602_1/(lotInfo:info)", "21000002210000000602_1")</f>
        <v>21000002210000000602_1</v>
      </c>
      <c r="E264" t="s">
        <v>1761</v>
      </c>
      <c r="F264" s="3">
        <v>48918.156161806211</v>
      </c>
      <c r="G264" s="3">
        <v>5200000</v>
      </c>
      <c r="H264" t="s">
        <v>1771</v>
      </c>
      <c r="I264" t="s">
        <v>1763</v>
      </c>
      <c r="J264" t="s">
        <v>1772</v>
      </c>
      <c r="K264" s="6">
        <v>14.57</v>
      </c>
      <c r="L264" t="s">
        <v>23</v>
      </c>
      <c r="M264" t="s">
        <v>24</v>
      </c>
      <c r="N264" s="2" t="str">
        <f>HYPERLINK("https://yandex.ru/maps/?&amp;text=59.931783, 30.306256", "59.931783, 30.306256")</f>
        <v>59.931783, 30.306256</v>
      </c>
      <c r="O264" t="s">
        <v>1773</v>
      </c>
      <c r="P264" t="s">
        <v>1774</v>
      </c>
      <c r="Q264" s="7" t="str">
        <f>HYPERLINK("D:\torgi_project\venv_torgi\cache\objs_in_district/59.931783_30.306256.json", "59.931783_30.306256.json")</f>
        <v>59.931783_30.306256.json</v>
      </c>
      <c r="R264">
        <v>8043</v>
      </c>
      <c r="S264" s="6">
        <v>6.08</v>
      </c>
    </row>
    <row r="265" spans="1:19" hidden="1">
      <c r="A265" s="4"/>
      <c r="B265" t="s">
        <v>1109</v>
      </c>
      <c r="C265" s="1">
        <v>40.1</v>
      </c>
      <c r="D265" s="2" t="str">
        <f>HYPERLINK("https://torgi.gov.ru/new/public/lots/lot/21000001570000000011_1/(lotInfo:info)", "21000001570000000011_1")</f>
        <v>21000001570000000011_1</v>
      </c>
      <c r="E265" t="s">
        <v>1272</v>
      </c>
      <c r="F265" s="3">
        <v>39346.079052369067</v>
      </c>
      <c r="G265" s="3">
        <v>1577777.77</v>
      </c>
      <c r="H265" t="s">
        <v>1273</v>
      </c>
      <c r="I265" t="s">
        <v>1274</v>
      </c>
      <c r="J265" t="s">
        <v>1275</v>
      </c>
      <c r="L265" t="s">
        <v>592</v>
      </c>
      <c r="M265" t="s">
        <v>24</v>
      </c>
    </row>
    <row r="266" spans="1:19">
      <c r="A266" s="4"/>
      <c r="B266" t="s">
        <v>1711</v>
      </c>
      <c r="C266" s="1">
        <v>23.8</v>
      </c>
      <c r="D266" s="2" t="str">
        <f>HYPERLINK("https://torgi.gov.ru/new/public/lots/lot/21000002210000000741_1/(lotInfo:info)", "21000002210000000741_1")</f>
        <v>21000002210000000741_1</v>
      </c>
      <c r="E266" t="s">
        <v>1712</v>
      </c>
      <c r="F266" s="3">
        <v>130252.1008403361</v>
      </c>
      <c r="G266" s="3">
        <v>3100000</v>
      </c>
      <c r="H266" t="s">
        <v>1713</v>
      </c>
      <c r="I266" t="s">
        <v>1714</v>
      </c>
      <c r="J266" t="s">
        <v>1715</v>
      </c>
      <c r="K266" s="6">
        <v>14.62</v>
      </c>
      <c r="L266" t="s">
        <v>23</v>
      </c>
      <c r="M266" t="s">
        <v>24</v>
      </c>
      <c r="N266" s="2" t="str">
        <f>HYPERLINK("https://yandex.ru/maps/?&amp;text=59.923265, 30.346231", "59.923265, 30.346231")</f>
        <v>59.923265, 30.346231</v>
      </c>
      <c r="O266" t="s">
        <v>1716</v>
      </c>
      <c r="P266" t="s">
        <v>1717</v>
      </c>
      <c r="Q266" s="7" t="str">
        <f>HYPERLINK("D:\torgi_project\venv_torgi\cache\objs_in_district/59.923265_30.346231.json", "59.923265_30.346231.json")</f>
        <v>59.923265_30.346231.json</v>
      </c>
      <c r="R266">
        <v>21127</v>
      </c>
      <c r="S266" s="6">
        <v>6.17</v>
      </c>
    </row>
    <row r="267" spans="1:19">
      <c r="A267" s="4"/>
      <c r="B267" t="s">
        <v>1711</v>
      </c>
      <c r="C267" s="1">
        <v>31.9</v>
      </c>
      <c r="D267" s="2" t="str">
        <f>HYPERLINK("https://torgi.gov.ru/new/public/lots/lot/21000002210000000451_1/(lotInfo:info)", "21000002210000000451_1")</f>
        <v>21000002210000000451_1</v>
      </c>
      <c r="E267" t="s">
        <v>1756</v>
      </c>
      <c r="F267" s="3">
        <v>145454.5454545455</v>
      </c>
      <c r="G267" s="3">
        <v>4640000</v>
      </c>
      <c r="H267" t="s">
        <v>1819</v>
      </c>
      <c r="I267" t="s">
        <v>1820</v>
      </c>
      <c r="J267" t="s">
        <v>1821</v>
      </c>
      <c r="K267" s="6">
        <v>14.71</v>
      </c>
      <c r="L267" t="s">
        <v>23</v>
      </c>
      <c r="M267" t="s">
        <v>24</v>
      </c>
      <c r="N267" s="2" t="str">
        <f>HYPERLINK("https://yandex.ru/maps/?&amp;text=59.941141, 30.358206", "59.941141, 30.358206")</f>
        <v>59.941141, 30.358206</v>
      </c>
      <c r="O267" t="s">
        <v>1822</v>
      </c>
      <c r="P267" t="s">
        <v>1823</v>
      </c>
      <c r="Q267" s="7" t="str">
        <f>HYPERLINK("D:\torgi_project\venv_torgi\cache\objs_in_district/59.941141_30.358206.json", "59.941141_30.358206.json")</f>
        <v>59.941141_30.358206.json</v>
      </c>
      <c r="R267">
        <v>10194</v>
      </c>
      <c r="S267" s="6">
        <v>14.27</v>
      </c>
    </row>
    <row r="268" spans="1:19">
      <c r="A268" s="4"/>
      <c r="B268" t="s">
        <v>318</v>
      </c>
      <c r="C268" s="1">
        <v>84.8</v>
      </c>
      <c r="D268" s="2" t="str">
        <f>HYPERLINK("https://torgi.gov.ru/new/public/lots/lot/21000035450000000001_1/(lotInfo:info)", "21000035450000000001_1")</f>
        <v>21000035450000000001_1</v>
      </c>
      <c r="E268" t="s">
        <v>1397</v>
      </c>
      <c r="F268" s="3">
        <v>30306.60377358491</v>
      </c>
      <c r="G268" s="3">
        <v>2570000</v>
      </c>
      <c r="H268" t="s">
        <v>1398</v>
      </c>
      <c r="I268" t="s">
        <v>1399</v>
      </c>
      <c r="J268" t="s">
        <v>1400</v>
      </c>
      <c r="K268" s="6">
        <v>14.75</v>
      </c>
      <c r="L268" t="s">
        <v>23</v>
      </c>
      <c r="M268" t="s">
        <v>24</v>
      </c>
      <c r="N268" s="2" t="str">
        <f>HYPERLINK("https://yandex.ru/maps/?&amp;text=56.862625, 37.35082", "56.862625, 37.35082")</f>
        <v>56.862625, 37.35082</v>
      </c>
      <c r="O268" t="s">
        <v>188</v>
      </c>
      <c r="P268" t="s">
        <v>85</v>
      </c>
      <c r="Q268" s="7" t="str">
        <f>HYPERLINK("D:\torgi_project\venv_torgi\cache\objs_in_district/56.862625_37.35082.json", "56.862625_37.35082.json")</f>
        <v>56.862625_37.35082.json</v>
      </c>
      <c r="R268">
        <v>195</v>
      </c>
      <c r="S268" s="6">
        <v>155.41999999999999</v>
      </c>
    </row>
    <row r="269" spans="1:19">
      <c r="A269" s="4"/>
      <c r="B269" t="s">
        <v>1711</v>
      </c>
      <c r="C269" s="1">
        <v>130.5</v>
      </c>
      <c r="D269" s="2" t="str">
        <f>HYPERLINK("https://torgi.gov.ru/new/public/lots/lot/21000002210000000268_1/(lotInfo:info)", "21000002210000000268_1")</f>
        <v>21000002210000000268_1</v>
      </c>
      <c r="E269" t="s">
        <v>1738</v>
      </c>
      <c r="F269" s="3">
        <v>63310.34482758621</v>
      </c>
      <c r="G269" s="3">
        <v>8262000</v>
      </c>
      <c r="H269" t="s">
        <v>1897</v>
      </c>
      <c r="I269" t="s">
        <v>1886</v>
      </c>
      <c r="J269" t="s">
        <v>1898</v>
      </c>
      <c r="K269" s="6">
        <v>15.26</v>
      </c>
      <c r="L269" t="s">
        <v>23</v>
      </c>
      <c r="M269" t="s">
        <v>24</v>
      </c>
      <c r="N269" s="2" t="str">
        <f>HYPERLINK("https://yandex.ru/maps/?&amp;text=59.977008, 30.508539", "59.977008, 30.508539")</f>
        <v>59.977008, 30.508539</v>
      </c>
      <c r="O269" t="s">
        <v>1899</v>
      </c>
      <c r="P269" t="s">
        <v>234</v>
      </c>
      <c r="Q269" s="7" t="str">
        <f>HYPERLINK("D:\torgi_project\venv_torgi\cache\objs_in_district/59.977008_30.508539.json", "59.977008_30.508539.json")</f>
        <v>59.977008_30.508539.json</v>
      </c>
      <c r="R269">
        <v>757</v>
      </c>
      <c r="S269" s="6">
        <v>83.63</v>
      </c>
    </row>
    <row r="270" spans="1:19">
      <c r="A270" s="4"/>
      <c r="B270" t="s">
        <v>488</v>
      </c>
      <c r="C270" s="1">
        <v>45.7</v>
      </c>
      <c r="D270" s="2" t="str">
        <f>HYPERLINK("https://torgi.gov.ru/new/public/lots/lot/21000004710000000512_1/(lotInfo:info)", "21000004710000000512_1")</f>
        <v>21000004710000000512_1</v>
      </c>
      <c r="E270" t="s">
        <v>1001</v>
      </c>
      <c r="F270" s="3">
        <v>115887.52735229761</v>
      </c>
      <c r="G270" s="3">
        <v>5296060</v>
      </c>
      <c r="H270" t="s">
        <v>1002</v>
      </c>
      <c r="I270" t="s">
        <v>1003</v>
      </c>
      <c r="J270" t="s">
        <v>1004</v>
      </c>
      <c r="K270" s="6">
        <v>15.32</v>
      </c>
      <c r="L270" t="s">
        <v>23</v>
      </c>
      <c r="M270" t="s">
        <v>24</v>
      </c>
      <c r="N270" s="2" t="str">
        <f>HYPERLINK("https://yandex.ru/maps/?&amp;text=55.76424, 37.85888", "55.76424, 37.85888")</f>
        <v>55.76424, 37.85888</v>
      </c>
      <c r="O270" t="s">
        <v>1005</v>
      </c>
      <c r="P270" t="s">
        <v>1006</v>
      </c>
      <c r="Q270" s="7" t="str">
        <f>HYPERLINK("D:\torgi_project\venv_torgi\cache\objs_in_district/55.76424_37.85888.json", "55.76424_37.85888.json")</f>
        <v>55.76424_37.85888.json</v>
      </c>
      <c r="R270">
        <v>8201</v>
      </c>
      <c r="S270" s="6">
        <v>14.13</v>
      </c>
    </row>
    <row r="271" spans="1:19">
      <c r="A271" s="4"/>
      <c r="B271" t="s">
        <v>946</v>
      </c>
      <c r="C271" s="1">
        <v>208.1</v>
      </c>
      <c r="D271" s="2" t="str">
        <f>HYPERLINK("https://torgi.gov.ru/new/public/lots/lot/22000038950000000001_1/(lotInfo:info)", "22000038950000000001_1")</f>
        <v>22000038950000000001_1</v>
      </c>
      <c r="E271" t="s">
        <v>959</v>
      </c>
      <c r="F271" s="3">
        <v>4627.5828928399806</v>
      </c>
      <c r="G271" s="3">
        <v>963000</v>
      </c>
      <c r="H271" t="s">
        <v>960</v>
      </c>
      <c r="I271" t="s">
        <v>748</v>
      </c>
      <c r="J271" t="s">
        <v>961</v>
      </c>
      <c r="K271" s="6">
        <v>15.43</v>
      </c>
      <c r="L271" t="s">
        <v>23</v>
      </c>
      <c r="M271" t="s">
        <v>24</v>
      </c>
      <c r="N271" s="2" t="str">
        <f>HYPERLINK("https://yandex.ru/maps/?&amp;text=62.523613, 149.62122", "62.523613, 149.62122")</f>
        <v>62.523613, 149.62122</v>
      </c>
      <c r="O271" t="s">
        <v>759</v>
      </c>
      <c r="P271" t="s">
        <v>85</v>
      </c>
      <c r="Q271" s="7" t="str">
        <f>HYPERLINK("D:\torgi_project\venv_torgi\cache\objs_in_district/62.523613_149.62122.json", "62.523613_149.62122.json")</f>
        <v>62.523613_149.62122.json</v>
      </c>
      <c r="R271">
        <v>331</v>
      </c>
      <c r="S271" s="6">
        <v>13.98</v>
      </c>
    </row>
    <row r="272" spans="1:19">
      <c r="A272" s="4"/>
      <c r="B272" t="s">
        <v>241</v>
      </c>
      <c r="C272" s="1">
        <v>46.5</v>
      </c>
      <c r="D272" s="2" t="str">
        <f>HYPERLINK("https://torgi.gov.ru/new/public/lots/lot/22000003210000000001_1/(lotInfo:info)", "22000003210000000001_1")</f>
        <v>22000003210000000001_1</v>
      </c>
      <c r="E272" t="s">
        <v>285</v>
      </c>
      <c r="F272" s="3">
        <v>21505.37634408602</v>
      </c>
      <c r="G272" s="3">
        <v>1000000</v>
      </c>
      <c r="H272" t="s">
        <v>286</v>
      </c>
      <c r="I272" t="s">
        <v>287</v>
      </c>
      <c r="J272" t="s">
        <v>288</v>
      </c>
      <c r="K272" s="6">
        <v>15.45</v>
      </c>
      <c r="L272" t="s">
        <v>23</v>
      </c>
      <c r="M272" t="s">
        <v>24</v>
      </c>
      <c r="N272" s="2" t="str">
        <f>HYPERLINK("https://yandex.ru/maps/?&amp;text=54.843025, 46.587116", "54.843025, 46.587116")</f>
        <v>54.843025, 46.587116</v>
      </c>
      <c r="O272" t="s">
        <v>289</v>
      </c>
      <c r="P272" t="s">
        <v>290</v>
      </c>
      <c r="Q272" s="7" t="str">
        <f>HYPERLINK("D:\torgi_project\venv_torgi\cache\objs_in_district/54.843025_46.587116.json", "54.843025_46.587116.json")</f>
        <v>54.843025_46.587116.json</v>
      </c>
      <c r="R272">
        <v>2420</v>
      </c>
      <c r="S272" s="6">
        <v>8.89</v>
      </c>
    </row>
    <row r="273" spans="1:19">
      <c r="A273" s="4"/>
      <c r="B273" t="s">
        <v>946</v>
      </c>
      <c r="C273" s="1">
        <v>208.6</v>
      </c>
      <c r="D273" s="2" t="str">
        <f>HYPERLINK("https://torgi.gov.ru/new/public/lots/lot/21000013960000000004_29/(lotInfo:info)", "21000013960000000004_29")</f>
        <v>21000013960000000004_29</v>
      </c>
      <c r="E273" t="s">
        <v>951</v>
      </c>
      <c r="F273" s="3">
        <v>32762.416107382549</v>
      </c>
      <c r="G273" s="3">
        <v>6834240</v>
      </c>
      <c r="H273" t="s">
        <v>952</v>
      </c>
      <c r="I273" t="s">
        <v>949</v>
      </c>
      <c r="J273" t="s">
        <v>953</v>
      </c>
      <c r="K273" s="6">
        <v>15.46</v>
      </c>
      <c r="L273" t="s">
        <v>23</v>
      </c>
      <c r="M273" t="s">
        <v>35</v>
      </c>
      <c r="N273" s="2" t="str">
        <f>HYPERLINK("https://yandex.ru/maps/?&amp;text=62.087879, 150.521071", "62.087879, 150.521071")</f>
        <v>62.087879, 150.521071</v>
      </c>
      <c r="O273" t="s">
        <v>954</v>
      </c>
      <c r="P273" t="s">
        <v>27</v>
      </c>
      <c r="Q273" s="7" t="str">
        <f>HYPERLINK("D:\torgi_project\venv_torgi\cache\objs_in_district/62.087879_150.521071.json", "62.087879_150.521071.json")</f>
        <v>62.087879_150.521071.json</v>
      </c>
      <c r="R273">
        <v>60</v>
      </c>
      <c r="S273" s="6">
        <v>546.04</v>
      </c>
    </row>
    <row r="274" spans="1:19">
      <c r="A274" s="4"/>
      <c r="B274" t="s">
        <v>1526</v>
      </c>
      <c r="C274" s="1">
        <v>35.700000000000003</v>
      </c>
      <c r="D274" s="2" t="str">
        <f>HYPERLINK("https://torgi.gov.ru/new/public/lots/lot/21000005000000001869_1/(lotInfo:info)", "21000005000000001869_1")</f>
        <v>21000005000000001869_1</v>
      </c>
      <c r="E274" t="s">
        <v>1542</v>
      </c>
      <c r="F274" s="3">
        <v>217009.80392156859</v>
      </c>
      <c r="G274" s="3">
        <v>7747250</v>
      </c>
      <c r="H274" t="s">
        <v>1562</v>
      </c>
      <c r="I274" t="s">
        <v>1563</v>
      </c>
      <c r="J274" t="s">
        <v>1564</v>
      </c>
      <c r="K274" s="6">
        <v>15.55</v>
      </c>
      <c r="L274" t="s">
        <v>23</v>
      </c>
      <c r="M274" t="s">
        <v>24</v>
      </c>
      <c r="N274" s="2" t="str">
        <f>HYPERLINK("https://yandex.ru/maps/?&amp;text=55.859302, 37.504942", "55.859302, 37.504942")</f>
        <v>55.859302, 37.504942</v>
      </c>
      <c r="O274" t="s">
        <v>1565</v>
      </c>
      <c r="P274" t="s">
        <v>1149</v>
      </c>
      <c r="Q274" s="7" t="str">
        <f>HYPERLINK("D:\torgi_project\venv_torgi\cache\objs_in_district/55.859302_37.504942.json", "55.859302_37.504942.json")</f>
        <v>55.859302_37.504942.json</v>
      </c>
      <c r="R274">
        <v>11024</v>
      </c>
      <c r="S274" s="6">
        <v>19.690000000000001</v>
      </c>
    </row>
    <row r="275" spans="1:19">
      <c r="A275" s="4"/>
      <c r="B275" t="s">
        <v>1711</v>
      </c>
      <c r="C275" s="1">
        <v>19.7</v>
      </c>
      <c r="D275" s="2" t="str">
        <f>HYPERLINK("https://torgi.gov.ru/new/public/lots/lot/21000002210000000654_1/(lotInfo:info)", "21000002210000000654_1")</f>
        <v>21000002210000000654_1</v>
      </c>
      <c r="E275" t="s">
        <v>1738</v>
      </c>
      <c r="F275" s="3">
        <v>147715.7360406091</v>
      </c>
      <c r="G275" s="3">
        <v>2910000</v>
      </c>
      <c r="H275" t="s">
        <v>1739</v>
      </c>
      <c r="I275" t="s">
        <v>1740</v>
      </c>
      <c r="J275" t="s">
        <v>1741</v>
      </c>
      <c r="K275" s="6">
        <v>15.58</v>
      </c>
      <c r="L275" t="s">
        <v>23</v>
      </c>
      <c r="M275" t="s">
        <v>24</v>
      </c>
      <c r="N275" s="2" t="str">
        <f>HYPERLINK("https://yandex.ru/maps/?&amp;text=59.918214, 30.278166", "59.918214, 30.278166")</f>
        <v>59.918214, 30.278166</v>
      </c>
      <c r="O275" t="s">
        <v>1742</v>
      </c>
      <c r="P275" t="s">
        <v>725</v>
      </c>
      <c r="Q275" s="7" t="str">
        <f>HYPERLINK("D:\torgi_project\venv_torgi\cache\objs_in_district/59.918214_30.278166.json", "59.918214_30.278166.json")</f>
        <v>59.918214_30.278166.json</v>
      </c>
      <c r="R275">
        <v>15227</v>
      </c>
      <c r="S275" s="6">
        <v>9.6999999999999993</v>
      </c>
    </row>
    <row r="276" spans="1:19">
      <c r="A276" s="4"/>
      <c r="B276" t="s">
        <v>107</v>
      </c>
      <c r="C276" s="1">
        <v>506.8</v>
      </c>
      <c r="D276" s="2" t="str">
        <f>HYPERLINK("https://torgi.gov.ru/new/public/lots/lot/22000034760000000117_1/(lotInfo:info)", "22000034760000000117_1")</f>
        <v>22000034760000000117_1</v>
      </c>
      <c r="E276" t="s">
        <v>343</v>
      </c>
      <c r="F276" s="3">
        <v>9668.5082872928178</v>
      </c>
      <c r="G276" s="3">
        <v>4900000</v>
      </c>
      <c r="H276" t="s">
        <v>344</v>
      </c>
      <c r="I276" t="s">
        <v>161</v>
      </c>
      <c r="J276" t="s">
        <v>345</v>
      </c>
      <c r="K276" s="6">
        <v>15.8</v>
      </c>
      <c r="L276" t="s">
        <v>23</v>
      </c>
      <c r="M276" t="s">
        <v>24</v>
      </c>
      <c r="N276" s="2" t="str">
        <f>HYPERLINK("https://yandex.ru/maps/?&amp;text=56.046383, 92.773331", "56.046383, 92.773331")</f>
        <v>56.046383, 92.773331</v>
      </c>
      <c r="O276" t="s">
        <v>346</v>
      </c>
      <c r="P276" t="s">
        <v>118</v>
      </c>
      <c r="Q276" s="7" t="str">
        <f>HYPERLINK("D:\torgi_project\venv_torgi\cache\objs_in_district/56.046383_92.773331.json", "56.046383_92.773331.json")</f>
        <v>56.046383_92.773331.json</v>
      </c>
      <c r="R276">
        <v>2383</v>
      </c>
      <c r="S276" s="6">
        <v>4.0599999999999996</v>
      </c>
    </row>
    <row r="277" spans="1:19">
      <c r="A277" s="4"/>
      <c r="B277" t="s">
        <v>27</v>
      </c>
      <c r="C277" s="1">
        <v>491.1</v>
      </c>
      <c r="D277" s="2" t="str">
        <f>HYPERLINK("https://torgi.gov.ru/new/public/lots/lot/22000022990000000003_1/(lotInfo:info)", "22000022990000000003_1")</f>
        <v>22000022990000000003_1</v>
      </c>
      <c r="E277" t="s">
        <v>44</v>
      </c>
      <c r="F277" s="3">
        <v>3182.6511912034211</v>
      </c>
      <c r="G277" s="3">
        <v>1563000</v>
      </c>
      <c r="H277" t="s">
        <v>45</v>
      </c>
      <c r="I277" t="s">
        <v>46</v>
      </c>
      <c r="J277" t="s">
        <v>47</v>
      </c>
      <c r="K277" s="6">
        <v>15.83</v>
      </c>
      <c r="L277" t="s">
        <v>23</v>
      </c>
      <c r="M277" t="s">
        <v>24</v>
      </c>
      <c r="N277" s="2" t="str">
        <f>HYPERLINK("https://yandex.ru/maps/?&amp;text=55.052923, 55.993393", "55.052923, 55.993393")</f>
        <v>55.052923, 55.993393</v>
      </c>
      <c r="O277" t="s">
        <v>48</v>
      </c>
      <c r="P277" t="s">
        <v>49</v>
      </c>
      <c r="Q277" s="7" t="str">
        <f>HYPERLINK("D:\torgi_project\venv_torgi\cache\objs_in_district/55.052923_55.993393.json", "55.052923_55.993393.json")</f>
        <v>55.052923_55.993393.json</v>
      </c>
      <c r="R277">
        <v>336</v>
      </c>
      <c r="S277" s="6">
        <v>9.4700000000000006</v>
      </c>
    </row>
    <row r="278" spans="1:19">
      <c r="A278" s="4"/>
      <c r="B278" t="s">
        <v>1115</v>
      </c>
      <c r="C278" s="1">
        <v>72.099999999999994</v>
      </c>
      <c r="D278" s="2" t="str">
        <f>HYPERLINK("https://torgi.gov.ru/new/public/lots/lot/21000008240000000005_4/(lotInfo:info)", "21000008240000000005_4")</f>
        <v>21000008240000000005_4</v>
      </c>
      <c r="E278" t="s">
        <v>1131</v>
      </c>
      <c r="F278" s="3">
        <v>21317.614424410542</v>
      </c>
      <c r="G278" s="3">
        <v>1537000</v>
      </c>
      <c r="H278" t="s">
        <v>1132</v>
      </c>
      <c r="I278" t="s">
        <v>1128</v>
      </c>
      <c r="J278" t="s">
        <v>1133</v>
      </c>
      <c r="K278" s="6">
        <v>15.86</v>
      </c>
      <c r="L278" t="s">
        <v>23</v>
      </c>
      <c r="M278" t="s">
        <v>24</v>
      </c>
      <c r="N278" s="2" t="str">
        <f>HYPERLINK("https://yandex.ru/maps/?&amp;text=54.966086, 82.8994", "54.966086, 82.8994")</f>
        <v>54.966086, 82.8994</v>
      </c>
      <c r="O278" t="s">
        <v>1134</v>
      </c>
      <c r="P278" t="s">
        <v>37</v>
      </c>
      <c r="Q278" s="7" t="str">
        <f>HYPERLINK("D:\torgi_project\venv_torgi\cache\objs_in_district/54.966086_82.8994.json", "54.966086_82.8994.json")</f>
        <v>54.966086_82.8994.json</v>
      </c>
      <c r="R278">
        <v>4398</v>
      </c>
      <c r="S278" s="6">
        <v>4.8499999999999996</v>
      </c>
    </row>
    <row r="279" spans="1:19">
      <c r="A279" s="4"/>
      <c r="B279" t="s">
        <v>85</v>
      </c>
      <c r="C279" s="1">
        <v>116.9</v>
      </c>
      <c r="D279" s="2" t="str">
        <f>HYPERLINK("https://torgi.gov.ru/new/public/lots/lot/21000014540000000031_4/(lotInfo:info)", "21000014540000000031_4")</f>
        <v>21000014540000000031_4</v>
      </c>
      <c r="E279" t="s">
        <v>184</v>
      </c>
      <c r="F279" s="3">
        <v>32676.64670658682</v>
      </c>
      <c r="G279" s="3">
        <v>3819900</v>
      </c>
      <c r="H279" t="s">
        <v>185</v>
      </c>
      <c r="I279" t="s">
        <v>186</v>
      </c>
      <c r="J279" t="s">
        <v>187</v>
      </c>
      <c r="K279" s="6">
        <v>15.9</v>
      </c>
      <c r="L279" t="s">
        <v>23</v>
      </c>
      <c r="M279" t="s">
        <v>35</v>
      </c>
      <c r="N279" s="2" t="str">
        <f>HYPERLINK("https://yandex.ru/maps/?&amp;text=62.05524, 129.721371", "62.05524, 129.721371")</f>
        <v>62.05524, 129.721371</v>
      </c>
      <c r="O279" t="s">
        <v>188</v>
      </c>
      <c r="P279" t="s">
        <v>73</v>
      </c>
      <c r="Q279" s="7" t="str">
        <f>HYPERLINK("D:\torgi_project\venv_torgi\cache\objs_in_district/62.05524_129.721371.json", "62.05524_129.721371.json")</f>
        <v>62.05524_129.721371.json</v>
      </c>
      <c r="R279">
        <v>3000</v>
      </c>
      <c r="S279" s="6">
        <v>10.89</v>
      </c>
    </row>
    <row r="280" spans="1:19">
      <c r="A280" s="4"/>
      <c r="B280" t="s">
        <v>1526</v>
      </c>
      <c r="C280" s="1">
        <v>26.9</v>
      </c>
      <c r="D280" s="2" t="str">
        <f>HYPERLINK("https://torgi.gov.ru/new/public/lots/lot/21000005000000000087_1/(lotInfo:info)", "21000005000000000087_1")</f>
        <v>21000005000000000087_1</v>
      </c>
      <c r="E280" t="s">
        <v>1631</v>
      </c>
      <c r="F280" s="3">
        <v>153090.14869888479</v>
      </c>
      <c r="G280" s="3">
        <v>4118125</v>
      </c>
      <c r="H280" t="s">
        <v>1704</v>
      </c>
      <c r="I280" t="s">
        <v>1096</v>
      </c>
      <c r="J280" t="s">
        <v>1705</v>
      </c>
      <c r="K280" s="6">
        <v>15.98</v>
      </c>
      <c r="L280" t="s">
        <v>90</v>
      </c>
      <c r="M280" t="s">
        <v>24</v>
      </c>
      <c r="N280" s="2" t="str">
        <f>HYPERLINK("https://yandex.ru/maps/?&amp;text=55.68027, 37.766727", "55.68027, 37.766727")</f>
        <v>55.68027, 37.766727</v>
      </c>
      <c r="O280" t="s">
        <v>1706</v>
      </c>
      <c r="P280" t="s">
        <v>247</v>
      </c>
      <c r="Q280" s="7" t="str">
        <f>HYPERLINK("D:\torgi_project\venv_torgi\cache\objs_in_district/55.68027_37.766727.json", "55.68027_37.766727.json")</f>
        <v>55.68027_37.766727.json</v>
      </c>
      <c r="R280">
        <v>8671</v>
      </c>
      <c r="S280" s="6">
        <v>17.66</v>
      </c>
    </row>
    <row r="281" spans="1:19" hidden="1">
      <c r="A281" s="4"/>
      <c r="B281" t="s">
        <v>1130</v>
      </c>
      <c r="C281" s="1">
        <v>134.69999999999999</v>
      </c>
      <c r="D281" s="2" t="str">
        <f>HYPERLINK("https://torgi.gov.ru/new/public/lots/lot/22000034760000000031_1/(lotInfo:info)", "22000034760000000031_1")</f>
        <v>22000034760000000031_1</v>
      </c>
      <c r="E281" t="s">
        <v>343</v>
      </c>
      <c r="F281" s="3">
        <v>46645.879732739428</v>
      </c>
      <c r="G281" s="3">
        <v>6283200</v>
      </c>
      <c r="H281" t="s">
        <v>1335</v>
      </c>
      <c r="I281" t="s">
        <v>1336</v>
      </c>
      <c r="J281" t="s">
        <v>1337</v>
      </c>
      <c r="L281" t="s">
        <v>23</v>
      </c>
      <c r="M281" t="s">
        <v>24</v>
      </c>
    </row>
    <row r="282" spans="1:19">
      <c r="A282" s="4"/>
      <c r="B282" t="s">
        <v>1711</v>
      </c>
      <c r="C282" s="1">
        <v>12.9</v>
      </c>
      <c r="D282" s="2" t="str">
        <f>HYPERLINK("https://torgi.gov.ru/new/public/lots/lot/21000002210000000535_1/(lotInfo:info)", "21000002210000000535_1")</f>
        <v>21000002210000000535_1</v>
      </c>
      <c r="E282" t="s">
        <v>1756</v>
      </c>
      <c r="F282" s="3">
        <v>130232.5581395349</v>
      </c>
      <c r="G282" s="3">
        <v>1680000</v>
      </c>
      <c r="H282" t="s">
        <v>1788</v>
      </c>
      <c r="I282" t="s">
        <v>1789</v>
      </c>
      <c r="J282" t="s">
        <v>1790</v>
      </c>
      <c r="K282" s="6">
        <v>15.99</v>
      </c>
      <c r="L282" t="s">
        <v>23</v>
      </c>
      <c r="M282" t="s">
        <v>24</v>
      </c>
      <c r="N282" s="2" t="str">
        <f>HYPERLINK("https://yandex.ru/maps/?&amp;text=59.943787, 30.354559", "59.943787, 30.354559")</f>
        <v>59.943787, 30.354559</v>
      </c>
      <c r="O282" t="s">
        <v>1791</v>
      </c>
      <c r="P282" t="s">
        <v>1792</v>
      </c>
      <c r="Q282" s="7" t="str">
        <f>HYPERLINK("D:\torgi_project\venv_torgi\cache\objs_in_district/59.943787_30.354559.json", "59.943787_30.354559.json")</f>
        <v>59.943787_30.354559.json</v>
      </c>
      <c r="R282">
        <v>10320</v>
      </c>
      <c r="S282" s="6">
        <v>12.62</v>
      </c>
    </row>
    <row r="283" spans="1:19" hidden="1">
      <c r="A283" s="4"/>
      <c r="B283" t="s">
        <v>1130</v>
      </c>
      <c r="C283" s="1">
        <v>436.1</v>
      </c>
      <c r="D283" s="2" t="str">
        <f>HYPERLINK("https://torgi.gov.ru/new/public/lots/lot/21000004700000000002_2/(lotInfo:info)", "21000004700000000002_2")</f>
        <v>21000004700000000002_2</v>
      </c>
      <c r="E283" t="s">
        <v>1343</v>
      </c>
      <c r="F283" s="3">
        <v>12756.248566842471</v>
      </c>
      <c r="G283" s="3">
        <v>5563000</v>
      </c>
      <c r="H283" t="s">
        <v>1344</v>
      </c>
      <c r="I283" t="s">
        <v>1345</v>
      </c>
      <c r="J283" t="s">
        <v>1346</v>
      </c>
      <c r="L283" t="s">
        <v>23</v>
      </c>
      <c r="M283" t="s">
        <v>24</v>
      </c>
    </row>
    <row r="284" spans="1:19">
      <c r="A284" s="4"/>
      <c r="B284" t="s">
        <v>125</v>
      </c>
      <c r="C284" s="1">
        <v>94.1</v>
      </c>
      <c r="D284" s="2" t="str">
        <f>HYPERLINK("https://torgi.gov.ru/new/public/lots/lot/22000007320000000008_1/(lotInfo:info)", "22000007320000000008_1")</f>
        <v>22000007320000000008_1</v>
      </c>
      <c r="E284" t="s">
        <v>142</v>
      </c>
      <c r="F284" s="3">
        <v>60688.629117959623</v>
      </c>
      <c r="G284" s="3">
        <v>5710800</v>
      </c>
      <c r="H284" t="s">
        <v>143</v>
      </c>
      <c r="I284" t="s">
        <v>144</v>
      </c>
      <c r="J284" t="s">
        <v>145</v>
      </c>
      <c r="K284" s="6">
        <v>16.04</v>
      </c>
      <c r="L284" t="s">
        <v>23</v>
      </c>
      <c r="M284" t="s">
        <v>24</v>
      </c>
      <c r="N284" s="2" t="str">
        <f>HYPERLINK("https://yandex.ru/maps/?&amp;text=61.701971, 30.690618", "61.701971, 30.690618")</f>
        <v>61.701971, 30.690618</v>
      </c>
      <c r="O284" t="s">
        <v>135</v>
      </c>
      <c r="P284" t="s">
        <v>136</v>
      </c>
      <c r="Q284" s="7" t="str">
        <f>HYPERLINK("D:\torgi_project\venv_torgi\cache\objs_in_district/61.701971_30.690618.json", "61.701971_30.690618.json")</f>
        <v>61.701971_30.690618.json</v>
      </c>
      <c r="R284">
        <v>716</v>
      </c>
      <c r="S284" s="6">
        <v>84.76</v>
      </c>
    </row>
    <row r="285" spans="1:19">
      <c r="A285" s="4"/>
      <c r="B285" t="s">
        <v>1420</v>
      </c>
      <c r="C285" s="1">
        <v>38.700000000000003</v>
      </c>
      <c r="D285" s="2" t="str">
        <f>HYPERLINK("https://torgi.gov.ru/new/public/lots/lot/21000034510000000011_1/(lotInfo:info)", "21000034510000000011_1")</f>
        <v>21000034510000000011_1</v>
      </c>
      <c r="E285" t="s">
        <v>1421</v>
      </c>
      <c r="F285" s="3">
        <v>24293.049095607232</v>
      </c>
      <c r="G285" s="3">
        <v>940141</v>
      </c>
      <c r="H285" t="s">
        <v>1422</v>
      </c>
      <c r="I285" t="s">
        <v>1423</v>
      </c>
      <c r="J285" t="s">
        <v>1424</v>
      </c>
      <c r="K285" s="6">
        <v>16.16</v>
      </c>
      <c r="L285" t="s">
        <v>23</v>
      </c>
      <c r="M285" t="s">
        <v>24</v>
      </c>
      <c r="N285" s="2" t="str">
        <f>HYPERLINK("https://yandex.ru/maps/?&amp;text=57.674473, 66.17964", "57.674473, 66.17964")</f>
        <v>57.674473, 66.17964</v>
      </c>
      <c r="O285" t="s">
        <v>1425</v>
      </c>
      <c r="P285" t="s">
        <v>1109</v>
      </c>
      <c r="Q285" s="7" t="str">
        <f>HYPERLINK("D:\torgi_project\venv_torgi\cache\objs_in_district/57.674473_66.17964.json", "57.674473_66.17964.json")</f>
        <v>57.674473_66.17964.json</v>
      </c>
      <c r="R285">
        <v>693</v>
      </c>
      <c r="S285" s="6">
        <v>35.049999999999997</v>
      </c>
    </row>
    <row r="286" spans="1:19">
      <c r="A286" s="4"/>
      <c r="B286" t="s">
        <v>634</v>
      </c>
      <c r="C286" s="1">
        <v>30.2</v>
      </c>
      <c r="D286" s="2" t="str">
        <f>HYPERLINK("https://torgi.gov.ru/new/public/lots/lot/22000008510000000003_1/(lotInfo:info)", "22000008510000000003_1")</f>
        <v>22000008510000000003_1</v>
      </c>
      <c r="E286" t="s">
        <v>645</v>
      </c>
      <c r="F286" s="3">
        <v>16556.291390728478</v>
      </c>
      <c r="G286" s="3">
        <v>500000</v>
      </c>
      <c r="H286" t="s">
        <v>646</v>
      </c>
      <c r="I286" t="s">
        <v>647</v>
      </c>
      <c r="J286" t="s">
        <v>648</v>
      </c>
      <c r="K286" s="6">
        <v>16.23</v>
      </c>
      <c r="L286" t="s">
        <v>23</v>
      </c>
      <c r="M286" t="s">
        <v>24</v>
      </c>
      <c r="N286" s="2" t="str">
        <f>HYPERLINK("https://yandex.ru/maps/?&amp;text=51.095874, 40.039853", "51.095874, 40.039853")</f>
        <v>51.095874, 40.039853</v>
      </c>
      <c r="O286" t="s">
        <v>649</v>
      </c>
      <c r="P286" t="s">
        <v>130</v>
      </c>
      <c r="Q286" s="7" t="str">
        <f>HYPERLINK("D:\torgi_project\venv_torgi\cache\objs_in_district/51.095874_40.039853.json", "51.095874_40.039853.json")</f>
        <v>51.095874_40.039853.json</v>
      </c>
      <c r="R286">
        <v>1465</v>
      </c>
      <c r="S286" s="6">
        <v>11.3</v>
      </c>
    </row>
    <row r="287" spans="1:19">
      <c r="A287" s="4"/>
      <c r="B287" t="s">
        <v>1711</v>
      </c>
      <c r="C287" s="1">
        <v>10.1</v>
      </c>
      <c r="D287" s="2" t="str">
        <f>HYPERLINK("https://torgi.gov.ru/new/public/lots/lot/21000002210000000343_1/(lotInfo:info)", "21000002210000000343_1")</f>
        <v>21000002210000000343_1</v>
      </c>
      <c r="E287" t="s">
        <v>1712</v>
      </c>
      <c r="F287" s="3">
        <v>133663.36633663371</v>
      </c>
      <c r="G287" s="3">
        <v>1350000</v>
      </c>
      <c r="H287" t="s">
        <v>1864</v>
      </c>
      <c r="I287" t="s">
        <v>1860</v>
      </c>
      <c r="J287" t="s">
        <v>1865</v>
      </c>
      <c r="K287" s="6">
        <v>16.3</v>
      </c>
      <c r="L287" t="s">
        <v>23</v>
      </c>
      <c r="M287" t="s">
        <v>24</v>
      </c>
      <c r="N287" s="2" t="str">
        <f>HYPERLINK("https://yandex.ru/maps/?&amp;text=59.919193, 30.276378", "59.919193, 30.276378")</f>
        <v>59.919193, 30.276378</v>
      </c>
      <c r="O287" t="s">
        <v>1755</v>
      </c>
      <c r="P287" t="s">
        <v>1044</v>
      </c>
      <c r="Q287" s="7" t="str">
        <f>HYPERLINK("D:\torgi_project\venv_torgi\cache\objs_in_district/59.919193_30.276378.json", "59.919193_30.276378.json")</f>
        <v>59.919193_30.276378.json</v>
      </c>
      <c r="R287">
        <v>15227</v>
      </c>
      <c r="S287" s="6">
        <v>8.7799999999999994</v>
      </c>
    </row>
    <row r="288" spans="1:19">
      <c r="A288" s="4"/>
      <c r="B288" t="s">
        <v>454</v>
      </c>
      <c r="C288" s="1">
        <v>70.099999999999994</v>
      </c>
      <c r="D288" s="2" t="str">
        <f>HYPERLINK("https://torgi.gov.ru/new/public/lots/lot/21000003100000000008_1/(lotInfo:info)", "21000003100000000008_1")</f>
        <v>21000003100000000008_1</v>
      </c>
      <c r="E288" t="s">
        <v>464</v>
      </c>
      <c r="F288" s="3">
        <v>50827.389443651933</v>
      </c>
      <c r="G288" s="3">
        <v>3563000</v>
      </c>
      <c r="H288" t="s">
        <v>465</v>
      </c>
      <c r="I288" t="s">
        <v>466</v>
      </c>
      <c r="J288" t="s">
        <v>467</v>
      </c>
      <c r="K288" s="6">
        <v>16.37</v>
      </c>
      <c r="L288" t="s">
        <v>23</v>
      </c>
      <c r="M288" t="s">
        <v>24</v>
      </c>
      <c r="N288" s="2" t="str">
        <f>HYPERLINK("https://yandex.ru/maps/?&amp;text=50.916283, 128.48146", "50.916283, 128.48146")</f>
        <v>50.916283, 128.48146</v>
      </c>
      <c r="O288" t="s">
        <v>468</v>
      </c>
      <c r="P288" t="s">
        <v>178</v>
      </c>
      <c r="Q288" s="7" t="str">
        <f>HYPERLINK("D:\torgi_project\venv_torgi\cache\objs_in_district/50.916283_128.48146.json", "50.916283_128.48146.json")</f>
        <v>50.916283_128.48146.json</v>
      </c>
      <c r="R288">
        <v>2071</v>
      </c>
      <c r="S288" s="6">
        <v>24.54</v>
      </c>
    </row>
    <row r="289" spans="1:19">
      <c r="A289" s="4"/>
      <c r="B289" t="s">
        <v>488</v>
      </c>
      <c r="C289" s="1">
        <v>20.8</v>
      </c>
      <c r="D289" s="2" t="str">
        <f>HYPERLINK("https://torgi.gov.ru/new/public/lots/lot/21000004710000000453_1/(lotInfo:info)", "21000004710000000453_1")</f>
        <v>21000004710000000453_1</v>
      </c>
      <c r="E289" t="s">
        <v>991</v>
      </c>
      <c r="F289" s="3">
        <v>125397.98076923079</v>
      </c>
      <c r="G289" s="3">
        <v>2608278</v>
      </c>
      <c r="H289" t="s">
        <v>992</v>
      </c>
      <c r="I289" t="s">
        <v>988</v>
      </c>
      <c r="J289" t="s">
        <v>993</v>
      </c>
      <c r="K289" s="6">
        <v>16.399999999999999</v>
      </c>
      <c r="L289" t="s">
        <v>23</v>
      </c>
      <c r="M289" t="s">
        <v>24</v>
      </c>
      <c r="N289" s="2" t="str">
        <f>HYPERLINK("https://yandex.ru/maps/?&amp;text=55.375521, 37.537658", "55.375521, 37.537658")</f>
        <v>55.375521, 37.537658</v>
      </c>
      <c r="O289" t="s">
        <v>994</v>
      </c>
      <c r="P289" t="s">
        <v>995</v>
      </c>
      <c r="Q289" s="7" t="str">
        <f>HYPERLINK("D:\torgi_project\venv_torgi\cache\objs_in_district/55.375521_37.537658.json", "55.375521_37.537658.json")</f>
        <v>55.375521_37.537658.json</v>
      </c>
      <c r="R289">
        <v>2786</v>
      </c>
      <c r="S289" s="6">
        <v>45.01</v>
      </c>
    </row>
    <row r="290" spans="1:19">
      <c r="A290" s="4"/>
      <c r="B290" t="s">
        <v>1711</v>
      </c>
      <c r="C290" s="1">
        <v>49.8</v>
      </c>
      <c r="D290" s="2" t="str">
        <f>HYPERLINK("https://torgi.gov.ru/new/public/lots/lot/21000002210000000066_1/(lotInfo:info)", "21000002210000000066_1")</f>
        <v>21000002210000000066_1</v>
      </c>
      <c r="E290" t="s">
        <v>1847</v>
      </c>
      <c r="F290" s="3">
        <v>116666.6666666667</v>
      </c>
      <c r="G290" s="3">
        <v>5810000</v>
      </c>
      <c r="H290" t="s">
        <v>1976</v>
      </c>
      <c r="I290" t="s">
        <v>1966</v>
      </c>
      <c r="J290" t="s">
        <v>1977</v>
      </c>
      <c r="K290" s="6">
        <v>16.64</v>
      </c>
      <c r="L290" t="s">
        <v>23</v>
      </c>
      <c r="M290" t="s">
        <v>24</v>
      </c>
      <c r="N290" s="2" t="str">
        <f>HYPERLINK("https://yandex.ru/maps/?&amp;text=59.944256, 30.382388", "59.944256, 30.382388")</f>
        <v>59.944256, 30.382388</v>
      </c>
      <c r="O290" t="s">
        <v>1978</v>
      </c>
      <c r="P290" t="s">
        <v>1979</v>
      </c>
      <c r="Q290" s="7" t="str">
        <f>HYPERLINK("D:\torgi_project\venv_torgi\cache\objs_in_district/59.944256_30.382388.json", "59.944256_30.382388.json")</f>
        <v>59.944256_30.382388.json</v>
      </c>
      <c r="R290">
        <v>9528</v>
      </c>
      <c r="S290" s="6">
        <v>12.24</v>
      </c>
    </row>
    <row r="291" spans="1:19">
      <c r="A291" s="4"/>
      <c r="B291" t="s">
        <v>1711</v>
      </c>
      <c r="C291" s="1">
        <v>17</v>
      </c>
      <c r="D291" s="2" t="str">
        <f>HYPERLINK("https://torgi.gov.ru/new/public/lots/lot/21000002210000000696_1/(lotInfo:info)", "21000002210000000696_1")</f>
        <v>21000002210000000696_1</v>
      </c>
      <c r="E291" t="s">
        <v>1728</v>
      </c>
      <c r="F291" s="3">
        <v>148823.5294117647</v>
      </c>
      <c r="G291" s="3">
        <v>2530000</v>
      </c>
      <c r="H291" t="s">
        <v>1734</v>
      </c>
      <c r="I291" t="s">
        <v>1730</v>
      </c>
      <c r="J291" t="s">
        <v>1735</v>
      </c>
      <c r="K291" s="6">
        <v>16.71</v>
      </c>
      <c r="L291" t="s">
        <v>23</v>
      </c>
      <c r="M291" t="s">
        <v>24</v>
      </c>
      <c r="N291" s="2" t="str">
        <f>HYPERLINK("https://yandex.ru/maps/?&amp;text=59.925732, 30.305313", "59.925732, 30.305313")</f>
        <v>59.925732, 30.305313</v>
      </c>
      <c r="O291" t="s">
        <v>1736</v>
      </c>
      <c r="P291" t="s">
        <v>1737</v>
      </c>
      <c r="Q291" s="7" t="str">
        <f>HYPERLINK("D:\torgi_project\venv_torgi\cache\objs_in_district/59.925732_30.305313.json", "59.925732_30.305313.json")</f>
        <v>59.925732_30.305313.json</v>
      </c>
      <c r="R291">
        <v>9714</v>
      </c>
      <c r="S291" s="6">
        <v>15.32</v>
      </c>
    </row>
    <row r="292" spans="1:19">
      <c r="A292" s="4"/>
      <c r="B292" t="s">
        <v>1130</v>
      </c>
      <c r="C292" s="1">
        <v>96.4</v>
      </c>
      <c r="D292" s="2" t="str">
        <f>HYPERLINK("https://torgi.gov.ru/new/public/lots/lot/22000040720000000001_1/(lotInfo:info)", "22000040720000000001_1")</f>
        <v>22000040720000000001_1</v>
      </c>
      <c r="E292" t="s">
        <v>1353</v>
      </c>
      <c r="F292" s="3">
        <v>11929.460580912861</v>
      </c>
      <c r="G292" s="3">
        <v>1150000</v>
      </c>
      <c r="H292" t="s">
        <v>1354</v>
      </c>
      <c r="I292" t="s">
        <v>1355</v>
      </c>
      <c r="J292" t="s">
        <v>1356</v>
      </c>
      <c r="K292" s="6">
        <v>16.78</v>
      </c>
      <c r="L292" t="s">
        <v>23</v>
      </c>
      <c r="M292" t="s">
        <v>24</v>
      </c>
      <c r="N292" s="2" t="str">
        <f>HYPERLINK("https://yandex.ru/maps/?&amp;text=57.01859, 61.465696", "57.01859, 61.465696")</f>
        <v>57.01859, 61.465696</v>
      </c>
      <c r="O292" t="s">
        <v>1357</v>
      </c>
      <c r="P292" t="s">
        <v>178</v>
      </c>
      <c r="Q292" s="7" t="str">
        <f>HYPERLINK("D:\torgi_project\venv_torgi\cache\objs_in_district/57.01859_61.465696.json", "57.01859_61.465696.json")</f>
        <v>57.01859_61.465696.json</v>
      </c>
      <c r="R292">
        <v>810</v>
      </c>
      <c r="S292" s="6">
        <v>14.73</v>
      </c>
    </row>
    <row r="293" spans="1:19">
      <c r="A293" s="4"/>
      <c r="B293" t="s">
        <v>1711</v>
      </c>
      <c r="C293" s="1">
        <v>16.3</v>
      </c>
      <c r="D293" s="2" t="str">
        <f>HYPERLINK("https://torgi.gov.ru/new/public/lots/lot/21000002210000000419_1/(lotInfo:info)", "21000002210000000419_1")</f>
        <v>21000002210000000419_1</v>
      </c>
      <c r="E293" t="s">
        <v>1712</v>
      </c>
      <c r="F293" s="3">
        <v>119018.4049079754</v>
      </c>
      <c r="G293" s="3">
        <v>1940000</v>
      </c>
      <c r="H293" t="s">
        <v>1830</v>
      </c>
      <c r="I293" t="s">
        <v>485</v>
      </c>
      <c r="J293" t="s">
        <v>1831</v>
      </c>
      <c r="K293" s="6">
        <v>16.84</v>
      </c>
      <c r="L293" t="s">
        <v>23</v>
      </c>
      <c r="M293" t="s">
        <v>24</v>
      </c>
      <c r="N293" s="2" t="str">
        <f>HYPERLINK("https://yandex.ru/maps/?&amp;text=59.92649, 30.3519", "59.92649, 30.3519")</f>
        <v>59.92649, 30.3519</v>
      </c>
      <c r="O293" t="s">
        <v>1832</v>
      </c>
      <c r="P293" t="s">
        <v>1833</v>
      </c>
      <c r="Q293" s="7" t="str">
        <f>HYPERLINK("D:\torgi_project\venv_torgi\cache\objs_in_district/59.92649_30.3519.json", "59.92649_30.3519.json")</f>
        <v>59.92649_30.3519.json</v>
      </c>
      <c r="R293">
        <v>18744</v>
      </c>
      <c r="S293" s="6">
        <v>6.35</v>
      </c>
    </row>
    <row r="294" spans="1:19" hidden="1">
      <c r="A294" s="4"/>
      <c r="B294" t="s">
        <v>318</v>
      </c>
      <c r="C294" s="1">
        <v>36.5</v>
      </c>
      <c r="D294" s="2" t="str">
        <f>HYPERLINK("https://torgi.gov.ru/new/public/lots/lot/22000038240000000001_1/(lotInfo:info)", "22000038240000000001_1")</f>
        <v>22000038240000000001_1</v>
      </c>
      <c r="E294" t="s">
        <v>578</v>
      </c>
      <c r="F294" s="3">
        <v>17260.273972602739</v>
      </c>
      <c r="G294" s="3">
        <v>630000</v>
      </c>
      <c r="H294" t="s">
        <v>1393</v>
      </c>
      <c r="I294" t="s">
        <v>1394</v>
      </c>
      <c r="J294" t="s">
        <v>1395</v>
      </c>
      <c r="L294" t="s">
        <v>23</v>
      </c>
      <c r="M294" t="s">
        <v>24</v>
      </c>
    </row>
    <row r="295" spans="1:19">
      <c r="A295" s="4"/>
      <c r="B295" t="s">
        <v>929</v>
      </c>
      <c r="C295" s="1">
        <v>19.600000000000001</v>
      </c>
      <c r="D295" s="2" t="str">
        <f>HYPERLINK("https://torgi.gov.ru/new/public/lots/lot/22000031890000000003_1/(lotInfo:info)", "22000031890000000003_1")</f>
        <v>22000031890000000003_1</v>
      </c>
      <c r="E295" t="s">
        <v>935</v>
      </c>
      <c r="F295" s="3">
        <v>38877.551020408158</v>
      </c>
      <c r="G295" s="3">
        <v>762000</v>
      </c>
      <c r="H295" t="s">
        <v>936</v>
      </c>
      <c r="I295" t="s">
        <v>937</v>
      </c>
      <c r="J295" t="s">
        <v>938</v>
      </c>
      <c r="K295" s="6">
        <v>16.899999999999999</v>
      </c>
      <c r="L295" t="s">
        <v>23</v>
      </c>
      <c r="M295" t="s">
        <v>24</v>
      </c>
      <c r="N295" s="2" t="str">
        <f>HYPERLINK("https://yandex.ru/maps/?&amp;text=59.813889, 29.982126", "59.813889, 29.982126")</f>
        <v>59.813889, 29.982126</v>
      </c>
      <c r="O295" t="s">
        <v>939</v>
      </c>
      <c r="P295" t="s">
        <v>85</v>
      </c>
      <c r="Q295" s="7" t="str">
        <f>HYPERLINK("D:\torgi_project\venv_torgi\cache\objs_in_district/59.813889_29.982126.json", "59.813889_29.982126.json")</f>
        <v>59.813889_29.982126.json</v>
      </c>
      <c r="R295">
        <v>155</v>
      </c>
      <c r="S295" s="6">
        <v>250.82</v>
      </c>
    </row>
    <row r="296" spans="1:19">
      <c r="A296" s="4"/>
      <c r="B296" t="s">
        <v>634</v>
      </c>
      <c r="C296" s="1">
        <v>34.200000000000003</v>
      </c>
      <c r="D296" s="2" t="str">
        <f>HYPERLINK("https://torgi.gov.ru/new/public/lots/lot/22000008510000000002_1/(lotInfo:info)", "22000008510000000002_1")</f>
        <v>22000008510000000002_1</v>
      </c>
      <c r="E296" t="s">
        <v>645</v>
      </c>
      <c r="F296" s="3">
        <v>17543.859649122809</v>
      </c>
      <c r="G296" s="3">
        <v>600000</v>
      </c>
      <c r="H296" t="s">
        <v>650</v>
      </c>
      <c r="I296" t="s">
        <v>647</v>
      </c>
      <c r="J296" t="s">
        <v>651</v>
      </c>
      <c r="K296" s="6">
        <v>17.2</v>
      </c>
      <c r="L296" t="s">
        <v>23</v>
      </c>
      <c r="M296" t="s">
        <v>24</v>
      </c>
      <c r="N296" s="2" t="str">
        <f>HYPERLINK("https://yandex.ru/maps/?&amp;text=51.095874, 40.039853", "51.095874, 40.039853")</f>
        <v>51.095874, 40.039853</v>
      </c>
      <c r="O296" t="s">
        <v>649</v>
      </c>
      <c r="P296" t="s">
        <v>130</v>
      </c>
      <c r="Q296" s="7" t="str">
        <f>HYPERLINK("D:\torgi_project\venv_torgi\cache\objs_in_district/51.095874_40.039853.json", "51.095874_40.039853.json")</f>
        <v>51.095874_40.039853.json</v>
      </c>
      <c r="R296">
        <v>1465</v>
      </c>
      <c r="S296" s="6">
        <v>11.98</v>
      </c>
    </row>
    <row r="297" spans="1:19" hidden="1">
      <c r="A297" s="4"/>
      <c r="B297" t="s">
        <v>1401</v>
      </c>
      <c r="C297" s="1">
        <v>62.9</v>
      </c>
      <c r="D297" s="2" t="str">
        <f>HYPERLINK("https://torgi.gov.ru/new/public/lots/lot/21000012290000000007_4/(lotInfo:info)", "21000012290000000007_4")</f>
        <v>21000012290000000007_4</v>
      </c>
      <c r="E297" t="s">
        <v>1402</v>
      </c>
      <c r="F297" s="3">
        <v>12337.04292527822</v>
      </c>
      <c r="G297" s="3">
        <v>776000</v>
      </c>
      <c r="H297" t="s">
        <v>1403</v>
      </c>
      <c r="I297" t="s">
        <v>1404</v>
      </c>
      <c r="J297" t="s">
        <v>1405</v>
      </c>
      <c r="L297" t="s">
        <v>23</v>
      </c>
      <c r="M297" t="s">
        <v>24</v>
      </c>
    </row>
    <row r="298" spans="1:19" hidden="1">
      <c r="A298" s="4"/>
      <c r="B298" t="s">
        <v>1406</v>
      </c>
      <c r="C298" s="1">
        <v>164.6</v>
      </c>
      <c r="D298" s="2" t="str">
        <f>HYPERLINK("https://torgi.gov.ru/new/public/lots/lot/21000018800000000009_1/(lotInfo:info)", "21000018800000000009_1")</f>
        <v>21000018800000000009_1</v>
      </c>
      <c r="E298" t="s">
        <v>1407</v>
      </c>
      <c r="F298" s="3">
        <v>7671.7193195625759</v>
      </c>
      <c r="G298" s="3">
        <v>1262765</v>
      </c>
      <c r="H298" t="s">
        <v>1408</v>
      </c>
      <c r="I298" t="s">
        <v>1409</v>
      </c>
      <c r="J298" t="s">
        <v>1410</v>
      </c>
      <c r="L298" t="s">
        <v>90</v>
      </c>
      <c r="M298" t="s">
        <v>24</v>
      </c>
    </row>
    <row r="299" spans="1:19">
      <c r="A299" s="4"/>
      <c r="B299" t="s">
        <v>1711</v>
      </c>
      <c r="C299" s="1">
        <v>25.9</v>
      </c>
      <c r="D299" s="2" t="str">
        <f>HYPERLINK("https://torgi.gov.ru/new/public/lots/lot/21000002210000000267_1/(lotInfo:info)", "21000002210000000267_1")</f>
        <v>21000002210000000267_1</v>
      </c>
      <c r="E299" t="s">
        <v>1807</v>
      </c>
      <c r="F299" s="3">
        <v>113822.3938223938</v>
      </c>
      <c r="G299" s="3">
        <v>2948000</v>
      </c>
      <c r="H299" t="s">
        <v>1895</v>
      </c>
      <c r="I299" t="s">
        <v>1886</v>
      </c>
      <c r="J299" t="s">
        <v>1896</v>
      </c>
      <c r="K299" s="6">
        <v>17.29</v>
      </c>
      <c r="L299" t="s">
        <v>23</v>
      </c>
      <c r="M299" t="s">
        <v>24</v>
      </c>
      <c r="N299" s="2" t="str">
        <f>HYPERLINK("https://yandex.ru/maps/?&amp;text=59.947167, 30.412132", "59.947167, 30.412132")</f>
        <v>59.947167, 30.412132</v>
      </c>
      <c r="O299" t="s">
        <v>1811</v>
      </c>
      <c r="P299" t="s">
        <v>1812</v>
      </c>
      <c r="Q299" s="7" t="str">
        <f>HYPERLINK("D:\torgi_project\venv_torgi\cache\objs_in_district/59.947167_30.412132.json", "59.947167_30.412132.json")</f>
        <v>59.947167_30.412132.json</v>
      </c>
      <c r="R299">
        <v>8155</v>
      </c>
      <c r="S299" s="6">
        <v>13.96</v>
      </c>
    </row>
    <row r="300" spans="1:19">
      <c r="A300" s="4"/>
      <c r="B300" t="s">
        <v>1711</v>
      </c>
      <c r="C300" s="1">
        <v>15.8</v>
      </c>
      <c r="D300" s="2" t="str">
        <f>HYPERLINK("https://torgi.gov.ru/new/public/lots/lot/21000002210000000075_1/(lotInfo:info)", "21000002210000000075_1")</f>
        <v>21000002210000000075_1</v>
      </c>
      <c r="E300" t="s">
        <v>1964</v>
      </c>
      <c r="F300" s="3">
        <v>119620.253164557</v>
      </c>
      <c r="G300" s="3">
        <v>1890000</v>
      </c>
      <c r="H300" t="s">
        <v>1965</v>
      </c>
      <c r="I300" t="s">
        <v>1966</v>
      </c>
      <c r="J300" t="s">
        <v>1967</v>
      </c>
      <c r="K300" s="6">
        <v>17.29</v>
      </c>
      <c r="L300" t="s">
        <v>23</v>
      </c>
      <c r="M300" t="s">
        <v>24</v>
      </c>
      <c r="N300" s="2" t="str">
        <f>HYPERLINK("https://yandex.ru/maps/?&amp;text=59.838385, 30.498792", "59.838385, 30.498792")</f>
        <v>59.838385, 30.498792</v>
      </c>
      <c r="O300" t="s">
        <v>1968</v>
      </c>
      <c r="P300" t="s">
        <v>729</v>
      </c>
      <c r="Q300" s="7" t="str">
        <f>HYPERLINK("D:\torgi_project\venv_torgi\cache\objs_in_district/59.838385_30.498792.json", "59.838385_30.498792.json")</f>
        <v>59.838385_30.498792.json</v>
      </c>
      <c r="R300">
        <v>2186</v>
      </c>
      <c r="S300" s="6">
        <v>54.72</v>
      </c>
    </row>
    <row r="301" spans="1:19">
      <c r="A301" s="4"/>
      <c r="B301" t="s">
        <v>189</v>
      </c>
      <c r="C301" s="1">
        <v>58.8</v>
      </c>
      <c r="D301" s="2" t="str">
        <f>HYPERLINK("https://torgi.gov.ru/new/public/lots/lot/21000026240000000005_1/(lotInfo:info)", "21000026240000000005_1")</f>
        <v>21000026240000000005_1</v>
      </c>
      <c r="E301" t="s">
        <v>210</v>
      </c>
      <c r="F301" s="3">
        <v>137680.81632653059</v>
      </c>
      <c r="G301" s="3">
        <v>8095632</v>
      </c>
      <c r="H301" t="s">
        <v>211</v>
      </c>
      <c r="I301" t="s">
        <v>212</v>
      </c>
      <c r="J301" t="s">
        <v>213</v>
      </c>
      <c r="K301" s="6">
        <v>17.48</v>
      </c>
      <c r="L301" t="s">
        <v>23</v>
      </c>
      <c r="M301" t="s">
        <v>24</v>
      </c>
      <c r="N301" s="2" t="str">
        <f>HYPERLINK("https://yandex.ru/maps/?&amp;text=55.829219, 49.083282", "55.829219, 49.083282")</f>
        <v>55.829219, 49.083282</v>
      </c>
      <c r="O301" t="s">
        <v>214</v>
      </c>
      <c r="P301" t="s">
        <v>215</v>
      </c>
      <c r="Q301" s="7" t="str">
        <f>HYPERLINK("D:\torgi_project\venv_torgi\cache\objs_in_district/55.829219_49.083282.json", "55.829219_49.083282.json")</f>
        <v>55.829219_49.083282.json</v>
      </c>
      <c r="R301">
        <v>5258</v>
      </c>
      <c r="S301" s="6">
        <v>26.19</v>
      </c>
    </row>
    <row r="302" spans="1:19" hidden="1">
      <c r="A302" s="4"/>
      <c r="B302" t="s">
        <v>1426</v>
      </c>
      <c r="C302" s="1">
        <v>28.4</v>
      </c>
      <c r="D302" s="2" t="str">
        <f>HYPERLINK("https://torgi.gov.ru/new/public/lots/lot/22000041520000000002_1/(lotInfo:info)", "22000041520000000002_1")</f>
        <v>22000041520000000002_1</v>
      </c>
      <c r="E302" t="s">
        <v>1427</v>
      </c>
      <c r="F302" s="3">
        <v>28626.760563380281</v>
      </c>
      <c r="G302" s="3">
        <v>813000</v>
      </c>
      <c r="H302" t="s">
        <v>1428</v>
      </c>
      <c r="I302" t="s">
        <v>1291</v>
      </c>
      <c r="J302" t="s">
        <v>1429</v>
      </c>
      <c r="L302" t="s">
        <v>23</v>
      </c>
      <c r="M302" t="s">
        <v>24</v>
      </c>
    </row>
    <row r="303" spans="1:19" hidden="1">
      <c r="A303" s="4"/>
      <c r="B303" t="s">
        <v>1426</v>
      </c>
      <c r="C303" s="1">
        <v>166.1</v>
      </c>
      <c r="D303" s="2" t="str">
        <f>HYPERLINK("https://torgi.gov.ru/new/public/lots/lot/21000013570000000006_1/(lotInfo:info)", "21000013570000000006_1")</f>
        <v>21000013570000000006_1</v>
      </c>
      <c r="E303" t="s">
        <v>1430</v>
      </c>
      <c r="F303" s="3">
        <v>9833.626610475616</v>
      </c>
      <c r="G303" s="3">
        <v>1633365.38</v>
      </c>
      <c r="H303" t="s">
        <v>1431</v>
      </c>
      <c r="I303" t="s">
        <v>1432</v>
      </c>
      <c r="J303" t="s">
        <v>1433</v>
      </c>
      <c r="L303" t="s">
        <v>90</v>
      </c>
      <c r="M303" t="s">
        <v>24</v>
      </c>
    </row>
    <row r="304" spans="1:19">
      <c r="A304" s="4"/>
      <c r="B304" t="s">
        <v>488</v>
      </c>
      <c r="C304" s="1">
        <v>85.5</v>
      </c>
      <c r="D304" s="2" t="str">
        <f>HYPERLINK("https://torgi.gov.ru/new/public/lots/lot/21000004710000000765_1/(lotInfo:info)", "21000004710000000765_1")</f>
        <v>21000004710000000765_1</v>
      </c>
      <c r="E304" t="s">
        <v>996</v>
      </c>
      <c r="F304" s="3">
        <v>8839.9532163742697</v>
      </c>
      <c r="G304" s="3">
        <v>755816</v>
      </c>
      <c r="H304" t="s">
        <v>997</v>
      </c>
      <c r="I304" t="s">
        <v>998</v>
      </c>
      <c r="J304" t="s">
        <v>999</v>
      </c>
      <c r="K304" s="6">
        <v>17.54</v>
      </c>
      <c r="L304" t="s">
        <v>592</v>
      </c>
      <c r="M304" t="s">
        <v>24</v>
      </c>
      <c r="N304" s="2" t="str">
        <f>HYPERLINK("https://yandex.ru/maps/?&amp;text=55.881545, 38.436638", "55.881545, 38.436638")</f>
        <v>55.881545, 38.436638</v>
      </c>
      <c r="O304" t="s">
        <v>1000</v>
      </c>
      <c r="P304" t="s">
        <v>37</v>
      </c>
      <c r="Q304" s="7" t="str">
        <f>HYPERLINK("D:\torgi_project\venv_torgi\cache\objs_in_district/55.881545_38.436638.json", "55.881545_38.436638.json")</f>
        <v>55.881545_38.436638.json</v>
      </c>
      <c r="R304">
        <v>1281</v>
      </c>
      <c r="S304" s="6">
        <v>6.9</v>
      </c>
    </row>
    <row r="305" spans="1:19">
      <c r="A305" s="4"/>
      <c r="B305" t="s">
        <v>1526</v>
      </c>
      <c r="C305" s="1">
        <v>49.6</v>
      </c>
      <c r="D305" s="2" t="str">
        <f>HYPERLINK("https://torgi.gov.ru/new/public/lots/lot/21000005000000002217_1/(lotInfo:info)", "21000005000000002217_1")</f>
        <v>21000005000000002217_1</v>
      </c>
      <c r="E305" t="s">
        <v>1537</v>
      </c>
      <c r="F305" s="3">
        <v>122274.19354838711</v>
      </c>
      <c r="G305" s="3">
        <v>6064800</v>
      </c>
      <c r="H305" t="s">
        <v>1538</v>
      </c>
      <c r="I305" t="s">
        <v>1534</v>
      </c>
      <c r="J305" t="s">
        <v>1539</v>
      </c>
      <c r="K305" s="6">
        <v>17.579999999999998</v>
      </c>
      <c r="L305" t="s">
        <v>23</v>
      </c>
      <c r="M305" t="s">
        <v>24</v>
      </c>
      <c r="N305" s="2" t="str">
        <f>HYPERLINK("https://yandex.ru/maps/?&amp;text=55.673976, 37.525872", "55.673976, 37.525872")</f>
        <v>55.673976, 37.525872</v>
      </c>
      <c r="O305" t="s">
        <v>1540</v>
      </c>
      <c r="P305" t="s">
        <v>1541</v>
      </c>
      <c r="Q305" s="7" t="str">
        <f>HYPERLINK("D:\torgi_project\venv_torgi\cache\objs_in_district/55.673976_37.525872.json", "55.673976_37.525872.json")</f>
        <v>55.673976_37.525872.json</v>
      </c>
      <c r="R305">
        <v>17728</v>
      </c>
      <c r="S305" s="6">
        <v>6.9</v>
      </c>
    </row>
    <row r="306" spans="1:19" hidden="1">
      <c r="A306" s="4"/>
      <c r="B306" t="s">
        <v>1438</v>
      </c>
      <c r="C306" s="1">
        <v>245.1</v>
      </c>
      <c r="D306" s="2" t="str">
        <f>HYPERLINK("https://torgi.gov.ru/new/public/lots/lot/21000017550000000038_1/(lotInfo:info)", "21000017550000000038_1")</f>
        <v>21000017550000000038_1</v>
      </c>
      <c r="E306" t="s">
        <v>1442</v>
      </c>
      <c r="F306" s="3">
        <v>2488.780089759282</v>
      </c>
      <c r="G306" s="3">
        <v>610000</v>
      </c>
      <c r="H306" t="s">
        <v>1443</v>
      </c>
      <c r="I306" t="s">
        <v>1444</v>
      </c>
      <c r="J306" t="s">
        <v>1445</v>
      </c>
      <c r="L306" t="s">
        <v>592</v>
      </c>
      <c r="M306" t="s">
        <v>24</v>
      </c>
    </row>
    <row r="307" spans="1:19">
      <c r="A307" s="4"/>
      <c r="B307" t="s">
        <v>784</v>
      </c>
      <c r="C307" s="1">
        <v>537.5</v>
      </c>
      <c r="D307" s="2" t="str">
        <f>HYPERLINK("https://torgi.gov.ru/new/public/lots/lot/22000017180000000001_9/(lotInfo:info)", "22000017180000000001_9")</f>
        <v>22000017180000000001_9</v>
      </c>
      <c r="E307" t="s">
        <v>791</v>
      </c>
      <c r="F307" s="3">
        <v>2427.9069767441861</v>
      </c>
      <c r="G307" s="3">
        <v>1305000</v>
      </c>
      <c r="H307" t="s">
        <v>792</v>
      </c>
      <c r="I307" t="s">
        <v>793</v>
      </c>
      <c r="J307" t="s">
        <v>794</v>
      </c>
      <c r="K307" s="6">
        <v>17.59</v>
      </c>
      <c r="L307" t="s">
        <v>90</v>
      </c>
      <c r="M307" t="s">
        <v>24</v>
      </c>
      <c r="N307" s="2" t="str">
        <f>HYPERLINK("https://yandex.ru/maps/?&amp;text=55.397415, 86.00817", "55.397415, 86.00817")</f>
        <v>55.397415, 86.00817</v>
      </c>
      <c r="O307" t="s">
        <v>795</v>
      </c>
      <c r="P307" t="s">
        <v>67</v>
      </c>
      <c r="Q307" s="7" t="str">
        <f>HYPERLINK("D:\torgi_project\venv_torgi\cache\objs_in_district/55.397415_86.00817.json", "55.397415_86.00817.json")</f>
        <v>55.397415_86.00817.json</v>
      </c>
      <c r="R307">
        <v>2614</v>
      </c>
      <c r="S307" s="6">
        <v>0.93</v>
      </c>
    </row>
    <row r="308" spans="1:19" hidden="1">
      <c r="A308" s="4"/>
      <c r="B308" t="s">
        <v>1438</v>
      </c>
      <c r="C308" s="1">
        <v>52.2</v>
      </c>
      <c r="D308" s="2" t="str">
        <f>HYPERLINK("https://torgi.gov.ru/new/public/lots/lot/22000022920000000014_1/(lotInfo:info)", "22000022920000000014_1")</f>
        <v>22000022920000000014_1</v>
      </c>
      <c r="E308" t="s">
        <v>1450</v>
      </c>
      <c r="F308" s="3">
        <v>19875.478927203061</v>
      </c>
      <c r="G308" s="3">
        <v>1037500</v>
      </c>
      <c r="H308" t="s">
        <v>1451</v>
      </c>
      <c r="I308" t="s">
        <v>1452</v>
      </c>
      <c r="J308" t="s">
        <v>1453</v>
      </c>
      <c r="L308" t="s">
        <v>23</v>
      </c>
      <c r="M308" t="s">
        <v>24</v>
      </c>
    </row>
    <row r="309" spans="1:19" hidden="1">
      <c r="A309" s="4"/>
      <c r="B309" t="s">
        <v>1438</v>
      </c>
      <c r="C309" s="1">
        <v>43</v>
      </c>
      <c r="D309" s="2" t="str">
        <f>HYPERLINK("https://torgi.gov.ru/new/public/lots/lot/22000022920000000012_1/(lotInfo:info)", "22000022920000000012_1")</f>
        <v>22000022920000000012_1</v>
      </c>
      <c r="E309" t="s">
        <v>1454</v>
      </c>
      <c r="F309" s="3">
        <v>15244.18604651163</v>
      </c>
      <c r="G309" s="3">
        <v>655500</v>
      </c>
      <c r="H309" t="s">
        <v>1455</v>
      </c>
      <c r="I309" t="s">
        <v>1452</v>
      </c>
      <c r="J309" t="s">
        <v>1456</v>
      </c>
      <c r="L309" t="s">
        <v>23</v>
      </c>
      <c r="M309" t="s">
        <v>24</v>
      </c>
    </row>
    <row r="310" spans="1:19" hidden="1">
      <c r="A310" s="4"/>
      <c r="B310" t="s">
        <v>1438</v>
      </c>
      <c r="C310" s="1">
        <v>244.6</v>
      </c>
      <c r="D310" s="2" t="str">
        <f>HYPERLINK("https://torgi.gov.ru/new/public/lots/lot/22000019790000000036_1/(lotInfo:info)", "22000019790000000036_1")</f>
        <v>22000019790000000036_1</v>
      </c>
      <c r="E310" t="s">
        <v>1457</v>
      </c>
      <c r="F310" s="3">
        <v>14762.87816843827</v>
      </c>
      <c r="G310" s="3">
        <v>3611000</v>
      </c>
      <c r="H310" t="s">
        <v>1458</v>
      </c>
      <c r="I310" t="s">
        <v>1459</v>
      </c>
      <c r="J310" t="s">
        <v>1460</v>
      </c>
      <c r="L310" t="s">
        <v>23</v>
      </c>
      <c r="M310" t="s">
        <v>24</v>
      </c>
    </row>
    <row r="311" spans="1:19">
      <c r="A311" s="4"/>
      <c r="B311" t="s">
        <v>454</v>
      </c>
      <c r="C311" s="1">
        <v>420.3</v>
      </c>
      <c r="D311" s="2" t="str">
        <f>HYPERLINK("https://torgi.gov.ru/new/public/lots/lot/21000034110000000003_1/(lotInfo:info)", "21000034110000000003_1")</f>
        <v>21000034110000000003_1</v>
      </c>
      <c r="E311" t="s">
        <v>455</v>
      </c>
      <c r="F311" s="3">
        <v>2879.0007137758739</v>
      </c>
      <c r="G311" s="3">
        <v>1210044</v>
      </c>
      <c r="H311" t="s">
        <v>456</v>
      </c>
      <c r="I311" t="s">
        <v>457</v>
      </c>
      <c r="J311" t="s">
        <v>458</v>
      </c>
      <c r="K311" s="6">
        <v>17.77</v>
      </c>
      <c r="L311" t="s">
        <v>23</v>
      </c>
      <c r="M311" t="s">
        <v>24</v>
      </c>
      <c r="N311" s="2" t="str">
        <f>HYPERLINK("https://yandex.ru/maps/?&amp;text=49.606242, 128.005984", "49.606242, 128.005984")</f>
        <v>49.606242, 128.005984</v>
      </c>
      <c r="O311" t="s">
        <v>459</v>
      </c>
      <c r="P311" t="s">
        <v>409</v>
      </c>
      <c r="Q311" s="7" t="str">
        <f>HYPERLINK("D:\torgi_project\venv_torgi\cache\objs_in_district/49.606242_128.005984.json", "49.606242_128.005984.json")</f>
        <v>49.606242_128.005984.json</v>
      </c>
      <c r="R311">
        <v>377</v>
      </c>
      <c r="S311" s="6">
        <v>7.64</v>
      </c>
    </row>
    <row r="312" spans="1:19">
      <c r="A312" s="4"/>
      <c r="B312" t="s">
        <v>729</v>
      </c>
      <c r="C312" s="1">
        <v>64.3</v>
      </c>
      <c r="D312" s="2" t="str">
        <f>HYPERLINK("https://torgi.gov.ru/new/public/lots/lot/22000071240000000002_1/(lotInfo:info)", "22000071240000000002_1")</f>
        <v>22000071240000000002_1</v>
      </c>
      <c r="E312" t="s">
        <v>1289</v>
      </c>
      <c r="F312" s="3">
        <v>23405.909797822711</v>
      </c>
      <c r="G312" s="3">
        <v>1505000</v>
      </c>
      <c r="H312" t="s">
        <v>1290</v>
      </c>
      <c r="I312" t="s">
        <v>1291</v>
      </c>
      <c r="J312" t="s">
        <v>1292</v>
      </c>
      <c r="K312" s="6">
        <v>17.77</v>
      </c>
      <c r="L312" t="s">
        <v>23</v>
      </c>
      <c r="M312" t="s">
        <v>24</v>
      </c>
      <c r="N312" s="2" t="str">
        <f>HYPERLINK("https://yandex.ru/maps/?&amp;text=52.794323, 51.156445", "52.794323, 51.156445")</f>
        <v>52.794323, 51.156445</v>
      </c>
      <c r="O312" t="s">
        <v>1293</v>
      </c>
      <c r="P312" t="s">
        <v>37</v>
      </c>
      <c r="Q312" s="7" t="str">
        <f>HYPERLINK("D:\torgi_project\venv_torgi\cache\objs_in_district/52.794323_51.156445.json", "52.794323_51.156445.json")</f>
        <v>52.794323_51.156445.json</v>
      </c>
      <c r="R312">
        <v>1240</v>
      </c>
      <c r="S312" s="6">
        <v>18.88</v>
      </c>
    </row>
    <row r="313" spans="1:19" hidden="1">
      <c r="A313" s="4"/>
      <c r="B313" t="s">
        <v>1438</v>
      </c>
      <c r="C313" s="1">
        <v>216.7</v>
      </c>
      <c r="D313" s="2" t="str">
        <f>HYPERLINK("https://torgi.gov.ru/new/public/lots/lot/21000007680000000007_1/(lotInfo:info)", "21000007680000000007_1")</f>
        <v>21000007680000000007_1</v>
      </c>
      <c r="E313" t="s">
        <v>1470</v>
      </c>
      <c r="F313" s="3">
        <v>2781.1998154130129</v>
      </c>
      <c r="G313" s="3">
        <v>602686</v>
      </c>
      <c r="H313" t="s">
        <v>1471</v>
      </c>
      <c r="I313" t="s">
        <v>1472</v>
      </c>
      <c r="J313" t="s">
        <v>1473</v>
      </c>
      <c r="L313" t="s">
        <v>23</v>
      </c>
      <c r="M313" t="s">
        <v>24</v>
      </c>
    </row>
    <row r="314" spans="1:19">
      <c r="A314" s="4"/>
      <c r="B314" t="s">
        <v>158</v>
      </c>
      <c r="C314" s="1">
        <v>32.9</v>
      </c>
      <c r="D314" s="2" t="str">
        <f>HYPERLINK("https://torgi.gov.ru/new/public/lots/lot/21000002750000000022_1/(lotInfo:info)", "21000002750000000022_1")</f>
        <v>21000002750000000022_1</v>
      </c>
      <c r="E314" t="s">
        <v>619</v>
      </c>
      <c r="F314" s="3">
        <v>56352.58358662614</v>
      </c>
      <c r="G314" s="3">
        <v>1854000</v>
      </c>
      <c r="H314" t="s">
        <v>620</v>
      </c>
      <c r="I314" t="s">
        <v>621</v>
      </c>
      <c r="J314" t="s">
        <v>622</v>
      </c>
      <c r="K314" s="6">
        <v>18.11</v>
      </c>
      <c r="L314" t="s">
        <v>23</v>
      </c>
      <c r="M314" t="s">
        <v>24</v>
      </c>
      <c r="N314" s="2" t="str">
        <f>HYPERLINK("https://yandex.ru/maps/?&amp;text=59.204586, 39.843536", "59.204586, 39.843536")</f>
        <v>59.204586, 39.843536</v>
      </c>
      <c r="O314" t="s">
        <v>623</v>
      </c>
      <c r="P314" t="s">
        <v>183</v>
      </c>
      <c r="Q314" s="7" t="str">
        <f>HYPERLINK("D:\torgi_project\venv_torgi\cache\objs_in_district/59.204586_39.843536.json", "59.204586_39.843536.json")</f>
        <v>59.204586_39.843536.json</v>
      </c>
      <c r="R314">
        <v>3414</v>
      </c>
      <c r="S314" s="6">
        <v>16.510000000000002</v>
      </c>
    </row>
    <row r="315" spans="1:19">
      <c r="A315" s="4"/>
      <c r="B315" t="s">
        <v>1526</v>
      </c>
      <c r="C315" s="1">
        <v>42.9</v>
      </c>
      <c r="D315" s="2" t="str">
        <f>HYPERLINK("https://torgi.gov.ru/new/public/lots/lot/21000005000000001941_1/(lotInfo:info)", "21000005000000001941_1")</f>
        <v>21000005000000001941_1</v>
      </c>
      <c r="E315" t="s">
        <v>1547</v>
      </c>
      <c r="F315" s="3">
        <v>111608.3916083916</v>
      </c>
      <c r="G315" s="3">
        <v>4788000</v>
      </c>
      <c r="H315" t="s">
        <v>1548</v>
      </c>
      <c r="I315" t="s">
        <v>1549</v>
      </c>
      <c r="J315" t="s">
        <v>1550</v>
      </c>
      <c r="K315" s="6">
        <v>18.7</v>
      </c>
      <c r="L315" t="s">
        <v>23</v>
      </c>
      <c r="M315" t="s">
        <v>24</v>
      </c>
      <c r="N315" s="2" t="str">
        <f>HYPERLINK("https://yandex.ru/maps/?&amp;text=55.707573, 37.460421", "55.707573, 37.460421")</f>
        <v>55.707573, 37.460421</v>
      </c>
      <c r="O315" t="s">
        <v>1551</v>
      </c>
      <c r="P315" t="s">
        <v>784</v>
      </c>
      <c r="Q315" s="7" t="str">
        <f>HYPERLINK("D:\torgi_project\venv_torgi\cache\objs_in_district/55.707573_37.460421.json", "55.707573_37.460421.json")</f>
        <v>55.707573_37.460421.json</v>
      </c>
      <c r="R315">
        <v>4743</v>
      </c>
      <c r="S315" s="6">
        <v>23.53</v>
      </c>
    </row>
    <row r="316" spans="1:19">
      <c r="A316" s="4"/>
      <c r="B316" t="s">
        <v>453</v>
      </c>
      <c r="C316" s="1">
        <v>66.8</v>
      </c>
      <c r="D316" s="2" t="str">
        <f>HYPERLINK("https://torgi.gov.ru/new/public/lots/lot/21000031630000000007_2/(lotInfo:info)", "21000031630000000007_2")</f>
        <v>21000031630000000007_2</v>
      </c>
      <c r="E316" t="s">
        <v>483</v>
      </c>
      <c r="F316" s="3">
        <v>60970.059880239533</v>
      </c>
      <c r="G316" s="3">
        <v>4072800</v>
      </c>
      <c r="H316" t="s">
        <v>484</v>
      </c>
      <c r="I316" t="s">
        <v>485</v>
      </c>
      <c r="J316" t="s">
        <v>486</v>
      </c>
      <c r="K316" s="6">
        <v>18.89</v>
      </c>
      <c r="L316" t="s">
        <v>23</v>
      </c>
      <c r="M316" t="s">
        <v>24</v>
      </c>
      <c r="N316" s="2" t="str">
        <f>HYPERLINK("https://yandex.ru/maps/?&amp;text=64.553811, 39.800029", "64.553811, 39.800029")</f>
        <v>64.553811, 39.800029</v>
      </c>
      <c r="O316" t="s">
        <v>487</v>
      </c>
      <c r="P316" t="s">
        <v>488</v>
      </c>
      <c r="Q316" s="7" t="str">
        <f>HYPERLINK("D:\torgi_project\venv_torgi\cache\objs_in_district/64.553811_39.800029.json", "64.553811_39.800029.json")</f>
        <v>64.553811_39.800029.json</v>
      </c>
      <c r="R316">
        <v>3424</v>
      </c>
      <c r="S316" s="6">
        <v>17.809999999999999</v>
      </c>
    </row>
    <row r="317" spans="1:19">
      <c r="A317" s="4"/>
      <c r="B317" t="s">
        <v>1526</v>
      </c>
      <c r="C317" s="1">
        <v>50.1</v>
      </c>
      <c r="D317" s="2" t="str">
        <f>HYPERLINK("https://torgi.gov.ru/new/public/lots/lot/21000005000000001605_1/(lotInfo:info)", "21000005000000001605_1")</f>
        <v>21000005000000001605_1</v>
      </c>
      <c r="E317" t="s">
        <v>1575</v>
      </c>
      <c r="F317" s="3">
        <v>179609.41616766469</v>
      </c>
      <c r="G317" s="3">
        <v>8998431.75</v>
      </c>
      <c r="H317" t="s">
        <v>1576</v>
      </c>
      <c r="I317" t="s">
        <v>1563</v>
      </c>
      <c r="J317" t="s">
        <v>1577</v>
      </c>
      <c r="K317" s="6">
        <v>19.05</v>
      </c>
      <c r="L317" t="s">
        <v>23</v>
      </c>
      <c r="M317" t="s">
        <v>24</v>
      </c>
      <c r="N317" s="2" t="str">
        <f>HYPERLINK("https://yandex.ru/maps/?&amp;text=55.724738, 37.60637", "55.724738, 37.60637")</f>
        <v>55.724738, 37.60637</v>
      </c>
      <c r="O317" t="s">
        <v>1578</v>
      </c>
      <c r="P317" t="s">
        <v>1579</v>
      </c>
      <c r="Q317" s="7" t="str">
        <f>HYPERLINK("D:\torgi_project\venv_torgi\cache\objs_in_district/55.724738_37.60637.json", "55.724738_37.60637.json")</f>
        <v>55.724738_37.60637.json</v>
      </c>
      <c r="R317">
        <v>4909</v>
      </c>
      <c r="S317" s="6">
        <v>36.590000000000003</v>
      </c>
    </row>
    <row r="318" spans="1:19">
      <c r="A318" s="4"/>
      <c r="B318" t="s">
        <v>1711</v>
      </c>
      <c r="C318" s="1">
        <v>19</v>
      </c>
      <c r="D318" s="2" t="str">
        <f>HYPERLINK("https://torgi.gov.ru/new/public/lots/lot/21000002210000000578_1/(lotInfo:info)", "21000002210000000578_1")</f>
        <v>21000002210000000578_1</v>
      </c>
      <c r="E318" t="s">
        <v>1775</v>
      </c>
      <c r="F318" s="3">
        <v>89684.210526315786</v>
      </c>
      <c r="G318" s="3">
        <v>1704000</v>
      </c>
      <c r="H318" t="s">
        <v>1776</v>
      </c>
      <c r="I318" t="s">
        <v>1777</v>
      </c>
      <c r="J318" t="s">
        <v>1778</v>
      </c>
      <c r="K318" s="6">
        <v>19.239999999999998</v>
      </c>
      <c r="L318" t="s">
        <v>23</v>
      </c>
      <c r="M318" t="s">
        <v>24</v>
      </c>
      <c r="N318" s="2" t="str">
        <f>HYPERLINK("https://yandex.ru/maps/?&amp;text=59.946851, 30.343689", "59.946851, 30.343689")</f>
        <v>59.946851, 30.343689</v>
      </c>
      <c r="O318" t="s">
        <v>1779</v>
      </c>
      <c r="P318" t="s">
        <v>1780</v>
      </c>
      <c r="Q318" s="7" t="str">
        <f>HYPERLINK("D:\torgi_project\venv_torgi\cache\objs_in_district/59.946851_30.343689.json", "59.946851_30.343689.json")</f>
        <v>59.946851_30.343689.json</v>
      </c>
      <c r="R318">
        <v>7708</v>
      </c>
      <c r="S318" s="6">
        <v>11.64</v>
      </c>
    </row>
    <row r="319" spans="1:19">
      <c r="A319" s="4"/>
      <c r="B319" t="s">
        <v>1358</v>
      </c>
      <c r="C319" s="1">
        <v>95.6</v>
      </c>
      <c r="D319" s="2" t="str">
        <f>HYPERLINK("https://torgi.gov.ru/new/public/lots/lot/22000109930000000001_1/(lotInfo:info)", "22000109930000000001_1")</f>
        <v>22000109930000000001_1</v>
      </c>
      <c r="E319" t="s">
        <v>1359</v>
      </c>
      <c r="F319" s="3">
        <v>11998.74476987448</v>
      </c>
      <c r="G319" s="3">
        <v>1147080</v>
      </c>
      <c r="H319" t="s">
        <v>1360</v>
      </c>
      <c r="I319" t="s">
        <v>1361</v>
      </c>
      <c r="J319" t="s">
        <v>1362</v>
      </c>
      <c r="K319" s="6">
        <v>19.420000000000002</v>
      </c>
      <c r="L319" t="s">
        <v>23</v>
      </c>
      <c r="M319" t="s">
        <v>24</v>
      </c>
      <c r="N319" s="2" t="str">
        <f>HYPERLINK("https://yandex.ru/maps/?&amp;text=52.649563, 42.726326", "52.649563, 42.726326")</f>
        <v>52.649563, 42.726326</v>
      </c>
      <c r="O319" t="s">
        <v>1363</v>
      </c>
      <c r="P319" t="s">
        <v>1115</v>
      </c>
      <c r="Q319" s="7" t="str">
        <f>HYPERLINK("D:\torgi_project\venv_torgi\cache\objs_in_district/52.649563_42.726326.json", "52.649563_42.726326.json")</f>
        <v>52.649563_42.726326.json</v>
      </c>
      <c r="R319">
        <v>2231</v>
      </c>
      <c r="S319" s="6">
        <v>5.38</v>
      </c>
    </row>
    <row r="320" spans="1:19">
      <c r="A320" s="4"/>
      <c r="B320" t="s">
        <v>1711</v>
      </c>
      <c r="C320" s="1">
        <v>13</v>
      </c>
      <c r="D320" s="2" t="str">
        <f>HYPERLINK("https://torgi.gov.ru/new/public/lots/lot/21000002210000000505_1/(lotInfo:info)", "21000002210000000505_1")</f>
        <v>21000002210000000505_1</v>
      </c>
      <c r="E320" t="s">
        <v>1743</v>
      </c>
      <c r="F320" s="3">
        <v>168461.5384615385</v>
      </c>
      <c r="G320" s="3">
        <v>2190000</v>
      </c>
      <c r="H320" t="s">
        <v>1803</v>
      </c>
      <c r="I320" t="s">
        <v>1795</v>
      </c>
      <c r="J320" t="s">
        <v>1804</v>
      </c>
      <c r="K320" s="6">
        <v>19.43</v>
      </c>
      <c r="L320" t="s">
        <v>23</v>
      </c>
      <c r="M320" t="s">
        <v>24</v>
      </c>
      <c r="N320" s="2" t="str">
        <f>HYPERLINK("https://yandex.ru/maps/?&amp;text=59.939753, 30.276163", "59.939753, 30.276163")</f>
        <v>59.939753, 30.276163</v>
      </c>
      <c r="O320" t="s">
        <v>1805</v>
      </c>
      <c r="P320" t="s">
        <v>1806</v>
      </c>
      <c r="Q320" s="7" t="str">
        <f>HYPERLINK("D:\torgi_project\venv_torgi\cache\objs_in_district/59.939753_30.276163.json", "59.939753_30.276163.json")</f>
        <v>59.939753_30.276163.json</v>
      </c>
      <c r="R320">
        <v>7210</v>
      </c>
      <c r="S320" s="6">
        <v>23.36</v>
      </c>
    </row>
    <row r="321" spans="1:19">
      <c r="A321" s="4"/>
      <c r="B321" t="s">
        <v>1044</v>
      </c>
      <c r="C321" s="1">
        <v>42.9</v>
      </c>
      <c r="D321" s="2" t="str">
        <f>HYPERLINK("https://torgi.gov.ru/new/public/lots/lot/21000009830000000001_1/(lotInfo:info)", "21000009830000000001_1")</f>
        <v>21000009830000000001_1</v>
      </c>
      <c r="E321" t="s">
        <v>1076</v>
      </c>
      <c r="F321" s="3">
        <v>25329.83682983683</v>
      </c>
      <c r="G321" s="3">
        <v>1086650</v>
      </c>
      <c r="H321" t="s">
        <v>1077</v>
      </c>
      <c r="I321" t="s">
        <v>1078</v>
      </c>
      <c r="J321" t="s">
        <v>1079</v>
      </c>
      <c r="K321" s="6">
        <v>19.440000000000001</v>
      </c>
      <c r="L321" t="s">
        <v>23</v>
      </c>
      <c r="M321" t="s">
        <v>24</v>
      </c>
      <c r="N321" s="2" t="str">
        <f>HYPERLINK("https://yandex.ru/maps/?&amp;text=56.274329, 43.091834", "56.274329, 43.091834")</f>
        <v>56.274329, 43.091834</v>
      </c>
      <c r="O321" t="s">
        <v>1080</v>
      </c>
      <c r="P321" t="s">
        <v>209</v>
      </c>
      <c r="Q321" s="7" t="str">
        <f>HYPERLINK("D:\torgi_project\venv_torgi\cache\objs_in_district/56.274329_43.091834.json", "56.274329_43.091834.json")</f>
        <v>56.274329_43.091834.json</v>
      </c>
      <c r="R321">
        <v>380</v>
      </c>
      <c r="S321" s="6">
        <v>66.66</v>
      </c>
    </row>
    <row r="322" spans="1:19">
      <c r="A322" s="4"/>
      <c r="B322" t="s">
        <v>1526</v>
      </c>
      <c r="C322" s="1">
        <v>38.299999999999997</v>
      </c>
      <c r="D322" s="2" t="str">
        <f>HYPERLINK("https://torgi.gov.ru/new/public/lots/lot/21000005000000001486_1/(lotInfo:info)", "21000005000000001486_1")</f>
        <v>21000005000000001486_1</v>
      </c>
      <c r="E322" t="s">
        <v>1532</v>
      </c>
      <c r="F322" s="3">
        <v>231973.89033942559</v>
      </c>
      <c r="G322" s="3">
        <v>8884600</v>
      </c>
      <c r="H322" t="s">
        <v>1585</v>
      </c>
      <c r="I322" t="s">
        <v>1586</v>
      </c>
      <c r="J322" t="s">
        <v>1587</v>
      </c>
      <c r="K322" s="6">
        <v>19.46</v>
      </c>
      <c r="L322" t="s">
        <v>23</v>
      </c>
      <c r="M322" t="s">
        <v>24</v>
      </c>
      <c r="N322" s="2" t="str">
        <f>HYPERLINK("https://yandex.ru/maps/?&amp;text=55.69008, 37.492006", "55.69008, 37.492006")</f>
        <v>55.69008, 37.492006</v>
      </c>
      <c r="O322" t="s">
        <v>1588</v>
      </c>
      <c r="P322" t="s">
        <v>430</v>
      </c>
      <c r="Q322" s="7" t="str">
        <f>HYPERLINK("D:\torgi_project\venv_torgi\cache\objs_in_district/55.69008_37.492006.json", "55.69008_37.492006.json")</f>
        <v>55.69008_37.492006.json</v>
      </c>
      <c r="R322">
        <v>5952</v>
      </c>
      <c r="S322" s="6">
        <v>38.97</v>
      </c>
    </row>
    <row r="323" spans="1:19">
      <c r="A323" s="4"/>
      <c r="B323" t="s">
        <v>247</v>
      </c>
      <c r="C323" s="1">
        <v>36.9</v>
      </c>
      <c r="D323" s="2" t="str">
        <f>HYPERLINK("https://torgi.gov.ru/new/public/lots/lot/21000026630000000004_1/(lotInfo:info)", "21000026630000000004_1")</f>
        <v>21000026630000000004_1</v>
      </c>
      <c r="E323" t="s">
        <v>503</v>
      </c>
      <c r="F323" s="3">
        <v>48970.189701897019</v>
      </c>
      <c r="G323" s="3">
        <v>1807000</v>
      </c>
      <c r="H323" t="s">
        <v>504</v>
      </c>
      <c r="I323" t="s">
        <v>505</v>
      </c>
      <c r="J323" t="s">
        <v>506</v>
      </c>
      <c r="K323" s="6">
        <v>19.5</v>
      </c>
      <c r="L323" t="s">
        <v>23</v>
      </c>
      <c r="M323" t="s">
        <v>24</v>
      </c>
      <c r="N323" s="2" t="str">
        <f>HYPERLINK("https://yandex.ru/maps/?&amp;text=51.306128, 37.892484", "51.306128, 37.892484")</f>
        <v>51.306128, 37.892484</v>
      </c>
      <c r="O323" t="s">
        <v>507</v>
      </c>
      <c r="P323" t="s">
        <v>508</v>
      </c>
      <c r="Q323" s="7" t="str">
        <f>HYPERLINK("D:\torgi_project\venv_torgi\cache\objs_in_district/51.306128_37.892484.json", "51.306128_37.892484.json")</f>
        <v>51.306128_37.892484.json</v>
      </c>
      <c r="R323">
        <v>1536</v>
      </c>
      <c r="S323" s="6">
        <v>31.88</v>
      </c>
    </row>
    <row r="324" spans="1:19">
      <c r="A324" s="4"/>
      <c r="B324" t="s">
        <v>1711</v>
      </c>
      <c r="C324" s="1">
        <v>11.7</v>
      </c>
      <c r="D324" s="2" t="str">
        <f>HYPERLINK("https://torgi.gov.ru/new/public/lots/lot/21000002210000000414_1/(lotInfo:info)", "21000002210000000414_1")</f>
        <v>21000002210000000414_1</v>
      </c>
      <c r="E324" t="s">
        <v>1834</v>
      </c>
      <c r="F324" s="3">
        <v>147008.547008547</v>
      </c>
      <c r="G324" s="3">
        <v>1720000</v>
      </c>
      <c r="H324" t="s">
        <v>1835</v>
      </c>
      <c r="I324" t="s">
        <v>485</v>
      </c>
      <c r="J324" t="s">
        <v>1836</v>
      </c>
      <c r="K324" s="6">
        <v>19.670000000000002</v>
      </c>
      <c r="L324" t="s">
        <v>23</v>
      </c>
      <c r="M324" t="s">
        <v>24</v>
      </c>
      <c r="N324" s="2" t="str">
        <f>HYPERLINK("https://yandex.ru/maps/?&amp;text=59.911404, 30.304604", "59.911404, 30.304604")</f>
        <v>59.911404, 30.304604</v>
      </c>
      <c r="O324" t="s">
        <v>1837</v>
      </c>
      <c r="P324" t="s">
        <v>1838</v>
      </c>
      <c r="Q324" s="7" t="str">
        <f>HYPERLINK("D:\torgi_project\venv_torgi\cache\objs_in_district/59.911404_30.304604.json", "59.911404_30.304604.json")</f>
        <v>59.911404_30.304604.json</v>
      </c>
      <c r="R324">
        <v>6561</v>
      </c>
      <c r="S324" s="6">
        <v>22.41</v>
      </c>
    </row>
    <row r="325" spans="1:19">
      <c r="A325" s="4"/>
      <c r="B325" t="s">
        <v>130</v>
      </c>
      <c r="C325" s="1">
        <v>1084.8</v>
      </c>
      <c r="D325" s="2" t="str">
        <f>HYPERLINK("https://torgi.gov.ru/new/public/lots/lot/22000039800000000001_1/(lotInfo:info)", "22000039800000000001_1")</f>
        <v>22000039800000000001_1</v>
      </c>
      <c r="E325" t="s">
        <v>911</v>
      </c>
      <c r="F325" s="3">
        <v>4609.1445427728613</v>
      </c>
      <c r="G325" s="3">
        <v>5000000</v>
      </c>
      <c r="H325" t="s">
        <v>912</v>
      </c>
      <c r="I325" t="s">
        <v>913</v>
      </c>
      <c r="J325" t="s">
        <v>914</v>
      </c>
      <c r="K325" s="6">
        <v>19.7</v>
      </c>
      <c r="L325" t="s">
        <v>90</v>
      </c>
      <c r="M325" t="s">
        <v>24</v>
      </c>
      <c r="N325" s="2" t="str">
        <f>HYPERLINK("https://yandex.ru/maps/?&amp;text=56.261707, 62.934074", "56.261707, 62.934074")</f>
        <v>56.261707, 62.934074</v>
      </c>
      <c r="O325" t="s">
        <v>915</v>
      </c>
      <c r="P325" t="s">
        <v>409</v>
      </c>
      <c r="Q325" s="7" t="str">
        <f>HYPERLINK("D:\torgi_project\venv_torgi\cache\objs_in_district/56.261707_62.934074.json", "56.261707_62.934074.json")</f>
        <v>56.261707_62.934074.json</v>
      </c>
      <c r="R325">
        <v>982</v>
      </c>
      <c r="S325" s="6">
        <v>4.6900000000000004</v>
      </c>
    </row>
    <row r="326" spans="1:19">
      <c r="A326" s="4"/>
      <c r="B326" t="s">
        <v>1711</v>
      </c>
      <c r="C326" s="1">
        <v>13.3</v>
      </c>
      <c r="D326" s="2" t="str">
        <f>HYPERLINK("https://torgi.gov.ru/new/public/lots/lot/21000002210000000116_1/(lotInfo:info)", "21000002210000000116_1")</f>
        <v>21000002210000000116_1</v>
      </c>
      <c r="E326" t="s">
        <v>1945</v>
      </c>
      <c r="F326" s="3">
        <v>178195.48872180449</v>
      </c>
      <c r="G326" s="3">
        <v>2370000</v>
      </c>
      <c r="H326" t="s">
        <v>1946</v>
      </c>
      <c r="I326" t="s">
        <v>1947</v>
      </c>
      <c r="J326" t="s">
        <v>1948</v>
      </c>
      <c r="K326" s="6">
        <v>19.940000000000001</v>
      </c>
      <c r="L326" t="s">
        <v>23</v>
      </c>
      <c r="M326" t="s">
        <v>24</v>
      </c>
      <c r="N326" s="2" t="str">
        <f>HYPERLINK("https://yandex.ru/maps/?&amp;text=59.875181, 30.440096", "59.875181, 30.440096")</f>
        <v>59.875181, 30.440096</v>
      </c>
      <c r="O326" t="s">
        <v>1949</v>
      </c>
      <c r="P326" t="s">
        <v>1950</v>
      </c>
      <c r="Q326" s="7" t="str">
        <f>HYPERLINK("D:\torgi_project\venv_torgi\cache\objs_in_district/59.875181_30.440096.json", "59.875181_30.440096.json")</f>
        <v>59.875181_30.440096.json</v>
      </c>
      <c r="R326">
        <v>2963</v>
      </c>
      <c r="S326" s="6">
        <v>60.14</v>
      </c>
    </row>
    <row r="327" spans="1:19">
      <c r="A327" s="4"/>
      <c r="B327" t="s">
        <v>1526</v>
      </c>
      <c r="C327" s="1">
        <v>54.8</v>
      </c>
      <c r="D327" s="2" t="str">
        <f>HYPERLINK("https://torgi.gov.ru/new/public/lots/lot/21000005000000001838_1/(lotInfo:info)", "21000005000000001838_1")</f>
        <v>21000005000000001838_1</v>
      </c>
      <c r="E327" t="s">
        <v>1566</v>
      </c>
      <c r="F327" s="3">
        <v>121672.44525547449</v>
      </c>
      <c r="G327" s="3">
        <v>6667650</v>
      </c>
      <c r="H327" t="s">
        <v>1567</v>
      </c>
      <c r="I327" t="s">
        <v>1568</v>
      </c>
      <c r="J327" t="s">
        <v>1569</v>
      </c>
      <c r="K327" s="6">
        <v>20.100000000000001</v>
      </c>
      <c r="L327" t="s">
        <v>23</v>
      </c>
      <c r="M327" t="s">
        <v>24</v>
      </c>
      <c r="N327" s="2" t="str">
        <f>HYPERLINK("https://yandex.ru/maps/?&amp;text=55.746292, 37.57193", "55.746292, 37.57193")</f>
        <v>55.746292, 37.57193</v>
      </c>
      <c r="O327" t="s">
        <v>1570</v>
      </c>
      <c r="P327" t="s">
        <v>1163</v>
      </c>
      <c r="Q327" s="7" t="str">
        <f>HYPERLINK("D:\torgi_project\venv_torgi\cache\objs_in_district/55.746292_37.57193.json", "55.746292_37.57193.json")</f>
        <v>55.746292_37.57193.json</v>
      </c>
      <c r="R327">
        <v>7465</v>
      </c>
      <c r="S327" s="6">
        <v>16.3</v>
      </c>
    </row>
    <row r="328" spans="1:19">
      <c r="A328" s="4"/>
      <c r="B328" t="s">
        <v>27</v>
      </c>
      <c r="C328" s="1">
        <v>31.3</v>
      </c>
      <c r="D328" s="2" t="str">
        <f>HYPERLINK("https://torgi.gov.ru/new/public/lots/lot/21000028230000000001_1/(lotInfo:info)", "21000028230000000001_1")</f>
        <v>21000028230000000001_1</v>
      </c>
      <c r="E328" t="s">
        <v>102</v>
      </c>
      <c r="F328" s="3">
        <v>30287.539936102239</v>
      </c>
      <c r="G328" s="3">
        <v>948000</v>
      </c>
      <c r="H328" t="s">
        <v>103</v>
      </c>
      <c r="I328" t="s">
        <v>104</v>
      </c>
      <c r="J328" t="s">
        <v>105</v>
      </c>
      <c r="K328" s="6">
        <v>20.23</v>
      </c>
      <c r="L328" t="s">
        <v>23</v>
      </c>
      <c r="M328" t="s">
        <v>24</v>
      </c>
      <c r="N328" s="2" t="str">
        <f>HYPERLINK("https://yandex.ru/maps/?&amp;text=54.101536, 54.10925", "54.101536, 54.10925")</f>
        <v>54.101536, 54.10925</v>
      </c>
      <c r="O328" t="s">
        <v>106</v>
      </c>
      <c r="P328" t="s">
        <v>107</v>
      </c>
      <c r="Q328" s="7" t="str">
        <f>HYPERLINK("D:\torgi_project\venv_torgi\cache\objs_in_district/54.101536_54.10925.json", "54.101536_54.10925.json")</f>
        <v>54.101536_54.10925.json</v>
      </c>
      <c r="R328">
        <v>2260</v>
      </c>
      <c r="S328" s="6">
        <v>13.4</v>
      </c>
    </row>
    <row r="329" spans="1:19">
      <c r="A329" s="4"/>
      <c r="B329" t="s">
        <v>1711</v>
      </c>
      <c r="C329" s="1">
        <v>56.3</v>
      </c>
      <c r="D329" s="2" t="str">
        <f>HYPERLINK("https://torgi.gov.ru/new/public/lots/lot/21000002210000000043_1/(lotInfo:info)", "21000002210000000043_1")</f>
        <v>21000002210000000043_1</v>
      </c>
      <c r="E329" t="s">
        <v>1712</v>
      </c>
      <c r="F329" s="3">
        <v>101243.3392539965</v>
      </c>
      <c r="G329" s="3">
        <v>5700000</v>
      </c>
      <c r="H329" t="s">
        <v>1993</v>
      </c>
      <c r="I329" t="s">
        <v>1990</v>
      </c>
      <c r="J329" t="s">
        <v>1994</v>
      </c>
      <c r="K329" s="6">
        <v>20.350000000000001</v>
      </c>
      <c r="L329" t="s">
        <v>23</v>
      </c>
      <c r="M329" t="s">
        <v>24</v>
      </c>
      <c r="N329" s="2" t="str">
        <f>HYPERLINK("https://yandex.ru/maps/?&amp;text=59.925619, 30.312455", "59.925619, 30.312455")</f>
        <v>59.925619, 30.312455</v>
      </c>
      <c r="O329" t="s">
        <v>1995</v>
      </c>
      <c r="P329" t="s">
        <v>1996</v>
      </c>
      <c r="Q329" s="7" t="str">
        <f>HYPERLINK("D:\torgi_project\venv_torgi\cache\objs_in_district/59.925619_30.312455.json", "59.925619_30.312455.json")</f>
        <v>59.925619_30.312455.json</v>
      </c>
      <c r="R329">
        <v>9090</v>
      </c>
      <c r="S329" s="6">
        <v>11.14</v>
      </c>
    </row>
    <row r="330" spans="1:19">
      <c r="A330" s="4"/>
      <c r="B330" t="s">
        <v>508</v>
      </c>
      <c r="C330" s="1">
        <v>141.19999999999999</v>
      </c>
      <c r="D330" s="2" t="str">
        <f>HYPERLINK("https://torgi.gov.ru/new/public/lots/lot/21000020210000000032_12/(lotInfo:info)", "21000020210000000032_12")</f>
        <v>21000020210000000032_12</v>
      </c>
      <c r="E330" t="s">
        <v>1197</v>
      </c>
      <c r="F330" s="3">
        <v>7790.368271954675</v>
      </c>
      <c r="G330" s="3">
        <v>1100000</v>
      </c>
      <c r="H330" t="s">
        <v>1198</v>
      </c>
      <c r="I330" t="s">
        <v>1199</v>
      </c>
      <c r="J330" t="s">
        <v>1200</v>
      </c>
      <c r="K330" s="6">
        <v>21.11</v>
      </c>
      <c r="L330" t="s">
        <v>90</v>
      </c>
      <c r="M330" t="s">
        <v>24</v>
      </c>
      <c r="N330" s="2" t="str">
        <f>HYPERLINK("https://yandex.ru/maps/?&amp;text=59.428734, 56.68382", "59.428734, 56.68382")</f>
        <v>59.428734, 56.68382</v>
      </c>
      <c r="O330" t="s">
        <v>1201</v>
      </c>
      <c r="P330" t="s">
        <v>55</v>
      </c>
      <c r="Q330" s="7" t="str">
        <f>HYPERLINK("D:\torgi_project\venv_torgi\cache\objs_in_district/59.428734_56.68382.json", "59.428734_56.68382.json")</f>
        <v>59.428734_56.68382.json</v>
      </c>
      <c r="R330">
        <v>508</v>
      </c>
      <c r="S330" s="6">
        <v>15.34</v>
      </c>
    </row>
    <row r="331" spans="1:19">
      <c r="A331" s="4"/>
      <c r="B331" t="s">
        <v>291</v>
      </c>
      <c r="C331" s="1">
        <v>121.7</v>
      </c>
      <c r="D331" s="2" t="str">
        <f>HYPERLINK("https://torgi.gov.ru/new/public/lots/lot/21000015510000000014_2/(lotInfo:info)", "21000015510000000014_2")</f>
        <v>21000015510000000014_2</v>
      </c>
      <c r="E331" t="s">
        <v>303</v>
      </c>
      <c r="F331" s="3">
        <v>33976.992604765823</v>
      </c>
      <c r="G331" s="3">
        <v>4135000</v>
      </c>
      <c r="H331" t="s">
        <v>304</v>
      </c>
      <c r="I331" t="s">
        <v>305</v>
      </c>
      <c r="J331" t="s">
        <v>306</v>
      </c>
      <c r="K331" s="6">
        <v>21.13</v>
      </c>
      <c r="L331" t="s">
        <v>23</v>
      </c>
      <c r="M331" t="s">
        <v>24</v>
      </c>
      <c r="N331" s="2" t="str">
        <f>HYPERLINK("https://yandex.ru/maps/?&amp;text=53.344955, 83.70897", "53.344955, 83.70897")</f>
        <v>53.344955, 83.70897</v>
      </c>
      <c r="O331" t="s">
        <v>307</v>
      </c>
      <c r="P331" t="s">
        <v>189</v>
      </c>
      <c r="Q331" s="7" t="str">
        <f>HYPERLINK("D:\torgi_project\venv_torgi\cache\objs_in_district/53.344955_83.70897.json", "53.344955_83.70897.json")</f>
        <v>53.344955_83.70897.json</v>
      </c>
      <c r="R331">
        <v>4756</v>
      </c>
      <c r="S331" s="6">
        <v>7.14</v>
      </c>
    </row>
    <row r="332" spans="1:19">
      <c r="A332" s="4"/>
      <c r="B332" t="s">
        <v>508</v>
      </c>
      <c r="C332" s="1">
        <v>12.8</v>
      </c>
      <c r="D332" s="2" t="str">
        <f>HYPERLINK("https://torgi.gov.ru/new/public/lots/lot/21000012310000000003_2/(lotInfo:info)", "21000012310000000003_2")</f>
        <v>21000012310000000003_2</v>
      </c>
      <c r="E332" t="s">
        <v>1249</v>
      </c>
      <c r="F332" s="3">
        <v>185156.25</v>
      </c>
      <c r="G332" s="3">
        <v>2370000</v>
      </c>
      <c r="H332" t="s">
        <v>1250</v>
      </c>
      <c r="I332" t="s">
        <v>709</v>
      </c>
      <c r="J332" t="s">
        <v>1251</v>
      </c>
      <c r="K332" s="6">
        <v>21.14</v>
      </c>
      <c r="L332" t="s">
        <v>23</v>
      </c>
      <c r="M332" t="s">
        <v>24</v>
      </c>
      <c r="N332" s="2" t="str">
        <f>HYPERLINK("https://yandex.ru/maps/?&amp;text=57.997913, 56.1437", "57.997913, 56.1437")</f>
        <v>57.997913, 56.1437</v>
      </c>
      <c r="O332" t="s">
        <v>1252</v>
      </c>
      <c r="P332" t="s">
        <v>1044</v>
      </c>
      <c r="Q332" s="7" t="str">
        <f>HYPERLINK("D:\torgi_project\venv_torgi\cache\objs_in_district/57.997913_56.1437.json", "57.997913_56.1437.json")</f>
        <v>57.997913_56.1437.json</v>
      </c>
      <c r="R332">
        <v>3496</v>
      </c>
      <c r="S332" s="6">
        <v>52.96</v>
      </c>
    </row>
    <row r="333" spans="1:19">
      <c r="A333" s="4"/>
      <c r="B333" t="s">
        <v>1711</v>
      </c>
      <c r="C333" s="1">
        <v>20.2</v>
      </c>
      <c r="D333" s="2" t="str">
        <f>HYPERLINK("https://torgi.gov.ru/new/public/lots/lot/21000002210000000147_1/(lotInfo:info)", "21000002210000000147_1")</f>
        <v>21000002210000000147_1</v>
      </c>
      <c r="E333" t="s">
        <v>1756</v>
      </c>
      <c r="F333" s="3">
        <v>175247.52475247529</v>
      </c>
      <c r="G333" s="3">
        <v>3540000</v>
      </c>
      <c r="H333" t="s">
        <v>1936</v>
      </c>
      <c r="I333" t="s">
        <v>1937</v>
      </c>
      <c r="J333" t="s">
        <v>1938</v>
      </c>
      <c r="K333" s="6">
        <v>21.24</v>
      </c>
      <c r="L333" t="s">
        <v>23</v>
      </c>
      <c r="M333" t="s">
        <v>24</v>
      </c>
      <c r="N333" s="2" t="str">
        <f>HYPERLINK("https://yandex.ru/maps/?&amp;text=59.91432, 30.30535", "59.91432, 30.30535")</f>
        <v>59.91432, 30.30535</v>
      </c>
      <c r="O333" t="s">
        <v>1939</v>
      </c>
      <c r="P333" t="s">
        <v>662</v>
      </c>
      <c r="Q333" s="7" t="str">
        <f>HYPERLINK("D:\torgi_project\venv_torgi\cache\objs_in_district/59.91432_30.30535.json", "59.91432_30.30535.json")</f>
        <v>59.91432_30.30535.json</v>
      </c>
      <c r="R333">
        <v>8314</v>
      </c>
      <c r="S333" s="6">
        <v>21.08</v>
      </c>
    </row>
    <row r="334" spans="1:19">
      <c r="A334" s="4"/>
      <c r="B334" t="s">
        <v>1711</v>
      </c>
      <c r="C334" s="1">
        <v>27.4</v>
      </c>
      <c r="D334" s="2" t="str">
        <f>HYPERLINK("https://torgi.gov.ru/new/public/lots/lot/21000002210000000161_1/(lotInfo:info)", "21000002210000000161_1")</f>
        <v>21000002210000000161_1</v>
      </c>
      <c r="E334" t="s">
        <v>1930</v>
      </c>
      <c r="F334" s="3">
        <v>135766.4233576642</v>
      </c>
      <c r="G334" s="3">
        <v>3720000</v>
      </c>
      <c r="H334" t="s">
        <v>1931</v>
      </c>
      <c r="I334" t="s">
        <v>1932</v>
      </c>
      <c r="J334" t="s">
        <v>1933</v>
      </c>
      <c r="K334" s="6">
        <v>21.33</v>
      </c>
      <c r="L334" t="s">
        <v>23</v>
      </c>
      <c r="M334" t="s">
        <v>24</v>
      </c>
      <c r="N334" s="2" t="str">
        <f>HYPERLINK("https://yandex.ru/maps/?&amp;text=59.937247, 30.372767", "59.937247, 30.372767")</f>
        <v>59.937247, 30.372767</v>
      </c>
      <c r="O334" t="s">
        <v>1934</v>
      </c>
      <c r="P334" t="s">
        <v>1935</v>
      </c>
      <c r="Q334" s="7" t="str">
        <f>HYPERLINK("D:\torgi_project\venv_torgi\cache\objs_in_district/59.937247_30.372767.json", "59.937247_30.372767.json")</f>
        <v>59.937247_30.372767.json</v>
      </c>
      <c r="R334">
        <v>9788</v>
      </c>
      <c r="S334" s="6">
        <v>13.87</v>
      </c>
    </row>
    <row r="335" spans="1:19">
      <c r="A335" s="4"/>
      <c r="B335" t="s">
        <v>107</v>
      </c>
      <c r="C335" s="1">
        <v>21.1</v>
      </c>
      <c r="D335" s="2" t="str">
        <f>HYPERLINK("https://torgi.gov.ru/new/public/lots/lot/22000004950000000002_1/(lotInfo:info)", "22000004950000000002_1")</f>
        <v>22000004950000000002_1</v>
      </c>
      <c r="E335" t="s">
        <v>352</v>
      </c>
      <c r="F335" s="3">
        <v>28741.80805687204</v>
      </c>
      <c r="G335" s="3">
        <v>606452.15</v>
      </c>
      <c r="H335" t="s">
        <v>353</v>
      </c>
      <c r="I335" t="s">
        <v>349</v>
      </c>
      <c r="J335" t="s">
        <v>354</v>
      </c>
      <c r="K335" s="6">
        <v>21.48</v>
      </c>
      <c r="L335" t="s">
        <v>23</v>
      </c>
      <c r="M335" t="s">
        <v>24</v>
      </c>
      <c r="N335" s="2" t="str">
        <f>HYPERLINK("https://yandex.ru/maps/?&amp;text=56.0197094, 92.8602308", "56.0197094, 92.8602308")</f>
        <v>56.0197094, 92.8602308</v>
      </c>
      <c r="O335" t="s">
        <v>355</v>
      </c>
      <c r="P335" t="s">
        <v>118</v>
      </c>
      <c r="Q335" s="7" t="str">
        <f>HYPERLINK("D:\torgi_project\venv_torgi\cache\objs_in_district/56.0197094_92.8602308.json", "56.0197094_92.8602308.json")</f>
        <v>56.0197094_92.8602308.json</v>
      </c>
      <c r="R335">
        <v>2967</v>
      </c>
      <c r="S335" s="6">
        <v>9.69</v>
      </c>
    </row>
    <row r="336" spans="1:19">
      <c r="A336" s="4"/>
      <c r="B336" t="s">
        <v>1711</v>
      </c>
      <c r="C336" s="1">
        <v>26.2</v>
      </c>
      <c r="D336" s="2" t="str">
        <f>HYPERLINK("https://torgi.gov.ru/new/public/lots/lot/21000002210000000495_1/(lotInfo:info)", "21000002210000000495_1")</f>
        <v>21000002210000000495_1</v>
      </c>
      <c r="E336" t="s">
        <v>1807</v>
      </c>
      <c r="F336" s="3">
        <v>142748.09160305341</v>
      </c>
      <c r="G336" s="3">
        <v>3740000</v>
      </c>
      <c r="H336" t="s">
        <v>1808</v>
      </c>
      <c r="I336" t="s">
        <v>1809</v>
      </c>
      <c r="J336" t="s">
        <v>1810</v>
      </c>
      <c r="K336" s="6">
        <v>21.69</v>
      </c>
      <c r="L336" t="s">
        <v>23</v>
      </c>
      <c r="M336" t="s">
        <v>24</v>
      </c>
      <c r="N336" s="2" t="str">
        <f>HYPERLINK("https://yandex.ru/maps/?&amp;text=59.947167, 30.412132", "59.947167, 30.412132")</f>
        <v>59.947167, 30.412132</v>
      </c>
      <c r="O336" t="s">
        <v>1811</v>
      </c>
      <c r="P336" t="s">
        <v>1812</v>
      </c>
      <c r="Q336" s="7" t="str">
        <f>HYPERLINK("D:\torgi_project\venv_torgi\cache\objs_in_district/59.947167_30.412132.json", "59.947167_30.412132.json")</f>
        <v>59.947167_30.412132.json</v>
      </c>
      <c r="R336">
        <v>8155</v>
      </c>
      <c r="S336" s="6">
        <v>17.5</v>
      </c>
    </row>
    <row r="337" spans="1:19">
      <c r="A337" s="4"/>
      <c r="B337" t="s">
        <v>1526</v>
      </c>
      <c r="C337" s="1">
        <v>54.3</v>
      </c>
      <c r="D337" s="2" t="str">
        <f>HYPERLINK("https://torgi.gov.ru/new/public/lots/lot/21000005000000002048_1/(lotInfo:info)", "21000005000000002048_1")</f>
        <v>21000005000000002048_1</v>
      </c>
      <c r="E337" t="s">
        <v>1542</v>
      </c>
      <c r="F337" s="3">
        <v>114749.5395948435</v>
      </c>
      <c r="G337" s="3">
        <v>6230900</v>
      </c>
      <c r="H337" t="s">
        <v>1543</v>
      </c>
      <c r="I337" t="s">
        <v>1544</v>
      </c>
      <c r="J337" t="s">
        <v>1545</v>
      </c>
      <c r="K337" s="6">
        <v>21.82</v>
      </c>
      <c r="L337" t="s">
        <v>23</v>
      </c>
      <c r="M337" t="s">
        <v>24</v>
      </c>
      <c r="N337" s="2" t="str">
        <f>HYPERLINK("https://yandex.ru/maps/?&amp;text=55.990891, 37.208893", "55.990891, 37.208893")</f>
        <v>55.990891, 37.208893</v>
      </c>
      <c r="O337" t="s">
        <v>1546</v>
      </c>
      <c r="P337" t="s">
        <v>946</v>
      </c>
      <c r="Q337" s="7" t="str">
        <f>HYPERLINK("D:\torgi_project\venv_torgi\cache\objs_in_district/55.990891_37.208893.json", "55.990891_37.208893.json")</f>
        <v>55.990891_37.208893.json</v>
      </c>
      <c r="R337">
        <v>6985</v>
      </c>
      <c r="S337" s="6">
        <v>16.43</v>
      </c>
    </row>
    <row r="338" spans="1:19">
      <c r="A338" s="4"/>
      <c r="B338" t="s">
        <v>1149</v>
      </c>
      <c r="C338" s="1">
        <v>69.8</v>
      </c>
      <c r="D338" s="2" t="str">
        <f>HYPERLINK("https://torgi.gov.ru/new/public/lots/lot/21000028810000000001_1/(lotInfo:info)", "21000028810000000001_1")</f>
        <v>21000028810000000001_1</v>
      </c>
      <c r="E338" t="s">
        <v>1158</v>
      </c>
      <c r="F338" s="3">
        <v>22592.76504297994</v>
      </c>
      <c r="G338" s="3">
        <v>1576975</v>
      </c>
      <c r="H338" t="s">
        <v>1159</v>
      </c>
      <c r="I338" t="s">
        <v>1160</v>
      </c>
      <c r="J338" t="s">
        <v>1161</v>
      </c>
      <c r="K338" s="6">
        <v>21.83</v>
      </c>
      <c r="L338" t="s">
        <v>23</v>
      </c>
      <c r="M338" t="s">
        <v>24</v>
      </c>
      <c r="N338" s="2" t="str">
        <f>HYPERLINK("https://yandex.ru/maps/?&amp;text=51.766443, 52.750637", "51.766443, 52.750637")</f>
        <v>51.766443, 52.750637</v>
      </c>
      <c r="O338" t="s">
        <v>1162</v>
      </c>
      <c r="P338" t="s">
        <v>291</v>
      </c>
      <c r="Q338" s="7" t="str">
        <f>HYPERLINK("D:\torgi_project\venv_torgi\cache\objs_in_district/51.766443_52.750637.json", "51.766443_52.750637.json")</f>
        <v>51.766443_52.750637.json</v>
      </c>
      <c r="R338">
        <v>1939</v>
      </c>
      <c r="S338" s="6">
        <v>11.65</v>
      </c>
    </row>
    <row r="339" spans="1:19">
      <c r="A339" s="4"/>
      <c r="B339" t="s">
        <v>1711</v>
      </c>
      <c r="C339" s="1">
        <v>20.100000000000001</v>
      </c>
      <c r="D339" s="2" t="str">
        <f>HYPERLINK("https://torgi.gov.ru/new/public/lots/lot/21000002210000000610_1/(lotInfo:info)", "21000002210000000610_1")</f>
        <v>21000002210000000610_1</v>
      </c>
      <c r="E339" t="s">
        <v>1761</v>
      </c>
      <c r="F339" s="3">
        <v>188557.21393034831</v>
      </c>
      <c r="G339" s="3">
        <v>3790000</v>
      </c>
      <c r="H339" t="s">
        <v>1762</v>
      </c>
      <c r="I339" t="s">
        <v>1763</v>
      </c>
      <c r="J339" t="s">
        <v>1764</v>
      </c>
      <c r="K339" s="6">
        <v>22.72</v>
      </c>
      <c r="L339" t="s">
        <v>23</v>
      </c>
      <c r="M339" t="s">
        <v>24</v>
      </c>
      <c r="N339" s="2" t="str">
        <f>HYPERLINK("https://yandex.ru/maps/?&amp;text=59.92796, 30.30163", "59.92796, 30.30163")</f>
        <v>59.92796, 30.30163</v>
      </c>
      <c r="O339" t="s">
        <v>1765</v>
      </c>
      <c r="P339" t="s">
        <v>1766</v>
      </c>
      <c r="Q339" s="7" t="str">
        <f>HYPERLINK("D:\torgi_project\venv_torgi\cache\objs_in_district/59.92796_30.30163.json", "59.92796_30.30163.json")</f>
        <v>59.92796_30.30163.json</v>
      </c>
      <c r="R339">
        <v>10908</v>
      </c>
      <c r="S339" s="6">
        <v>17.29</v>
      </c>
    </row>
    <row r="340" spans="1:19">
      <c r="A340" s="4"/>
      <c r="B340" t="s">
        <v>55</v>
      </c>
      <c r="C340" s="1">
        <v>45.8</v>
      </c>
      <c r="D340" s="2" t="str">
        <f>HYPERLINK("https://torgi.gov.ru/new/public/lots/lot/21000016400000000002_14/(lotInfo:info)", "21000016400000000002_14")</f>
        <v>21000016400000000002_14</v>
      </c>
      <c r="E340" t="s">
        <v>416</v>
      </c>
      <c r="F340" s="3">
        <v>25633.187772925761</v>
      </c>
      <c r="G340" s="3">
        <v>1174000</v>
      </c>
      <c r="H340" t="s">
        <v>417</v>
      </c>
      <c r="I340" t="s">
        <v>418</v>
      </c>
      <c r="J340" t="s">
        <v>419</v>
      </c>
      <c r="K340" s="6">
        <v>23.09</v>
      </c>
      <c r="L340" t="s">
        <v>23</v>
      </c>
      <c r="M340" t="s">
        <v>24</v>
      </c>
      <c r="N340" s="2" t="str">
        <f>HYPERLINK("https://yandex.ru/maps/?&amp;text=44.134393, 43.026095", "44.134393, 43.026095")</f>
        <v>44.134393, 43.026095</v>
      </c>
      <c r="O340" t="s">
        <v>420</v>
      </c>
      <c r="P340" t="s">
        <v>227</v>
      </c>
      <c r="Q340" s="7" t="str">
        <f>HYPERLINK("D:\torgi_project\venv_torgi\cache\objs_in_district/44.134393_43.026095.json", "44.134393_43.026095.json")</f>
        <v>44.134393_43.026095.json</v>
      </c>
      <c r="R340">
        <v>893</v>
      </c>
      <c r="S340" s="6">
        <v>28.7</v>
      </c>
    </row>
    <row r="341" spans="1:19">
      <c r="A341" s="4"/>
      <c r="B341" t="s">
        <v>1711</v>
      </c>
      <c r="C341" s="1">
        <v>15.4</v>
      </c>
      <c r="D341" s="2" t="str">
        <f>HYPERLINK("https://torgi.gov.ru/new/public/lots/lot/21000002210000000603_1/(lotInfo:info)", "21000002210000000603_1")</f>
        <v>21000002210000000603_1</v>
      </c>
      <c r="E341" t="s">
        <v>1718</v>
      </c>
      <c r="F341" s="3">
        <v>148051.94805194801</v>
      </c>
      <c r="G341" s="3">
        <v>2280000</v>
      </c>
      <c r="H341" t="s">
        <v>1767</v>
      </c>
      <c r="I341" t="s">
        <v>1763</v>
      </c>
      <c r="J341" t="s">
        <v>1768</v>
      </c>
      <c r="K341" s="6">
        <v>23.51</v>
      </c>
      <c r="L341" t="s">
        <v>23</v>
      </c>
      <c r="M341" t="s">
        <v>24</v>
      </c>
      <c r="N341" s="2" t="str">
        <f>HYPERLINK("https://yandex.ru/maps/?&amp;text=59.92784, 30.312534", "59.92784, 30.312534")</f>
        <v>59.92784, 30.312534</v>
      </c>
      <c r="O341" t="s">
        <v>1769</v>
      </c>
      <c r="P341" t="s">
        <v>1770</v>
      </c>
      <c r="Q341" s="7" t="str">
        <f>HYPERLINK("D:\torgi_project\venv_torgi\cache\objs_in_district/59.92784_30.312534.json", "59.92784_30.312534.json")</f>
        <v>59.92784_30.312534.json</v>
      </c>
      <c r="R341">
        <v>10480</v>
      </c>
      <c r="S341" s="6">
        <v>14.13</v>
      </c>
    </row>
    <row r="342" spans="1:19">
      <c r="A342" s="4"/>
      <c r="B342" t="s">
        <v>1044</v>
      </c>
      <c r="C342" s="1">
        <v>151.4</v>
      </c>
      <c r="D342" s="2" t="str">
        <f>HYPERLINK("https://torgi.gov.ru/new/public/lots/lot/22000095400000000001_1/(lotInfo:info)", "22000095400000000001_1")</f>
        <v>22000095400000000001_1</v>
      </c>
      <c r="E342" t="s">
        <v>1063</v>
      </c>
      <c r="F342" s="3">
        <v>64832.265521796573</v>
      </c>
      <c r="G342" s="3">
        <v>9815605</v>
      </c>
      <c r="H342" t="s">
        <v>1064</v>
      </c>
      <c r="I342" t="s">
        <v>1065</v>
      </c>
      <c r="J342" t="s">
        <v>1066</v>
      </c>
      <c r="K342" s="6">
        <v>23.57</v>
      </c>
      <c r="L342" t="s">
        <v>23</v>
      </c>
      <c r="M342" t="s">
        <v>24</v>
      </c>
      <c r="N342" s="2" t="str">
        <f>HYPERLINK("https://yandex.ru/maps/?&amp;text=56.208454,  44.099896", "56.208454,  44.099896")</f>
        <v>56.208454,  44.099896</v>
      </c>
      <c r="O342" t="s">
        <v>1067</v>
      </c>
      <c r="P342" t="s">
        <v>107</v>
      </c>
      <c r="Q342" s="7" t="str">
        <f>HYPERLINK("D:\torgi_project\venv_torgi\cache\objs_in_district/56.208454_44.099896.json", "56.208454_44.099896.json")</f>
        <v>56.208454_44.099896.json</v>
      </c>
      <c r="R342">
        <v>822</v>
      </c>
      <c r="S342" s="6">
        <v>78.87</v>
      </c>
    </row>
    <row r="343" spans="1:19">
      <c r="A343" s="4"/>
      <c r="B343" t="s">
        <v>49</v>
      </c>
      <c r="C343" s="1">
        <v>667</v>
      </c>
      <c r="D343" s="2" t="str">
        <f>HYPERLINK("https://torgi.gov.ru/new/public/lots/lot/21000003120000000003_1/(lotInfo:info)", "21000003120000000003_1")</f>
        <v>21000003120000000003_1</v>
      </c>
      <c r="E343" t="s">
        <v>113</v>
      </c>
      <c r="F343" s="3">
        <v>1970.0149925037481</v>
      </c>
      <c r="G343" s="3">
        <v>1314000</v>
      </c>
      <c r="H343" t="s">
        <v>114</v>
      </c>
      <c r="I343" t="s">
        <v>115</v>
      </c>
      <c r="J343" t="s">
        <v>116</v>
      </c>
      <c r="K343" s="6">
        <v>24.32</v>
      </c>
      <c r="L343" t="s">
        <v>90</v>
      </c>
      <c r="M343" t="s">
        <v>24</v>
      </c>
      <c r="N343" s="2" t="str">
        <f>HYPERLINK("https://yandex.ru/maps/?&amp;text=51.77594, 107.552926", "51.77594, 107.552926")</f>
        <v>51.77594, 107.552926</v>
      </c>
      <c r="O343" t="s">
        <v>117</v>
      </c>
      <c r="P343" t="s">
        <v>79</v>
      </c>
      <c r="Q343" s="7" t="str">
        <f>HYPERLINK("D:\torgi_project\venv_torgi\cache\objs_in_district/51.77594_107.552926.json", "51.77594_107.552926.json")</f>
        <v>51.77594_107.552926.json</v>
      </c>
      <c r="R343">
        <v>1782</v>
      </c>
      <c r="S343" s="6">
        <v>1.1100000000000001</v>
      </c>
    </row>
    <row r="344" spans="1:19">
      <c r="A344" s="4"/>
      <c r="B344" t="s">
        <v>1526</v>
      </c>
      <c r="C344" s="1">
        <v>31.2</v>
      </c>
      <c r="D344" s="2" t="str">
        <f>HYPERLINK("https://torgi.gov.ru/new/public/lots/lot/21000005000000002218_1/(lotInfo:info)", "21000005000000002218_1")</f>
        <v>21000005000000002218_1</v>
      </c>
      <c r="E344" t="s">
        <v>1532</v>
      </c>
      <c r="F344" s="3">
        <v>267948.71794871788</v>
      </c>
      <c r="G344" s="3">
        <v>8360000</v>
      </c>
      <c r="H344" t="s">
        <v>1533</v>
      </c>
      <c r="I344" t="s">
        <v>1534</v>
      </c>
      <c r="J344" t="s">
        <v>1535</v>
      </c>
      <c r="K344" s="6">
        <v>24.64</v>
      </c>
      <c r="L344" t="s">
        <v>23</v>
      </c>
      <c r="M344" t="s">
        <v>24</v>
      </c>
      <c r="N344" s="2" t="str">
        <f>HYPERLINK("https://yandex.ru/maps/?&amp;text=55.690821, 37.858824", "55.690821, 37.858824")</f>
        <v>55.690821, 37.858824</v>
      </c>
      <c r="O344" t="s">
        <v>1536</v>
      </c>
      <c r="P344" t="s">
        <v>1109</v>
      </c>
      <c r="Q344" s="7" t="str">
        <f>HYPERLINK("D:\torgi_project\venv_torgi\cache\objs_in_district/55.690821_37.858824.json", "55.690821_37.858824.json")</f>
        <v>55.690821_37.858824.json</v>
      </c>
      <c r="R344">
        <v>12893</v>
      </c>
      <c r="S344" s="6">
        <v>20.78</v>
      </c>
    </row>
    <row r="345" spans="1:19">
      <c r="A345" s="4"/>
      <c r="B345" t="s">
        <v>1711</v>
      </c>
      <c r="C345" s="1">
        <v>31.4</v>
      </c>
      <c r="D345" s="2" t="str">
        <f>HYPERLINK("https://torgi.gov.ru/new/public/lots/lot/21000002210000000211_1/(lotInfo:info)", "21000002210000000211_1")</f>
        <v>21000002210000000211_1</v>
      </c>
      <c r="E345" t="s">
        <v>1756</v>
      </c>
      <c r="F345" s="3">
        <v>126114.6496815287</v>
      </c>
      <c r="G345" s="3">
        <v>3960000</v>
      </c>
      <c r="H345" t="s">
        <v>1916</v>
      </c>
      <c r="I345" t="s">
        <v>1913</v>
      </c>
      <c r="J345" t="s">
        <v>1917</v>
      </c>
      <c r="K345" s="6">
        <v>24.77</v>
      </c>
      <c r="L345" t="s">
        <v>23</v>
      </c>
      <c r="M345" t="s">
        <v>24</v>
      </c>
      <c r="N345" s="2" t="str">
        <f>HYPERLINK("https://yandex.ru/maps/?&amp;text=59.833787, 30.42328", "59.833787, 30.42328")</f>
        <v>59.833787, 30.42328</v>
      </c>
      <c r="O345" t="s">
        <v>1918</v>
      </c>
      <c r="P345" t="s">
        <v>1919</v>
      </c>
      <c r="Q345" s="7" t="str">
        <f>HYPERLINK("D:\torgi_project\venv_torgi\cache\objs_in_district/59.833787_30.42328.json", "59.833787_30.42328.json")</f>
        <v>59.833787_30.42328.json</v>
      </c>
      <c r="R345">
        <v>3669</v>
      </c>
      <c r="S345" s="6">
        <v>34.369999999999997</v>
      </c>
    </row>
    <row r="346" spans="1:19">
      <c r="A346" s="4"/>
      <c r="B346" t="s">
        <v>1711</v>
      </c>
      <c r="C346" s="1">
        <v>14.5</v>
      </c>
      <c r="D346" s="2" t="str">
        <f>HYPERLINK("https://torgi.gov.ru/new/public/lots/lot/21000002210000000560_1/(lotInfo:info)", "21000002210000000560_1")</f>
        <v>21000002210000000560_1</v>
      </c>
      <c r="E346" t="s">
        <v>1718</v>
      </c>
      <c r="F346" s="3">
        <v>207586.20689655171</v>
      </c>
      <c r="G346" s="3">
        <v>3010000</v>
      </c>
      <c r="H346" t="s">
        <v>1785</v>
      </c>
      <c r="I346" t="s">
        <v>1782</v>
      </c>
      <c r="J346" t="s">
        <v>1786</v>
      </c>
      <c r="K346" s="6">
        <v>24.86</v>
      </c>
      <c r="L346" t="s">
        <v>23</v>
      </c>
      <c r="M346" t="s">
        <v>24</v>
      </c>
      <c r="N346" s="2" t="str">
        <f>HYPERLINK("https://yandex.ru/maps/?&amp;text=59.909815, 30.315787", "59.909815, 30.315787")</f>
        <v>59.909815, 30.315787</v>
      </c>
      <c r="O346" t="s">
        <v>1787</v>
      </c>
      <c r="P346" t="s">
        <v>459</v>
      </c>
      <c r="Q346" s="7" t="str">
        <f>HYPERLINK("D:\torgi_project\venv_torgi\cache\objs_in_district/59.909815_30.315787.json", "59.909815_30.315787.json")</f>
        <v>59.909815_30.315787.json</v>
      </c>
      <c r="R346">
        <v>5224</v>
      </c>
      <c r="S346" s="6">
        <v>39.74</v>
      </c>
    </row>
    <row r="347" spans="1:19">
      <c r="A347" s="4"/>
      <c r="B347" t="s">
        <v>1711</v>
      </c>
      <c r="C347" s="1">
        <v>17.2</v>
      </c>
      <c r="D347" s="2" t="str">
        <f>HYPERLINK("https://torgi.gov.ru/new/public/lots/lot/21000002210000000514_1/(lotInfo:info)", "21000002210000000514_1")</f>
        <v>21000002210000000514_1</v>
      </c>
      <c r="E347" t="s">
        <v>1793</v>
      </c>
      <c r="F347" s="3">
        <v>180232.5581395349</v>
      </c>
      <c r="G347" s="3">
        <v>3100000</v>
      </c>
      <c r="H347" t="s">
        <v>1794</v>
      </c>
      <c r="I347" t="s">
        <v>1795</v>
      </c>
      <c r="J347" t="s">
        <v>1796</v>
      </c>
      <c r="K347" s="6">
        <v>25.47</v>
      </c>
      <c r="L347" t="s">
        <v>23</v>
      </c>
      <c r="M347" t="s">
        <v>24</v>
      </c>
      <c r="N347" s="2" t="str">
        <f>HYPERLINK("https://yandex.ru/maps/?&amp;text=59.924055, 30.300794", "59.924055, 30.300794")</f>
        <v>59.924055, 30.300794</v>
      </c>
      <c r="O347" t="s">
        <v>1797</v>
      </c>
      <c r="P347" t="s">
        <v>1798</v>
      </c>
      <c r="Q347" s="7" t="str">
        <f>HYPERLINK("D:\torgi_project\venv_torgi\cache\objs_in_district/59.924055_30.300794.json", "59.924055_30.300794.json")</f>
        <v>59.924055_30.300794.json</v>
      </c>
      <c r="R347">
        <v>9906</v>
      </c>
      <c r="S347" s="6">
        <v>18.190000000000001</v>
      </c>
    </row>
    <row r="348" spans="1:19">
      <c r="A348" s="4"/>
      <c r="B348" t="s">
        <v>27</v>
      </c>
      <c r="C348" s="1">
        <v>13.7</v>
      </c>
      <c r="D348" s="2" t="str">
        <f>HYPERLINK("https://torgi.gov.ru/new/public/lots/lot/21000028230000000013_1/(lotInfo:info)", "21000028230000000013_1")</f>
        <v>21000028230000000013_1</v>
      </c>
      <c r="E348" t="s">
        <v>50</v>
      </c>
      <c r="F348" s="3">
        <v>39930.656934306571</v>
      </c>
      <c r="G348" s="3">
        <v>547050</v>
      </c>
      <c r="H348" t="s">
        <v>51</v>
      </c>
      <c r="I348" t="s">
        <v>52</v>
      </c>
      <c r="J348" t="s">
        <v>53</v>
      </c>
      <c r="K348" s="6">
        <v>25.7</v>
      </c>
      <c r="L348" t="s">
        <v>23</v>
      </c>
      <c r="M348" t="s">
        <v>24</v>
      </c>
      <c r="N348" s="2" t="str">
        <f>HYPERLINK("https://yandex.ru/maps/?&amp;text=54.099747, 54.104973", "54.099747, 54.104973")</f>
        <v>54.099747, 54.104973</v>
      </c>
      <c r="O348" t="s">
        <v>54</v>
      </c>
      <c r="P348" t="s">
        <v>55</v>
      </c>
      <c r="Q348" s="7" t="str">
        <f>HYPERLINK("D:\torgi_project\venv_torgi\cache\objs_in_district/54.099747_54.104973.json", "54.099747_54.104973.json")</f>
        <v>54.099747_54.104973.json</v>
      </c>
      <c r="R348">
        <v>1960</v>
      </c>
      <c r="S348" s="6">
        <v>20.37</v>
      </c>
    </row>
    <row r="349" spans="1:19">
      <c r="A349" s="4"/>
      <c r="B349" t="s">
        <v>1711</v>
      </c>
      <c r="C349" s="1">
        <v>37.5</v>
      </c>
      <c r="D349" s="2" t="str">
        <f>HYPERLINK("https://torgi.gov.ru/new/public/lots/lot/21000002210000000508_1/(lotInfo:info)", "21000002210000000508_1")</f>
        <v>21000002210000000508_1</v>
      </c>
      <c r="E349" t="s">
        <v>1743</v>
      </c>
      <c r="F349" s="3">
        <v>195200</v>
      </c>
      <c r="G349" s="3">
        <v>7320000</v>
      </c>
      <c r="H349" t="s">
        <v>1799</v>
      </c>
      <c r="I349" t="s">
        <v>1795</v>
      </c>
      <c r="J349" t="s">
        <v>1800</v>
      </c>
      <c r="K349" s="6">
        <v>26.17</v>
      </c>
      <c r="L349" t="s">
        <v>23</v>
      </c>
      <c r="M349" t="s">
        <v>24</v>
      </c>
      <c r="N349" s="2" t="str">
        <f>HYPERLINK("https://yandex.ru/maps/?&amp;text=59.968871, 30.308996", "59.968871, 30.308996")</f>
        <v>59.968871, 30.308996</v>
      </c>
      <c r="O349" t="s">
        <v>1801</v>
      </c>
      <c r="P349" t="s">
        <v>1802</v>
      </c>
      <c r="Q349" s="7" t="str">
        <f>HYPERLINK("D:\torgi_project\venv_torgi\cache\objs_in_district/59.968871_30.308996.json", "59.968871_30.308996.json")</f>
        <v>59.968871_30.308996.json</v>
      </c>
      <c r="R349">
        <v>6501</v>
      </c>
      <c r="S349" s="6">
        <v>30.03</v>
      </c>
    </row>
    <row r="350" spans="1:19">
      <c r="A350" s="4"/>
      <c r="B350" t="s">
        <v>1711</v>
      </c>
      <c r="C350" s="1">
        <v>10.9</v>
      </c>
      <c r="D350" s="2" t="str">
        <f>HYPERLINK("https://torgi.gov.ru/new/public/lots/lot/21000002210000000477_1/(lotInfo:info)", "21000002210000000477_1")</f>
        <v>21000002210000000477_1</v>
      </c>
      <c r="E350" t="s">
        <v>1813</v>
      </c>
      <c r="F350" s="3">
        <v>165137.61467889909</v>
      </c>
      <c r="G350" s="3">
        <v>1800000</v>
      </c>
      <c r="H350" t="s">
        <v>1814</v>
      </c>
      <c r="I350" t="s">
        <v>1815</v>
      </c>
      <c r="J350" t="s">
        <v>1816</v>
      </c>
      <c r="K350" s="6">
        <v>26.19</v>
      </c>
      <c r="L350" t="s">
        <v>23</v>
      </c>
      <c r="M350" t="s">
        <v>24</v>
      </c>
      <c r="N350" s="2" t="str">
        <f>HYPERLINK("https://yandex.ru/maps/?&amp;text=59.8989631, 30.4278453", "59.8989631, 30.4278453")</f>
        <v>59.8989631, 30.4278453</v>
      </c>
      <c r="O350" t="s">
        <v>1817</v>
      </c>
      <c r="P350" t="s">
        <v>1818</v>
      </c>
      <c r="Q350" s="7" t="str">
        <f>HYPERLINK("D:\torgi_project\venv_torgi\cache\objs_in_district/59.8989631_30.4278453.json", "59.8989631_30.4278453.json")</f>
        <v>59.8989631_30.4278453.json</v>
      </c>
      <c r="R350">
        <v>1465</v>
      </c>
      <c r="S350" s="6">
        <v>112.72</v>
      </c>
    </row>
    <row r="351" spans="1:19">
      <c r="A351" s="4"/>
      <c r="B351" t="s">
        <v>1711</v>
      </c>
      <c r="C351" s="1">
        <v>17.399999999999999</v>
      </c>
      <c r="D351" s="2" t="str">
        <f>HYPERLINK("https://torgi.gov.ru/new/public/lots/lot/21000002210000000045_1/(lotInfo:info)", "21000002210000000045_1")</f>
        <v>21000002210000000045_1</v>
      </c>
      <c r="E351" t="s">
        <v>1988</v>
      </c>
      <c r="F351" s="3">
        <v>177011.49425287361</v>
      </c>
      <c r="G351" s="3">
        <v>3080000</v>
      </c>
      <c r="H351" t="s">
        <v>1989</v>
      </c>
      <c r="I351" t="s">
        <v>1990</v>
      </c>
      <c r="J351" t="s">
        <v>1991</v>
      </c>
      <c r="K351" s="6">
        <v>26.26</v>
      </c>
      <c r="L351" t="s">
        <v>23</v>
      </c>
      <c r="M351" t="s">
        <v>24</v>
      </c>
      <c r="N351" s="2" t="str">
        <f>HYPERLINK("https://yandex.ru/maps/?&amp;text=59.952074, 30.232891", "59.952074, 30.232891")</f>
        <v>59.952074, 30.232891</v>
      </c>
      <c r="O351" t="s">
        <v>1992</v>
      </c>
      <c r="P351" t="s">
        <v>233</v>
      </c>
      <c r="Q351" s="7" t="str">
        <f>HYPERLINK("D:\torgi_project\venv_torgi\cache\objs_in_district/59.952074_30.232891.json", "59.952074_30.232891.json")</f>
        <v>59.952074_30.232891.json</v>
      </c>
      <c r="R351">
        <v>9662</v>
      </c>
      <c r="S351" s="6">
        <v>18.32</v>
      </c>
    </row>
    <row r="352" spans="1:19">
      <c r="A352" s="4"/>
      <c r="B352" t="s">
        <v>488</v>
      </c>
      <c r="C352" s="1">
        <v>78.5</v>
      </c>
      <c r="D352" s="2" t="str">
        <f>HYPERLINK("https://torgi.gov.ru/new/public/lots/lot/21000004710000000454_1/(lotInfo:info)", "21000004710000000454_1")</f>
        <v>21000004710000000454_1</v>
      </c>
      <c r="E352" t="s">
        <v>986</v>
      </c>
      <c r="F352" s="3">
        <v>69399.745222929938</v>
      </c>
      <c r="G352" s="3">
        <v>5447880</v>
      </c>
      <c r="H352" t="s">
        <v>987</v>
      </c>
      <c r="I352" t="s">
        <v>988</v>
      </c>
      <c r="J352" t="s">
        <v>989</v>
      </c>
      <c r="K352" s="6">
        <v>26.29</v>
      </c>
      <c r="L352" t="s">
        <v>23</v>
      </c>
      <c r="M352" t="s">
        <v>24</v>
      </c>
      <c r="N352" s="2" t="str">
        <f>HYPERLINK("https://yandex.ru/maps/?&amp;text=55.35637, 37.525163", "55.35637, 37.525163")</f>
        <v>55.35637, 37.525163</v>
      </c>
      <c r="O352" t="s">
        <v>990</v>
      </c>
      <c r="P352" t="s">
        <v>554</v>
      </c>
      <c r="Q352" s="7" t="str">
        <f>HYPERLINK("D:\torgi_project\venv_torgi\cache\objs_in_district/55.35637_37.525163.json", "55.35637_37.525163.json")</f>
        <v>55.35637_37.525163.json</v>
      </c>
      <c r="R352">
        <v>4239</v>
      </c>
      <c r="S352" s="6">
        <v>16.37</v>
      </c>
    </row>
    <row r="353" spans="1:19">
      <c r="A353" s="4"/>
      <c r="B353" t="s">
        <v>118</v>
      </c>
      <c r="C353" s="1">
        <v>104.2</v>
      </c>
      <c r="D353" s="2" t="str">
        <f>HYPERLINK("https://torgi.gov.ru/new/public/lots/lot/21000013200000000031_1/(lotInfo:info)", "21000013200000000031_1")</f>
        <v>21000013200000000031_1</v>
      </c>
      <c r="E353" t="s">
        <v>119</v>
      </c>
      <c r="F353" s="3">
        <v>50717.297504798473</v>
      </c>
      <c r="G353" s="3">
        <v>5284742.4000000004</v>
      </c>
      <c r="H353" t="s">
        <v>120</v>
      </c>
      <c r="I353" t="s">
        <v>121</v>
      </c>
      <c r="J353" t="s">
        <v>122</v>
      </c>
      <c r="K353" s="6">
        <v>26.33</v>
      </c>
      <c r="L353" t="s">
        <v>23</v>
      </c>
      <c r="M353" t="s">
        <v>35</v>
      </c>
      <c r="N353" s="2" t="str">
        <f>HYPERLINK("https://yandex.ru/maps/?&amp;text=42.982006, 47.500378", "42.982006, 47.500378")</f>
        <v>42.982006, 47.500378</v>
      </c>
      <c r="O353" t="s">
        <v>123</v>
      </c>
      <c r="P353" t="s">
        <v>124</v>
      </c>
      <c r="Q353" s="7" t="str">
        <f>HYPERLINK("D:\torgi_project\venv_torgi\cache\objs_in_district/42.982006_47.500378.json", "42.982006_47.500378.json")</f>
        <v>42.982006_47.500378.json</v>
      </c>
      <c r="R353">
        <v>6795</v>
      </c>
      <c r="S353" s="6">
        <v>7.46</v>
      </c>
    </row>
    <row r="354" spans="1:19">
      <c r="A354" s="4"/>
      <c r="B354" t="s">
        <v>1711</v>
      </c>
      <c r="C354" s="1">
        <v>31.9</v>
      </c>
      <c r="D354" s="2" t="str">
        <f>HYPERLINK("https://torgi.gov.ru/new/public/lots/lot/21000002210000000383_1/(lotInfo:info)", "21000002210000000383_1")</f>
        <v>21000002210000000383_1</v>
      </c>
      <c r="E354" t="s">
        <v>1847</v>
      </c>
      <c r="F354" s="3">
        <v>169278.99686520381</v>
      </c>
      <c r="G354" s="3">
        <v>5400000</v>
      </c>
      <c r="H354" t="s">
        <v>1848</v>
      </c>
      <c r="I354" t="s">
        <v>1849</v>
      </c>
      <c r="J354" t="s">
        <v>1850</v>
      </c>
      <c r="K354" s="6">
        <v>26.39</v>
      </c>
      <c r="L354" t="s">
        <v>23</v>
      </c>
      <c r="M354" t="s">
        <v>24</v>
      </c>
      <c r="N354" s="2" t="str">
        <f>HYPERLINK("https://yandex.ru/maps/?&amp;text=59.928176, 30.326082", "59.928176, 30.326082")</f>
        <v>59.928176, 30.326082</v>
      </c>
      <c r="O354" t="s">
        <v>1851</v>
      </c>
      <c r="P354" t="s">
        <v>1852</v>
      </c>
      <c r="Q354" s="7" t="str">
        <f>HYPERLINK("D:\torgi_project\venv_torgi\cache\objs_in_district/59.928176_30.326082.json", "59.928176_30.326082.json")</f>
        <v>59.928176_30.326082.json</v>
      </c>
      <c r="R354">
        <v>9189</v>
      </c>
      <c r="S354" s="6">
        <v>18.420000000000002</v>
      </c>
    </row>
    <row r="355" spans="1:19">
      <c r="A355" s="4"/>
      <c r="B355" t="s">
        <v>1130</v>
      </c>
      <c r="C355" s="1">
        <v>123.3</v>
      </c>
      <c r="D355" s="2" t="str">
        <f>HYPERLINK("https://torgi.gov.ru/new/public/lots/lot/21000000900000000002_7/(lotInfo:info)", "21000000900000000002_7")</f>
        <v>21000000900000000002_7</v>
      </c>
      <c r="E355" t="s">
        <v>1330</v>
      </c>
      <c r="F355" s="3">
        <v>13285.79375506894</v>
      </c>
      <c r="G355" s="3">
        <v>1638138.37</v>
      </c>
      <c r="H355" t="s">
        <v>1331</v>
      </c>
      <c r="I355" t="s">
        <v>1332</v>
      </c>
      <c r="J355" t="s">
        <v>1333</v>
      </c>
      <c r="K355" s="6">
        <v>26.84</v>
      </c>
      <c r="L355" t="s">
        <v>23</v>
      </c>
      <c r="M355" t="s">
        <v>24</v>
      </c>
      <c r="N355" s="2" t="str">
        <f>HYPERLINK("https://yandex.ru/maps/?&amp;text=57.245434, 60.087276", "57.245434, 60.087276")</f>
        <v>57.245434, 60.087276</v>
      </c>
      <c r="O355" t="s">
        <v>1334</v>
      </c>
      <c r="P355" t="s">
        <v>216</v>
      </c>
      <c r="Q355" s="7" t="str">
        <f>HYPERLINK("D:\torgi_project\venv_torgi\cache\objs_in_district/57.245434_60.087276.json", "57.245434_60.087276.json")</f>
        <v>57.245434_60.087276.json</v>
      </c>
      <c r="R355">
        <v>3115</v>
      </c>
      <c r="S355" s="6">
        <v>4.2699999999999996</v>
      </c>
    </row>
    <row r="356" spans="1:19">
      <c r="A356" s="4"/>
      <c r="B356" t="s">
        <v>508</v>
      </c>
      <c r="C356" s="1">
        <v>11.5</v>
      </c>
      <c r="D356" s="2" t="str">
        <f>HYPERLINK("https://torgi.gov.ru/new/public/lots/lot/21000012310000000004_2/(lotInfo:info)", "21000012310000000004_2")</f>
        <v>21000012310000000004_2</v>
      </c>
      <c r="E356" t="s">
        <v>1245</v>
      </c>
      <c r="F356" s="3">
        <v>176956.5217391304</v>
      </c>
      <c r="G356" s="3">
        <v>2035000</v>
      </c>
      <c r="H356" t="s">
        <v>1246</v>
      </c>
      <c r="I356" t="s">
        <v>1234</v>
      </c>
      <c r="J356" t="s">
        <v>1247</v>
      </c>
      <c r="K356" s="6">
        <v>26.95</v>
      </c>
      <c r="L356" t="s">
        <v>23</v>
      </c>
      <c r="M356" t="s">
        <v>24</v>
      </c>
      <c r="N356" s="2" t="str">
        <f>HYPERLINK("https://yandex.ru/maps/?&amp;text=58.01732, 56.242406", "58.01732, 56.242406")</f>
        <v>58.01732, 56.242406</v>
      </c>
      <c r="O356" t="s">
        <v>1248</v>
      </c>
      <c r="P356" t="s">
        <v>92</v>
      </c>
      <c r="Q356" s="7" t="str">
        <f>HYPERLINK("D:\torgi_project\venv_torgi\cache\objs_in_district/58.01732_56.242406.json", "58.01732_56.242406.json")</f>
        <v>58.01732_56.242406.json</v>
      </c>
      <c r="R356">
        <v>551</v>
      </c>
      <c r="S356" s="6">
        <v>321.16000000000003</v>
      </c>
    </row>
    <row r="357" spans="1:19">
      <c r="A357" s="4"/>
      <c r="B357" t="s">
        <v>1526</v>
      </c>
      <c r="C357" s="1">
        <v>44.3</v>
      </c>
      <c r="D357" s="2" t="str">
        <f>HYPERLINK("https://torgi.gov.ru/new/public/lots/lot/21000005000000001935_1/(lotInfo:info)", "21000005000000001935_1")</f>
        <v>21000005000000001935_1</v>
      </c>
      <c r="E357" t="s">
        <v>1547</v>
      </c>
      <c r="F357" s="3">
        <v>211559.8194130926</v>
      </c>
      <c r="G357" s="3">
        <v>9372100</v>
      </c>
      <c r="H357" t="s">
        <v>1552</v>
      </c>
      <c r="I357" t="s">
        <v>1544</v>
      </c>
      <c r="J357" t="s">
        <v>1553</v>
      </c>
      <c r="K357" s="6">
        <v>27.39</v>
      </c>
      <c r="L357" t="s">
        <v>23</v>
      </c>
      <c r="M357" t="s">
        <v>24</v>
      </c>
      <c r="N357" s="2" t="str">
        <f>HYPERLINK("https://yandex.ru/maps/?&amp;text=55.772578, 37.591027", "55.772578, 37.591027")</f>
        <v>55.772578, 37.591027</v>
      </c>
      <c r="O357" t="s">
        <v>1554</v>
      </c>
      <c r="P357" t="s">
        <v>1555</v>
      </c>
      <c r="Q357" s="7" t="str">
        <f>HYPERLINK("D:\torgi_project\venv_torgi\cache\objs_in_district/55.772578_37.591027.json", "55.772578_37.591027.json")</f>
        <v>55.772578_37.591027.json</v>
      </c>
      <c r="R357">
        <v>8231</v>
      </c>
      <c r="S357" s="6">
        <v>25.7</v>
      </c>
    </row>
    <row r="358" spans="1:19">
      <c r="A358" s="4"/>
      <c r="B358" t="s">
        <v>1711</v>
      </c>
      <c r="C358" s="1">
        <v>25.4</v>
      </c>
      <c r="D358" s="2" t="str">
        <f>HYPERLINK("https://torgi.gov.ru/new/public/lots/lot/21000002210000000716_1/(lotInfo:info)", "21000002210000000716_1")</f>
        <v>21000002210000000716_1</v>
      </c>
      <c r="E358" t="s">
        <v>1718</v>
      </c>
      <c r="F358" s="3">
        <v>143700.78740157481</v>
      </c>
      <c r="G358" s="3">
        <v>3650000</v>
      </c>
      <c r="H358" t="s">
        <v>1719</v>
      </c>
      <c r="I358" t="s">
        <v>471</v>
      </c>
      <c r="J358" t="s">
        <v>1720</v>
      </c>
      <c r="K358" s="6">
        <v>28.31</v>
      </c>
      <c r="L358" t="s">
        <v>23</v>
      </c>
      <c r="M358" t="s">
        <v>24</v>
      </c>
      <c r="N358" s="2" t="str">
        <f>HYPERLINK("https://yandex.ru/maps/?&amp;text=59.932103, 30.345369", "59.932103, 30.345369")</f>
        <v>59.932103, 30.345369</v>
      </c>
      <c r="O358" t="s">
        <v>1721</v>
      </c>
      <c r="P358" t="s">
        <v>1722</v>
      </c>
      <c r="Q358" s="7" t="str">
        <f>HYPERLINK("D:\torgi_project\venv_torgi\cache\objs_in_district/59.932103_30.345369.json", "59.932103_30.345369.json")</f>
        <v>59.932103_30.345369.json</v>
      </c>
      <c r="R358">
        <v>15557</v>
      </c>
      <c r="S358" s="6">
        <v>9.24</v>
      </c>
    </row>
    <row r="359" spans="1:19">
      <c r="A359" s="4"/>
      <c r="B359" t="s">
        <v>1526</v>
      </c>
      <c r="C359" s="1">
        <v>16</v>
      </c>
      <c r="D359" s="2" t="str">
        <f>HYPERLINK("https://torgi.gov.ru/new/public/lots/lot/21000005000000000228_1/(lotInfo:info)", "21000005000000000228_1")</f>
        <v>21000005000000000228_1</v>
      </c>
      <c r="E359" t="s">
        <v>1631</v>
      </c>
      <c r="F359" s="3">
        <v>324225</v>
      </c>
      <c r="G359" s="3">
        <v>5187600</v>
      </c>
      <c r="H359" t="s">
        <v>1670</v>
      </c>
      <c r="I359" t="s">
        <v>1671</v>
      </c>
      <c r="J359" t="s">
        <v>1672</v>
      </c>
      <c r="K359" s="6">
        <v>29.07</v>
      </c>
      <c r="L359" t="s">
        <v>23</v>
      </c>
      <c r="M359" t="s">
        <v>24</v>
      </c>
      <c r="N359" s="2" t="str">
        <f>HYPERLINK("https://yandex.ru/maps/?&amp;text=55.606945, 37.72538", "55.606945, 37.72538")</f>
        <v>55.606945, 37.72538</v>
      </c>
      <c r="O359" t="s">
        <v>1673</v>
      </c>
      <c r="P359" t="s">
        <v>1674</v>
      </c>
      <c r="Q359" s="7" t="str">
        <f>HYPERLINK("D:\torgi_project\venv_torgi\cache\objs_in_district/55.606945_37.72538.json", "55.606945_37.72538.json")</f>
        <v>55.606945_37.72538.json</v>
      </c>
      <c r="R359">
        <v>20809</v>
      </c>
      <c r="S359" s="6">
        <v>15.58</v>
      </c>
    </row>
    <row r="360" spans="1:19">
      <c r="A360" s="4"/>
      <c r="B360" t="s">
        <v>1711</v>
      </c>
      <c r="C360" s="1">
        <v>79.7</v>
      </c>
      <c r="D360" s="2" t="str">
        <f>HYPERLINK("https://torgi.gov.ru/new/public/lots/lot/21000002210000000061_1/(lotInfo:info)", "21000002210000000061_1")</f>
        <v>21000002210000000061_1</v>
      </c>
      <c r="E360" t="s">
        <v>1843</v>
      </c>
      <c r="F360" s="3">
        <v>97867.001254705145</v>
      </c>
      <c r="G360" s="3">
        <v>7800000</v>
      </c>
      <c r="H360" t="s">
        <v>1980</v>
      </c>
      <c r="I360" t="s">
        <v>1981</v>
      </c>
      <c r="J360" t="s">
        <v>1982</v>
      </c>
      <c r="K360" s="6">
        <v>29.95</v>
      </c>
      <c r="L360" t="s">
        <v>23</v>
      </c>
      <c r="M360" t="s">
        <v>24</v>
      </c>
      <c r="N360" s="2" t="str">
        <f>HYPERLINK("https://yandex.ru/maps/?&amp;text=59.908678, 30.275938", "59.908678, 30.275938")</f>
        <v>59.908678, 30.275938</v>
      </c>
      <c r="O360" t="s">
        <v>1983</v>
      </c>
      <c r="P360" t="s">
        <v>1579</v>
      </c>
      <c r="Q360" s="7" t="str">
        <f>HYPERLINK("D:\torgi_project\venv_torgi\cache\objs_in_district/59.908678_30.275938.json", "59.908678_30.275938.json")</f>
        <v>59.908678_30.275938.json</v>
      </c>
      <c r="R360">
        <v>5358</v>
      </c>
      <c r="S360" s="6">
        <v>18.27</v>
      </c>
    </row>
    <row r="361" spans="1:19">
      <c r="A361" s="4"/>
      <c r="B361" t="s">
        <v>1526</v>
      </c>
      <c r="C361" s="1">
        <v>35.299999999999997</v>
      </c>
      <c r="D361" s="2" t="str">
        <f>HYPERLINK("https://torgi.gov.ru/new/public/lots/lot/21000005000000000826_1/(lotInfo:info)", "21000005000000000826_1")</f>
        <v>21000005000000000826_1</v>
      </c>
      <c r="E361" t="s">
        <v>1627</v>
      </c>
      <c r="F361" s="3">
        <v>194260.62322946181</v>
      </c>
      <c r="G361" s="3">
        <v>6857400</v>
      </c>
      <c r="H361" t="s">
        <v>1628</v>
      </c>
      <c r="I361" t="s">
        <v>76</v>
      </c>
      <c r="J361" t="s">
        <v>1629</v>
      </c>
      <c r="K361" s="6">
        <v>30.18</v>
      </c>
      <c r="L361" t="s">
        <v>23</v>
      </c>
      <c r="M361" t="s">
        <v>24</v>
      </c>
      <c r="N361" s="2" t="str">
        <f>HYPERLINK("https://yandex.ru/maps/?&amp;text=55.721503, 37.672334", "55.721503, 37.672334")</f>
        <v>55.721503, 37.672334</v>
      </c>
      <c r="O361" t="s">
        <v>1630</v>
      </c>
      <c r="P361" t="s">
        <v>415</v>
      </c>
      <c r="Q361" s="7" t="str">
        <f>HYPERLINK("D:\torgi_project\venv_torgi\cache\objs_in_district/55.721503_37.672334.json", "55.721503_37.672334.json")</f>
        <v>55.721503_37.672334.json</v>
      </c>
      <c r="R361">
        <v>12326</v>
      </c>
      <c r="S361" s="6">
        <v>15.76</v>
      </c>
    </row>
    <row r="362" spans="1:19">
      <c r="A362" s="4"/>
      <c r="B362" t="s">
        <v>488</v>
      </c>
      <c r="C362" s="1">
        <v>18.2</v>
      </c>
      <c r="D362" s="2" t="str">
        <f>HYPERLINK("https://torgi.gov.ru/new/public/lots/lot/21000004710000000239_1/(lotInfo:info)", "21000004710000000239_1")</f>
        <v>21000004710000000239_1</v>
      </c>
      <c r="E362" t="s">
        <v>976</v>
      </c>
      <c r="F362" s="3">
        <v>85853.956043956045</v>
      </c>
      <c r="G362" s="3">
        <v>1562542</v>
      </c>
      <c r="H362" t="s">
        <v>977</v>
      </c>
      <c r="I362" t="s">
        <v>978</v>
      </c>
      <c r="J362" t="s">
        <v>979</v>
      </c>
      <c r="K362" s="6">
        <v>30.39</v>
      </c>
      <c r="L362" t="s">
        <v>23</v>
      </c>
      <c r="M362" t="s">
        <v>24</v>
      </c>
      <c r="N362" s="2" t="str">
        <f>HYPERLINK("https://yandex.ru/maps/?&amp;text=55.928658,  37.800766", "55.928658,  37.800766")</f>
        <v>55.928658,  37.800766</v>
      </c>
      <c r="O362" t="s">
        <v>980</v>
      </c>
      <c r="P362" t="s">
        <v>67</v>
      </c>
      <c r="Q362" s="7" t="str">
        <f>HYPERLINK("D:\torgi_project\venv_torgi\cache\objs_in_district/55.928658_37.800766.json", "55.928658_37.800766.json")</f>
        <v>55.928658_37.800766.json</v>
      </c>
      <c r="R362">
        <v>3196</v>
      </c>
      <c r="S362" s="6">
        <v>26.86</v>
      </c>
    </row>
    <row r="363" spans="1:19">
      <c r="A363" s="4"/>
      <c r="B363" t="s">
        <v>61</v>
      </c>
      <c r="C363" s="1">
        <v>239.1</v>
      </c>
      <c r="D363" s="2" t="str">
        <f>HYPERLINK("https://torgi.gov.ru/new/public/lots/lot/21000007300000000003_1/(lotInfo:info)", "21000007300000000003_1")</f>
        <v>21000007300000000003_1</v>
      </c>
      <c r="E363" t="s">
        <v>703</v>
      </c>
      <c r="F363" s="3">
        <v>18090.33877038896</v>
      </c>
      <c r="G363" s="3">
        <v>4325400</v>
      </c>
      <c r="H363" t="s">
        <v>704</v>
      </c>
      <c r="I363" t="s">
        <v>705</v>
      </c>
      <c r="J363" t="s">
        <v>706</v>
      </c>
      <c r="K363" s="6">
        <v>31.24</v>
      </c>
      <c r="L363" t="s">
        <v>23</v>
      </c>
      <c r="M363" t="s">
        <v>24</v>
      </c>
      <c r="N363" s="2" t="str">
        <f>HYPERLINK("https://yandex.ru/maps/?&amp;text=56.850697, 41.369038", "56.850697, 41.369038")</f>
        <v>56.850697, 41.369038</v>
      </c>
      <c r="O363" t="s">
        <v>707</v>
      </c>
      <c r="P363" t="s">
        <v>125</v>
      </c>
      <c r="Q363" s="7" t="str">
        <f>HYPERLINK("D:\torgi_project\venv_torgi\cache\objs_in_district/56.850697_41.369038.json", "56.850697_41.369038.json")</f>
        <v>56.850697_41.369038.json</v>
      </c>
      <c r="R363">
        <v>1644</v>
      </c>
      <c r="S363" s="6">
        <v>11</v>
      </c>
    </row>
    <row r="364" spans="1:19">
      <c r="A364" s="4"/>
      <c r="B364" t="s">
        <v>37</v>
      </c>
      <c r="C364" s="1">
        <v>211.66</v>
      </c>
      <c r="D364" s="2" t="str">
        <f>HYPERLINK("https://torgi.gov.ru/new/public/lots/lot/22000065910000000001_1/(lotInfo:info)", "22000065910000000001_1")</f>
        <v>22000065910000000001_1</v>
      </c>
      <c r="E364" t="s">
        <v>173</v>
      </c>
      <c r="F364" s="3">
        <v>8858.5467258811295</v>
      </c>
      <c r="G364" s="3">
        <v>1875000</v>
      </c>
      <c r="H364" t="s">
        <v>174</v>
      </c>
      <c r="I364" t="s">
        <v>175</v>
      </c>
      <c r="J364" t="s">
        <v>176</v>
      </c>
      <c r="K364" s="6">
        <v>31.41</v>
      </c>
      <c r="L364" t="s">
        <v>23</v>
      </c>
      <c r="M364" t="s">
        <v>24</v>
      </c>
      <c r="N364" s="2" t="str">
        <f>HYPERLINK("https://yandex.ru/maps/?&amp;text=56.671281, 47.824294", "56.671281, 47.824294")</f>
        <v>56.671281, 47.824294</v>
      </c>
      <c r="O364" t="s">
        <v>177</v>
      </c>
      <c r="P364" t="s">
        <v>79</v>
      </c>
      <c r="Q364" s="7" t="str">
        <f>HYPERLINK("D:\torgi_project\venv_torgi\cache\objs_in_district/56.671281_47.824294.json", "56.671281_47.824294.json")</f>
        <v>56.671281_47.824294.json</v>
      </c>
      <c r="R364">
        <v>284</v>
      </c>
      <c r="S364" s="6">
        <v>31.19</v>
      </c>
    </row>
    <row r="365" spans="1:19">
      <c r="A365" s="4"/>
      <c r="B365" t="s">
        <v>1711</v>
      </c>
      <c r="C365" s="1">
        <v>20.100000000000001</v>
      </c>
      <c r="D365" s="2" t="str">
        <f>HYPERLINK("https://torgi.gov.ru/new/public/lots/lot/21000002210000000342_1/(lotInfo:info)", "21000002210000000342_1")</f>
        <v>21000002210000000342_1</v>
      </c>
      <c r="E365" t="s">
        <v>1756</v>
      </c>
      <c r="F365" s="3">
        <v>142786.0696517413</v>
      </c>
      <c r="G365" s="3">
        <v>2870000</v>
      </c>
      <c r="H365" t="s">
        <v>1866</v>
      </c>
      <c r="I365" t="s">
        <v>1860</v>
      </c>
      <c r="J365" t="s">
        <v>1867</v>
      </c>
      <c r="K365" s="6">
        <v>31.78</v>
      </c>
      <c r="L365" t="s">
        <v>23</v>
      </c>
      <c r="M365" t="s">
        <v>24</v>
      </c>
      <c r="N365" s="2" t="str">
        <f>HYPERLINK("https://yandex.ru/maps/?&amp;text=59.83049, 30.402933", "59.83049, 30.402933")</f>
        <v>59.83049, 30.402933</v>
      </c>
      <c r="O365" t="s">
        <v>1868</v>
      </c>
      <c r="P365" t="s">
        <v>1869</v>
      </c>
      <c r="Q365" s="7" t="str">
        <f>HYPERLINK("D:\torgi_project\venv_torgi\cache\objs_in_district/59.83049_30.402933.json", "59.83049_30.402933.json")</f>
        <v>59.83049_30.402933.json</v>
      </c>
      <c r="R365">
        <v>9852</v>
      </c>
      <c r="S365" s="6">
        <v>14.49</v>
      </c>
    </row>
    <row r="366" spans="1:19">
      <c r="A366" s="4"/>
      <c r="B366" t="s">
        <v>1711</v>
      </c>
      <c r="C366" s="1">
        <v>26.1</v>
      </c>
      <c r="D366" s="2" t="str">
        <f>HYPERLINK("https://torgi.gov.ru/new/public/lots/lot/21000002210000000041_1/(lotInfo:info)", "21000002210000000041_1")</f>
        <v>21000002210000000041_1</v>
      </c>
      <c r="E366" t="s">
        <v>1839</v>
      </c>
      <c r="F366" s="3">
        <v>111034.4827586207</v>
      </c>
      <c r="G366" s="3">
        <v>2898000</v>
      </c>
      <c r="H366" t="s">
        <v>1997</v>
      </c>
      <c r="I366" t="s">
        <v>1990</v>
      </c>
      <c r="J366" t="s">
        <v>1998</v>
      </c>
      <c r="K366" s="6">
        <v>32.020000000000003</v>
      </c>
      <c r="L366" t="s">
        <v>23</v>
      </c>
      <c r="M366" t="s">
        <v>24</v>
      </c>
      <c r="N366" s="2" t="str">
        <f>HYPERLINK("https://yandex.ru/maps/?&amp;text=59.7308532, 30.5769343", "59.7308532, 30.5769343")</f>
        <v>59.7308532, 30.5769343</v>
      </c>
      <c r="O366" t="s">
        <v>1999</v>
      </c>
      <c r="P366" t="s">
        <v>247</v>
      </c>
      <c r="Q366" s="7" t="str">
        <f>HYPERLINK("D:\torgi_project\venv_torgi\cache\objs_in_district/59.7308532_30.5769343.json", "59.7308532_30.5769343.json")</f>
        <v>59.7308532_30.5769343.json</v>
      </c>
      <c r="R366">
        <v>1330</v>
      </c>
      <c r="S366" s="6">
        <v>83.48</v>
      </c>
    </row>
    <row r="367" spans="1:19">
      <c r="A367" s="4"/>
      <c r="B367" t="s">
        <v>1711</v>
      </c>
      <c r="C367" s="1">
        <v>14.1</v>
      </c>
      <c r="D367" s="2" t="str">
        <f>HYPERLINK("https://torgi.gov.ru/new/public/lots/lot/21000002210000000029_1/(lotInfo:info)", "21000002210000000029_1")</f>
        <v>21000002210000000029_1</v>
      </c>
      <c r="E367" t="s">
        <v>1756</v>
      </c>
      <c r="F367" s="3">
        <v>256028.3687943262</v>
      </c>
      <c r="G367" s="3">
        <v>3610000</v>
      </c>
      <c r="H367" t="s">
        <v>2010</v>
      </c>
      <c r="I367" t="s">
        <v>2007</v>
      </c>
      <c r="J367" t="s">
        <v>2011</v>
      </c>
      <c r="K367" s="6">
        <v>32.25</v>
      </c>
      <c r="L367" t="s">
        <v>23</v>
      </c>
      <c r="M367" t="s">
        <v>24</v>
      </c>
      <c r="N367" s="2" t="str">
        <f>HYPERLINK("https://yandex.ru/maps/?&amp;text=59.872493, 30.26594", "59.872493, 30.26594")</f>
        <v>59.872493, 30.26594</v>
      </c>
      <c r="O367" t="s">
        <v>2012</v>
      </c>
      <c r="P367" t="s">
        <v>387</v>
      </c>
      <c r="Q367" s="7" t="str">
        <f>HYPERLINK("D:\torgi_project\venv_torgi\cache\objs_in_district/59.872493_30.26594.json", "59.872493_30.26594.json")</f>
        <v>59.872493_30.26594.json</v>
      </c>
      <c r="R367">
        <v>2386</v>
      </c>
      <c r="S367" s="6">
        <v>107.3</v>
      </c>
    </row>
    <row r="368" spans="1:19">
      <c r="A368" s="4"/>
      <c r="B368" t="s">
        <v>784</v>
      </c>
      <c r="C368" s="1">
        <v>493.1</v>
      </c>
      <c r="D368" s="2" t="str">
        <f>HYPERLINK("https://torgi.gov.ru/new/public/lots/lot/21000000010000000003_12/(lotInfo:info)", "21000000010000000003_12")</f>
        <v>21000000010000000003_12</v>
      </c>
      <c r="E368" t="s">
        <v>823</v>
      </c>
      <c r="F368" s="3">
        <v>14911.37700263638</v>
      </c>
      <c r="G368" s="3">
        <v>7352800</v>
      </c>
      <c r="H368" t="s">
        <v>824</v>
      </c>
      <c r="I368" t="s">
        <v>820</v>
      </c>
      <c r="J368" t="s">
        <v>825</v>
      </c>
      <c r="K368" s="6">
        <v>32.28</v>
      </c>
      <c r="L368" t="s">
        <v>23</v>
      </c>
      <c r="M368" t="s">
        <v>24</v>
      </c>
      <c r="N368" s="2" t="str">
        <f>HYPERLINK("https://yandex.ru/maps/?&amp;text=55.41167, 86.05477", "55.41167, 86.05477")</f>
        <v>55.41167, 86.05477</v>
      </c>
      <c r="O368" t="s">
        <v>826</v>
      </c>
      <c r="P368" t="s">
        <v>189</v>
      </c>
      <c r="Q368" s="7" t="str">
        <f>HYPERLINK("D:\torgi_project\venv_torgi\cache\objs_in_district/55.41167_86.05477.json", "55.41167_86.05477.json")</f>
        <v>55.41167_86.05477.json</v>
      </c>
      <c r="R368">
        <v>1274</v>
      </c>
      <c r="S368" s="6">
        <v>11.7</v>
      </c>
    </row>
    <row r="369" spans="1:19">
      <c r="A369" s="4"/>
      <c r="B369" t="s">
        <v>784</v>
      </c>
      <c r="C369" s="1">
        <v>321.89999999999998</v>
      </c>
      <c r="D369" s="2" t="str">
        <f>HYPERLINK("https://torgi.gov.ru/new/public/lots/lot/21000000010000000003_10/(lotInfo:info)", "21000000010000000003_10")</f>
        <v>21000000010000000003_10</v>
      </c>
      <c r="E369" t="s">
        <v>827</v>
      </c>
      <c r="F369" s="3">
        <v>6691.2084498291397</v>
      </c>
      <c r="G369" s="3">
        <v>2153900</v>
      </c>
      <c r="H369" t="s">
        <v>828</v>
      </c>
      <c r="I369" t="s">
        <v>820</v>
      </c>
      <c r="J369" t="s">
        <v>829</v>
      </c>
      <c r="K369" s="6">
        <v>32.32</v>
      </c>
      <c r="L369" t="s">
        <v>23</v>
      </c>
      <c r="M369" t="s">
        <v>24</v>
      </c>
      <c r="N369" s="2" t="str">
        <f>HYPERLINK("https://yandex.ru/maps/?&amp;text=54.004427, 86.638467", "54.004427, 86.638467")</f>
        <v>54.004427, 86.638467</v>
      </c>
      <c r="O369" t="s">
        <v>830</v>
      </c>
      <c r="P369" t="s">
        <v>216</v>
      </c>
      <c r="Q369" s="7" t="str">
        <f>HYPERLINK("D:\torgi_project\venv_torgi\cache\objs_in_district/54.004427_86.638467.json", "54.004427_86.638467.json")</f>
        <v>54.004427_86.638467.json</v>
      </c>
      <c r="R369">
        <v>1072</v>
      </c>
      <c r="S369" s="6">
        <v>6.24</v>
      </c>
    </row>
    <row r="370" spans="1:19">
      <c r="A370" s="4"/>
      <c r="B370" t="s">
        <v>241</v>
      </c>
      <c r="C370" s="1">
        <v>44.3</v>
      </c>
      <c r="D370" s="2" t="str">
        <f>HYPERLINK("https://torgi.gov.ru/new/public/lots/lot/22000053090000000003_2/(lotInfo:info)", "22000053090000000003_2")</f>
        <v>22000053090000000003_2</v>
      </c>
      <c r="E370" t="s">
        <v>268</v>
      </c>
      <c r="F370" s="3">
        <v>15745.64334085779</v>
      </c>
      <c r="G370" s="3">
        <v>697532</v>
      </c>
      <c r="H370" t="s">
        <v>269</v>
      </c>
      <c r="I370" t="s">
        <v>270</v>
      </c>
      <c r="J370" t="s">
        <v>271</v>
      </c>
      <c r="K370" s="6">
        <v>32.33</v>
      </c>
      <c r="L370" t="s">
        <v>23</v>
      </c>
      <c r="M370" t="s">
        <v>24</v>
      </c>
      <c r="N370" s="2" t="str">
        <f>HYPERLINK("https://yandex.ru/maps/?&amp;text=55.51748, 47.495303", "55.51748, 47.495303")</f>
        <v>55.51748, 47.495303</v>
      </c>
      <c r="O370" t="s">
        <v>272</v>
      </c>
      <c r="P370" t="s">
        <v>209</v>
      </c>
      <c r="Q370" s="7" t="str">
        <f>HYPERLINK("D:\torgi_project\venv_torgi\cache\objs_in_district/55.51748_47.495303.json", "55.51748_47.495303.json")</f>
        <v>55.51748_47.495303.json</v>
      </c>
      <c r="R370">
        <v>2190</v>
      </c>
      <c r="S370" s="6">
        <v>7.19</v>
      </c>
    </row>
    <row r="371" spans="1:19">
      <c r="A371" s="4"/>
      <c r="B371" t="s">
        <v>92</v>
      </c>
      <c r="C371" s="1">
        <v>84.2</v>
      </c>
      <c r="D371" s="2" t="str">
        <f>HYPERLINK("https://torgi.gov.ru/new/public/lots/lot/21000024540000000002_1/(lotInfo:info)", "21000024540000000002_1")</f>
        <v>21000024540000000002_1</v>
      </c>
      <c r="E371" t="s">
        <v>887</v>
      </c>
      <c r="F371" s="3">
        <v>34354.829572446557</v>
      </c>
      <c r="G371" s="3">
        <v>2892676.65</v>
      </c>
      <c r="H371" t="s">
        <v>888</v>
      </c>
      <c r="I371" t="s">
        <v>889</v>
      </c>
      <c r="J371" t="s">
        <v>890</v>
      </c>
      <c r="K371" s="6">
        <v>32.659999999999997</v>
      </c>
      <c r="L371" t="s">
        <v>23</v>
      </c>
      <c r="M371" t="s">
        <v>24</v>
      </c>
      <c r="N371" s="2" t="str">
        <f>HYPERLINK("https://yandex.ru/maps/?&amp;text=58.380085,  45.515165", "58.380085,  45.515165")</f>
        <v>58.380085,  45.515165</v>
      </c>
      <c r="O371" t="s">
        <v>891</v>
      </c>
      <c r="P371" t="s">
        <v>241</v>
      </c>
      <c r="Q371" s="7" t="str">
        <f>HYPERLINK("D:\torgi_project\venv_torgi\cache\objs_in_district/58.380085_45.515165.json", "58.380085_45.515165.json")</f>
        <v>58.380085_45.515165.json</v>
      </c>
      <c r="R371">
        <v>1073</v>
      </c>
      <c r="S371" s="6">
        <v>32.020000000000003</v>
      </c>
    </row>
    <row r="372" spans="1:19">
      <c r="A372" s="4"/>
      <c r="B372" t="s">
        <v>1711</v>
      </c>
      <c r="C372" s="1">
        <v>28</v>
      </c>
      <c r="D372" s="2" t="str">
        <f>HYPERLINK("https://torgi.gov.ru/new/public/lots/lot/21000002210000000124_1/(lotInfo:info)", "21000002210000000124_1")</f>
        <v>21000002210000000124_1</v>
      </c>
      <c r="E372" t="s">
        <v>1743</v>
      </c>
      <c r="F372" s="3">
        <v>160714.28571428571</v>
      </c>
      <c r="G372" s="3">
        <v>4500000</v>
      </c>
      <c r="H372" t="s">
        <v>1940</v>
      </c>
      <c r="I372" t="s">
        <v>1941</v>
      </c>
      <c r="J372" t="s">
        <v>1942</v>
      </c>
      <c r="K372" s="6">
        <v>32.950000000000003</v>
      </c>
      <c r="L372" t="s">
        <v>23</v>
      </c>
      <c r="M372" t="s">
        <v>24</v>
      </c>
      <c r="N372" s="2" t="str">
        <f>HYPERLINK("https://yandex.ru/maps/?&amp;text=59.939, 30.323234", "59.939, 30.323234")</f>
        <v>59.939, 30.323234</v>
      </c>
      <c r="O372" t="s">
        <v>1943</v>
      </c>
      <c r="P372" t="s">
        <v>1944</v>
      </c>
      <c r="Q372" s="7" t="str">
        <f>HYPERLINK("D:\torgi_project\venv_torgi\cache\objs_in_district/59.939_30.323234.json", "59.939_30.323234.json")</f>
        <v>59.939_30.323234.json</v>
      </c>
      <c r="R372">
        <v>2693</v>
      </c>
      <c r="S372" s="6">
        <v>59.68</v>
      </c>
    </row>
    <row r="373" spans="1:19">
      <c r="A373" s="4"/>
      <c r="B373" t="s">
        <v>1711</v>
      </c>
      <c r="C373" s="1">
        <v>37.9</v>
      </c>
      <c r="D373" s="2" t="str">
        <f>HYPERLINK("https://torgi.gov.ru/new/public/lots/lot/21000002210000000024_1/(lotInfo:info)", "21000002210000000024_1")</f>
        <v>21000002210000000024_1</v>
      </c>
      <c r="E373" t="s">
        <v>2013</v>
      </c>
      <c r="F373" s="3">
        <v>141424.80211081801</v>
      </c>
      <c r="G373" s="3">
        <v>5360000</v>
      </c>
      <c r="H373" t="s">
        <v>2014</v>
      </c>
      <c r="I373" t="s">
        <v>2015</v>
      </c>
      <c r="J373" t="s">
        <v>2016</v>
      </c>
      <c r="K373" s="6">
        <v>32.979999999999997</v>
      </c>
      <c r="L373" t="s">
        <v>23</v>
      </c>
      <c r="M373" t="s">
        <v>24</v>
      </c>
      <c r="N373" s="2" t="str">
        <f>HYPERLINK("https://yandex.ru/maps/?&amp;text=59.928983, 30.351998", "59.928983, 30.351998")</f>
        <v>59.928983, 30.351998</v>
      </c>
      <c r="O373" t="s">
        <v>2017</v>
      </c>
      <c r="P373" t="s">
        <v>2018</v>
      </c>
      <c r="Q373" s="7" t="str">
        <f>HYPERLINK("D:\torgi_project\venv_torgi\cache\objs_in_district/59.928983_30.351998.json", "59.928983_30.351998.json")</f>
        <v>59.928983_30.351998.json</v>
      </c>
      <c r="R373">
        <v>18744</v>
      </c>
      <c r="S373" s="6">
        <v>7.55</v>
      </c>
    </row>
    <row r="374" spans="1:19">
      <c r="A374" s="4"/>
      <c r="B374" t="s">
        <v>1711</v>
      </c>
      <c r="C374" s="1">
        <v>19.5</v>
      </c>
      <c r="D374" s="2" t="str">
        <f>HYPERLINK("https://torgi.gov.ru/new/public/lots/lot/21000002210000000273_1/(lotInfo:info)", "21000002210000000273_1")</f>
        <v>21000002210000000273_1</v>
      </c>
      <c r="E374" t="s">
        <v>1756</v>
      </c>
      <c r="F374" s="3">
        <v>209538.4615384615</v>
      </c>
      <c r="G374" s="3">
        <v>4086000</v>
      </c>
      <c r="H374" t="s">
        <v>1889</v>
      </c>
      <c r="I374" t="s">
        <v>1886</v>
      </c>
      <c r="J374" t="s">
        <v>1890</v>
      </c>
      <c r="K374" s="6">
        <v>33.03</v>
      </c>
      <c r="L374" t="s">
        <v>23</v>
      </c>
      <c r="M374" t="s">
        <v>24</v>
      </c>
      <c r="N374" s="2" t="str">
        <f>HYPERLINK("https://yandex.ru/maps/?&amp;text=59.923836, 30.412355", "59.923836, 30.412355")</f>
        <v>59.923836, 30.412355</v>
      </c>
      <c r="O374" t="s">
        <v>1891</v>
      </c>
      <c r="P374" t="s">
        <v>277</v>
      </c>
      <c r="Q374" s="7" t="str">
        <f>HYPERLINK("D:\torgi_project\venv_torgi\cache\objs_in_district/59.923836_30.412355.json", "59.923836_30.412355.json")</f>
        <v>59.923836_30.412355.json</v>
      </c>
      <c r="R374">
        <v>5746</v>
      </c>
      <c r="S374" s="6">
        <v>36.47</v>
      </c>
    </row>
    <row r="375" spans="1:19">
      <c r="A375" s="4"/>
      <c r="B375" t="s">
        <v>1711</v>
      </c>
      <c r="C375" s="1">
        <v>15.1</v>
      </c>
      <c r="D375" s="2" t="str">
        <f>HYPERLINK("https://torgi.gov.ru/new/public/lots/lot/21000002210000000615_1/(lotInfo:info)", "21000002210000000615_1")</f>
        <v>21000002210000000615_1</v>
      </c>
      <c r="E375" t="s">
        <v>1756</v>
      </c>
      <c r="F375" s="3">
        <v>150993.37748344371</v>
      </c>
      <c r="G375" s="3">
        <v>2280000</v>
      </c>
      <c r="H375" t="s">
        <v>1757</v>
      </c>
      <c r="I375" t="s">
        <v>851</v>
      </c>
      <c r="J375" t="s">
        <v>1758</v>
      </c>
      <c r="K375" s="6">
        <v>33.130000000000003</v>
      </c>
      <c r="L375" t="s">
        <v>23</v>
      </c>
      <c r="M375" t="s">
        <v>24</v>
      </c>
      <c r="N375" s="2" t="str">
        <f>HYPERLINK("https://yandex.ru/maps/?&amp;text=59.956566, 30.359769", "59.956566, 30.359769")</f>
        <v>59.956566, 30.359769</v>
      </c>
      <c r="O375" t="s">
        <v>1759</v>
      </c>
      <c r="P375" t="s">
        <v>1760</v>
      </c>
      <c r="Q375" s="7" t="str">
        <f>HYPERLINK("D:\torgi_project\venv_torgi\cache\objs_in_district/59.956566_30.359769.json", "59.956566_30.359769.json")</f>
        <v>59.956566_30.359769.json</v>
      </c>
      <c r="R375">
        <v>6453</v>
      </c>
      <c r="S375" s="6">
        <v>23.4</v>
      </c>
    </row>
    <row r="376" spans="1:19">
      <c r="A376" s="4"/>
      <c r="B376" t="s">
        <v>1711</v>
      </c>
      <c r="C376" s="1">
        <v>24.2</v>
      </c>
      <c r="D376" s="2" t="str">
        <f>HYPERLINK("https://torgi.gov.ru/new/public/lots/lot/21000002210000000072_1/(lotInfo:info)", "21000002210000000072_1")</f>
        <v>21000002210000000072_1</v>
      </c>
      <c r="E376" t="s">
        <v>1756</v>
      </c>
      <c r="F376" s="3">
        <v>175206.61157024789</v>
      </c>
      <c r="G376" s="3">
        <v>4240000</v>
      </c>
      <c r="H376" t="s">
        <v>1969</v>
      </c>
      <c r="I376" t="s">
        <v>1966</v>
      </c>
      <c r="J376" t="s">
        <v>1970</v>
      </c>
      <c r="K376" s="6">
        <v>33.369999999999997</v>
      </c>
      <c r="L376" t="s">
        <v>23</v>
      </c>
      <c r="M376" t="s">
        <v>24</v>
      </c>
      <c r="N376" s="2" t="str">
        <f>HYPERLINK("https://yandex.ru/maps/?&amp;text=59.847652, 30.205474", "59.847652, 30.205474")</f>
        <v>59.847652, 30.205474</v>
      </c>
      <c r="O376" t="s">
        <v>1971</v>
      </c>
      <c r="P376" t="s">
        <v>1703</v>
      </c>
      <c r="Q376" s="7" t="str">
        <f>HYPERLINK("D:\torgi_project\venv_torgi\cache\objs_in_district/59.847652_30.205474.json", "59.847652_30.205474.json")</f>
        <v>59.847652_30.205474.json</v>
      </c>
      <c r="R376">
        <v>14430</v>
      </c>
      <c r="S376" s="6">
        <v>12.14</v>
      </c>
    </row>
    <row r="377" spans="1:19">
      <c r="A377" s="4"/>
      <c r="B377" t="s">
        <v>73</v>
      </c>
      <c r="C377" s="1">
        <v>449.4</v>
      </c>
      <c r="D377" s="2" t="str">
        <f>HYPERLINK("https://torgi.gov.ru/new/public/lots/lot/22000010840000000002_1/(lotInfo:info)", "22000010840000000002_1")</f>
        <v>22000010840000000002_1</v>
      </c>
      <c r="E377" t="s">
        <v>324</v>
      </c>
      <c r="F377" s="3">
        <v>4533.0440587449939</v>
      </c>
      <c r="G377" s="3">
        <v>2037150</v>
      </c>
      <c r="H377" t="s">
        <v>325</v>
      </c>
      <c r="I377" t="s">
        <v>326</v>
      </c>
      <c r="J377" t="s">
        <v>327</v>
      </c>
      <c r="K377" s="6">
        <v>33.58</v>
      </c>
      <c r="L377" t="s">
        <v>23</v>
      </c>
      <c r="M377" t="s">
        <v>24</v>
      </c>
      <c r="N377" s="2" t="str">
        <f>HYPERLINK("https://yandex.ru/maps/?&amp;text=45.9165001, 40.1523854", "45.9165001, 40.1523854")</f>
        <v>45.9165001, 40.1523854</v>
      </c>
      <c r="O377" t="s">
        <v>328</v>
      </c>
      <c r="P377" t="s">
        <v>49</v>
      </c>
      <c r="Q377" s="7" t="str">
        <f>HYPERLINK("D:\torgi_project\venv_torgi\cache\objs_in_district/45.9165001_40.1523854.json", "45.9165001_40.1523854.json")</f>
        <v>45.9165001_40.1523854.json</v>
      </c>
      <c r="R377">
        <v>911</v>
      </c>
      <c r="S377" s="6">
        <v>4.9800000000000004</v>
      </c>
    </row>
    <row r="378" spans="1:19">
      <c r="A378" s="4"/>
      <c r="B378" t="s">
        <v>125</v>
      </c>
      <c r="C378" s="1">
        <v>15.6</v>
      </c>
      <c r="D378" s="2" t="str">
        <f>HYPERLINK("https://torgi.gov.ru/new/public/lots/lot/22000014990000000001_2/(lotInfo:info)", "22000014990000000001_2")</f>
        <v>22000014990000000001_2</v>
      </c>
      <c r="E378" t="s">
        <v>131</v>
      </c>
      <c r="F378" s="3">
        <v>129861.5384615385</v>
      </c>
      <c r="G378" s="3">
        <v>2025840</v>
      </c>
      <c r="H378" t="s">
        <v>132</v>
      </c>
      <c r="I378" t="s">
        <v>133</v>
      </c>
      <c r="J378" t="s">
        <v>134</v>
      </c>
      <c r="K378" s="6">
        <v>34.32</v>
      </c>
      <c r="L378" t="s">
        <v>23</v>
      </c>
      <c r="M378" t="s">
        <v>24</v>
      </c>
      <c r="N378" s="2" t="str">
        <f>HYPERLINK("https://yandex.ru/maps/?&amp;text=61.701971, 30.690618", "61.701971, 30.690618")</f>
        <v>61.701971, 30.690618</v>
      </c>
      <c r="O378" t="s">
        <v>135</v>
      </c>
      <c r="P378" t="s">
        <v>136</v>
      </c>
      <c r="Q378" s="7" t="str">
        <f>HYPERLINK("D:\torgi_project\venv_torgi\cache\objs_in_district/61.701971_30.690618.json", "61.701971_30.690618.json")</f>
        <v>61.701971_30.690618.json</v>
      </c>
      <c r="R378">
        <v>716</v>
      </c>
      <c r="S378" s="6">
        <v>181.37</v>
      </c>
    </row>
    <row r="379" spans="1:19">
      <c r="A379" s="4"/>
      <c r="B379" t="s">
        <v>27</v>
      </c>
      <c r="C379" s="1">
        <v>29.1</v>
      </c>
      <c r="D379" s="2" t="str">
        <f>HYPERLINK("https://torgi.gov.ru/new/public/lots/lot/21000002210000000564_3/(lotInfo:info)", "21000002210000000564_3")</f>
        <v>21000002210000000564_3</v>
      </c>
      <c r="E379" t="s">
        <v>38</v>
      </c>
      <c r="F379" s="3">
        <v>159231.96494845359</v>
      </c>
      <c r="G379" s="3">
        <v>4633650.18</v>
      </c>
      <c r="H379" t="s">
        <v>39</v>
      </c>
      <c r="I379" t="s">
        <v>40</v>
      </c>
      <c r="J379" t="s">
        <v>41</v>
      </c>
      <c r="K379" s="6">
        <v>34.35</v>
      </c>
      <c r="L379" t="s">
        <v>23</v>
      </c>
      <c r="M379" t="s">
        <v>24</v>
      </c>
      <c r="N379" s="2" t="str">
        <f>HYPERLINK("https://yandex.ru/maps/?&amp;text=54.727588, 55.947723", "54.727588, 55.947723")</f>
        <v>54.727588, 55.947723</v>
      </c>
      <c r="O379" t="s">
        <v>42</v>
      </c>
      <c r="P379" t="s">
        <v>43</v>
      </c>
      <c r="Q379" s="7" t="str">
        <f>HYPERLINK("D:\torgi_project\venv_torgi\cache\objs_in_district/54.727588_55.947723.json", "54.727588_55.947723.json")</f>
        <v>54.727588_55.947723.json</v>
      </c>
      <c r="R379">
        <v>6930</v>
      </c>
      <c r="S379" s="6">
        <v>22.98</v>
      </c>
    </row>
    <row r="380" spans="1:19">
      <c r="A380" s="4"/>
      <c r="B380" t="s">
        <v>1711</v>
      </c>
      <c r="C380" s="1">
        <v>25.8</v>
      </c>
      <c r="D380" s="2" t="str">
        <f>HYPERLINK("https://torgi.gov.ru/new/public/lots/lot/21000002210000000097_1/(lotInfo:info)", "21000002210000000097_1")</f>
        <v>21000002210000000097_1</v>
      </c>
      <c r="E380" t="s">
        <v>1955</v>
      </c>
      <c r="F380" s="3">
        <v>205426.3565891473</v>
      </c>
      <c r="G380" s="3">
        <v>5300000</v>
      </c>
      <c r="H380" t="s">
        <v>1956</v>
      </c>
      <c r="I380" t="s">
        <v>1957</v>
      </c>
      <c r="J380" t="s">
        <v>1958</v>
      </c>
      <c r="K380" s="6">
        <v>34.700000000000003</v>
      </c>
      <c r="L380" t="s">
        <v>23</v>
      </c>
      <c r="M380" t="s">
        <v>24</v>
      </c>
      <c r="N380" s="2" t="str">
        <f>HYPERLINK("https://yandex.ru/maps/?&amp;text=59.92639, 30.313281", "59.92639, 30.313281")</f>
        <v>59.92639, 30.313281</v>
      </c>
      <c r="O380" t="s">
        <v>1959</v>
      </c>
      <c r="P380" t="s">
        <v>1960</v>
      </c>
      <c r="Q380" s="7" t="str">
        <f>HYPERLINK("D:\torgi_project\venv_torgi\cache\objs_in_district/59.92639_30.313281.json", "59.92639_30.313281.json")</f>
        <v>59.92639_30.313281.json</v>
      </c>
      <c r="R380">
        <v>10480</v>
      </c>
      <c r="S380" s="6">
        <v>19.600000000000001</v>
      </c>
    </row>
    <row r="381" spans="1:19">
      <c r="A381" s="4"/>
      <c r="B381" t="s">
        <v>247</v>
      </c>
      <c r="C381" s="1">
        <v>14.6</v>
      </c>
      <c r="D381" s="2" t="str">
        <f>HYPERLINK("https://torgi.gov.ru/new/public/lots/lot/21000026630000000002_1/(lotInfo:info)", "21000026630000000002_1")</f>
        <v>21000026630000000002_1</v>
      </c>
      <c r="E381" t="s">
        <v>509</v>
      </c>
      <c r="F381" s="3">
        <v>53958.904109589042</v>
      </c>
      <c r="G381" s="3">
        <v>787800</v>
      </c>
      <c r="H381" t="s">
        <v>510</v>
      </c>
      <c r="I381" t="s">
        <v>505</v>
      </c>
      <c r="J381" t="s">
        <v>511</v>
      </c>
      <c r="K381" s="6">
        <v>34.79</v>
      </c>
      <c r="L381" t="s">
        <v>23</v>
      </c>
      <c r="M381" t="s">
        <v>24</v>
      </c>
      <c r="N381" s="2" t="str">
        <f>HYPERLINK("https://yandex.ru/maps/?&amp;text=51.303886, 37.888603", "51.303886, 37.888603")</f>
        <v>51.303886, 37.888603</v>
      </c>
      <c r="O381" t="s">
        <v>512</v>
      </c>
      <c r="P381" t="s">
        <v>498</v>
      </c>
      <c r="Q381" s="7" t="str">
        <f>HYPERLINK("D:\torgi_project\venv_torgi\cache\objs_in_district/51.303886_37.888603.json", "51.303886_37.888603.json")</f>
        <v>51.303886_37.888603.json</v>
      </c>
      <c r="R381">
        <v>1689</v>
      </c>
      <c r="S381" s="6">
        <v>31.95</v>
      </c>
    </row>
    <row r="382" spans="1:19">
      <c r="A382" s="4"/>
      <c r="B382" t="s">
        <v>263</v>
      </c>
      <c r="C382" s="1">
        <v>10.199999999999999</v>
      </c>
      <c r="D382" s="2" t="str">
        <f>HYPERLINK("https://torgi.gov.ru/new/public/lots/lot/22000014810000000024_1/(lotInfo:info)", "22000014810000000024_1")</f>
        <v>22000014810000000024_1</v>
      </c>
      <c r="E382" t="s">
        <v>764</v>
      </c>
      <c r="F382" s="3">
        <v>435647.05882352951</v>
      </c>
      <c r="G382" s="3">
        <v>4443600</v>
      </c>
      <c r="H382" t="s">
        <v>765</v>
      </c>
      <c r="I382" t="s">
        <v>766</v>
      </c>
      <c r="J382" t="s">
        <v>767</v>
      </c>
      <c r="K382" s="6">
        <v>35.14</v>
      </c>
      <c r="L382" t="s">
        <v>23</v>
      </c>
      <c r="M382" t="s">
        <v>24</v>
      </c>
      <c r="N382" s="2" t="str">
        <f>HYPERLINK("https://yandex.ru/maps/?&amp;text=54.518732, 36.259922", "54.518732, 36.259922")</f>
        <v>54.518732, 36.259922</v>
      </c>
      <c r="O382" t="s">
        <v>768</v>
      </c>
      <c r="P382" t="s">
        <v>769</v>
      </c>
      <c r="Q382" s="7" t="str">
        <f>HYPERLINK("D:\torgi_project\venv_torgi\cache\objs_in_district/54.518732_36.259922.json", "54.518732_36.259922.json")</f>
        <v>54.518732_36.259922.json</v>
      </c>
      <c r="R382">
        <v>2775</v>
      </c>
      <c r="S382" s="6">
        <v>156.99</v>
      </c>
    </row>
    <row r="383" spans="1:19">
      <c r="A383" s="4"/>
      <c r="B383" t="s">
        <v>1711</v>
      </c>
      <c r="C383" s="1">
        <v>19</v>
      </c>
      <c r="D383" s="2" t="str">
        <f>HYPERLINK("https://torgi.gov.ru/new/public/lots/lot/21000002210000000562_1/(lotInfo:info)", "21000002210000000562_1")</f>
        <v>21000002210000000562_1</v>
      </c>
      <c r="E383" t="s">
        <v>1756</v>
      </c>
      <c r="F383" s="3">
        <v>151578.94736842101</v>
      </c>
      <c r="G383" s="3">
        <v>2880000</v>
      </c>
      <c r="H383" t="s">
        <v>1781</v>
      </c>
      <c r="I383" t="s">
        <v>1782</v>
      </c>
      <c r="J383" t="s">
        <v>1783</v>
      </c>
      <c r="K383" s="6">
        <v>35.4</v>
      </c>
      <c r="L383" t="s">
        <v>23</v>
      </c>
      <c r="M383" t="s">
        <v>24</v>
      </c>
      <c r="N383" s="2" t="str">
        <f>HYPERLINK("https://yandex.ru/maps/?&amp;text=60.064953, 30.311377", "60.064953, 30.311377")</f>
        <v>60.064953, 30.311377</v>
      </c>
      <c r="O383" t="s">
        <v>1784</v>
      </c>
      <c r="P383" t="s">
        <v>158</v>
      </c>
      <c r="Q383" s="7" t="str">
        <f>HYPERLINK("D:\torgi_project\venv_torgi\cache\objs_in_district/60.064953_30.311377.json", "60.064953_30.311377.json")</f>
        <v>60.064953_30.311377.json</v>
      </c>
      <c r="R383">
        <v>5251</v>
      </c>
      <c r="S383" s="6">
        <v>28.87</v>
      </c>
    </row>
    <row r="384" spans="1:19">
      <c r="A384" s="4"/>
      <c r="B384" t="s">
        <v>1711</v>
      </c>
      <c r="C384" s="1">
        <v>11.9</v>
      </c>
      <c r="D384" s="2" t="str">
        <f>HYPERLINK("https://torgi.gov.ru/new/public/lots/lot/21000002210000000183_1/(lotInfo:info)", "21000002210000000183_1")</f>
        <v>21000002210000000183_1</v>
      </c>
      <c r="E384" t="s">
        <v>1756</v>
      </c>
      <c r="F384" s="3">
        <v>142857.14285714281</v>
      </c>
      <c r="G384" s="3">
        <v>1700000</v>
      </c>
      <c r="H384" t="s">
        <v>1920</v>
      </c>
      <c r="I384" t="s">
        <v>1921</v>
      </c>
      <c r="J384" t="s">
        <v>1922</v>
      </c>
      <c r="K384" s="6">
        <v>35.74</v>
      </c>
      <c r="L384" t="s">
        <v>23</v>
      </c>
      <c r="M384" t="s">
        <v>24</v>
      </c>
      <c r="N384" s="2" t="str">
        <f>HYPERLINK("https://yandex.ru/maps/?&amp;text=59.98523, 30.207064", "59.98523, 30.207064")</f>
        <v>59.98523, 30.207064</v>
      </c>
      <c r="O384" t="s">
        <v>1923</v>
      </c>
      <c r="P384" t="s">
        <v>318</v>
      </c>
      <c r="Q384" s="7" t="str">
        <f>HYPERLINK("D:\torgi_project\venv_torgi\cache\objs_in_district/59.98523_30.207064.json", "59.98523_30.207064.json")</f>
        <v>59.98523_30.207064.json</v>
      </c>
      <c r="R384">
        <v>5057</v>
      </c>
      <c r="S384" s="6">
        <v>28.25</v>
      </c>
    </row>
    <row r="385" spans="1:19">
      <c r="A385" s="4"/>
      <c r="B385" t="s">
        <v>73</v>
      </c>
      <c r="C385" s="1">
        <v>228.3</v>
      </c>
      <c r="D385" s="2" t="str">
        <f>HYPERLINK("https://torgi.gov.ru/new/public/lots/lot/22000097040000000001_1/(lotInfo:info)", "22000097040000000001_1")</f>
        <v>22000097040000000001_1</v>
      </c>
      <c r="E385" t="s">
        <v>329</v>
      </c>
      <c r="F385" s="3">
        <v>19811.651335961451</v>
      </c>
      <c r="G385" s="3">
        <v>4523000</v>
      </c>
      <c r="H385" t="s">
        <v>330</v>
      </c>
      <c r="I385" t="s">
        <v>331</v>
      </c>
      <c r="J385" t="s">
        <v>332</v>
      </c>
      <c r="K385" s="6">
        <v>36.49</v>
      </c>
      <c r="L385" t="s">
        <v>23</v>
      </c>
      <c r="M385" t="s">
        <v>24</v>
      </c>
      <c r="N385" s="2" t="str">
        <f>HYPERLINK("https://yandex.ru/maps/?&amp;text=44.32913, 38.699252", "44.32913, 38.699252")</f>
        <v>44.32913, 38.699252</v>
      </c>
      <c r="O385" t="s">
        <v>333</v>
      </c>
      <c r="P385" t="s">
        <v>67</v>
      </c>
      <c r="Q385" s="7" t="str">
        <f>HYPERLINK("D:\torgi_project\venv_torgi\cache\objs_in_district/44.32913_38.699252.json", "44.32913_38.699252.json")</f>
        <v>44.32913_38.699252.json</v>
      </c>
      <c r="R385">
        <v>843</v>
      </c>
      <c r="S385" s="6">
        <v>23.5</v>
      </c>
    </row>
    <row r="386" spans="1:19">
      <c r="A386" s="4"/>
      <c r="B386" t="s">
        <v>55</v>
      </c>
      <c r="C386" s="1">
        <v>108.1</v>
      </c>
      <c r="D386" s="2" t="str">
        <f>HYPERLINK("https://torgi.gov.ru/new/public/lots/lot/22000102650000000001_2/(lotInfo:info)", "22000102650000000001_2")</f>
        <v>22000102650000000001_2</v>
      </c>
      <c r="E386" t="s">
        <v>398</v>
      </c>
      <c r="F386" s="3">
        <v>86225.71692876966</v>
      </c>
      <c r="G386" s="3">
        <v>9321000</v>
      </c>
      <c r="H386" t="s">
        <v>399</v>
      </c>
      <c r="I386" t="s">
        <v>400</v>
      </c>
      <c r="J386" t="s">
        <v>401</v>
      </c>
      <c r="K386" s="6">
        <v>37.28</v>
      </c>
      <c r="L386" t="s">
        <v>23</v>
      </c>
      <c r="M386" t="s">
        <v>24</v>
      </c>
      <c r="N386" s="2" t="str">
        <f>HYPERLINK("https://yandex.ru/maps/?&amp;text=43.897697, 42.713787", "43.897697, 42.713787")</f>
        <v>43.897697, 42.713787</v>
      </c>
      <c r="O386" t="s">
        <v>402</v>
      </c>
      <c r="P386" t="s">
        <v>403</v>
      </c>
      <c r="Q386" s="7" t="str">
        <f>HYPERLINK("D:\torgi_project\venv_torgi\cache\objs_in_district/43.897697_42.713787.json", "43.897697_42.713787.json")</f>
        <v>43.897697_42.713787.json</v>
      </c>
      <c r="R386">
        <v>3404</v>
      </c>
      <c r="S386" s="6">
        <v>25.33</v>
      </c>
    </row>
    <row r="387" spans="1:19">
      <c r="A387" s="4"/>
      <c r="B387" t="s">
        <v>1526</v>
      </c>
      <c r="C387" s="1">
        <v>44.7</v>
      </c>
      <c r="D387" s="2" t="str">
        <f>HYPERLINK("https://torgi.gov.ru/new/public/lots/lot/21000005000000000105_1/(lotInfo:info)", "21000005000000000105_1")</f>
        <v>21000005000000000105_1</v>
      </c>
      <c r="E387" t="s">
        <v>1694</v>
      </c>
      <c r="F387" s="3">
        <v>216980.9843400447</v>
      </c>
      <c r="G387" s="3">
        <v>9699050</v>
      </c>
      <c r="H387" t="s">
        <v>1695</v>
      </c>
      <c r="I387" t="s">
        <v>1096</v>
      </c>
      <c r="J387" t="s">
        <v>1696</v>
      </c>
      <c r="K387" s="6">
        <v>37.340000000000003</v>
      </c>
      <c r="L387" t="s">
        <v>23</v>
      </c>
      <c r="M387" t="s">
        <v>24</v>
      </c>
      <c r="N387" s="2" t="str">
        <f>HYPERLINK("https://yandex.ru/maps/?&amp;text=55.75007, 37.677177", "55.75007, 37.677177")</f>
        <v>55.75007, 37.677177</v>
      </c>
      <c r="O387" t="s">
        <v>1697</v>
      </c>
      <c r="P387" t="s">
        <v>387</v>
      </c>
      <c r="Q387" s="7" t="str">
        <f>HYPERLINK("D:\torgi_project\venv_torgi\cache\objs_in_district/55.75007_37.677177.json", "55.75007_37.677177.json")</f>
        <v>55.75007_37.677177.json</v>
      </c>
      <c r="R387">
        <v>8178</v>
      </c>
      <c r="S387" s="6">
        <v>26.53</v>
      </c>
    </row>
    <row r="388" spans="1:19">
      <c r="A388" s="4"/>
      <c r="B388" t="s">
        <v>488</v>
      </c>
      <c r="C388" s="1">
        <v>108</v>
      </c>
      <c r="D388" s="2" t="str">
        <f>HYPERLINK("https://torgi.gov.ru/new/public/lots/lot/21000004710000001361_1/(lotInfo:info)", "21000004710000001361_1")</f>
        <v>21000004710000001361_1</v>
      </c>
      <c r="E388" t="s">
        <v>972</v>
      </c>
      <c r="F388" s="3">
        <v>32741.319444444449</v>
      </c>
      <c r="G388" s="3">
        <v>3536062.5</v>
      </c>
      <c r="H388" t="s">
        <v>973</v>
      </c>
      <c r="I388" t="s">
        <v>121</v>
      </c>
      <c r="J388" t="s">
        <v>974</v>
      </c>
      <c r="K388" s="6">
        <v>37.630000000000003</v>
      </c>
      <c r="L388" t="s">
        <v>23</v>
      </c>
      <c r="M388" t="s">
        <v>24</v>
      </c>
      <c r="N388" s="2" t="str">
        <f>HYPERLINK("https://yandex.ru/maps/?&amp;text=56.433814,  37.158228", "56.433814,  37.158228")</f>
        <v>56.433814,  37.158228</v>
      </c>
      <c r="O388" t="s">
        <v>975</v>
      </c>
      <c r="P388" t="s">
        <v>634</v>
      </c>
      <c r="Q388" s="7" t="str">
        <f>HYPERLINK("D:\torgi_project\venv_torgi\cache\objs_in_district/56.433814_37.158228.json", "56.433814_37.158228.json")</f>
        <v>56.433814_37.158228.json</v>
      </c>
      <c r="R388">
        <v>280</v>
      </c>
      <c r="S388" s="6">
        <v>116.93</v>
      </c>
    </row>
    <row r="389" spans="1:19">
      <c r="A389" s="4"/>
      <c r="B389" t="s">
        <v>1526</v>
      </c>
      <c r="C389" s="1">
        <v>31.5</v>
      </c>
      <c r="D389" s="2" t="str">
        <f>HYPERLINK("https://torgi.gov.ru/new/public/lots/lot/21000005000000000135_1/(lotInfo:info)", "21000005000000000135_1")</f>
        <v>21000005000000000135_1</v>
      </c>
      <c r="E389" t="s">
        <v>1631</v>
      </c>
      <c r="F389" s="3">
        <v>242301.58730158731</v>
      </c>
      <c r="G389" s="3">
        <v>7632500</v>
      </c>
      <c r="H389" t="s">
        <v>1678</v>
      </c>
      <c r="I389" t="s">
        <v>913</v>
      </c>
      <c r="J389" t="s">
        <v>1679</v>
      </c>
      <c r="K389" s="6">
        <v>38.03</v>
      </c>
      <c r="L389" t="s">
        <v>23</v>
      </c>
      <c r="M389" t="s">
        <v>24</v>
      </c>
      <c r="N389" s="2" t="str">
        <f>HYPERLINK("https://yandex.ru/maps/?&amp;text=55.733788, 37.74567", "55.733788, 37.74567")</f>
        <v>55.733788, 37.74567</v>
      </c>
      <c r="O389" t="s">
        <v>1680</v>
      </c>
      <c r="P389" t="s">
        <v>247</v>
      </c>
      <c r="Q389" s="7" t="str">
        <f>HYPERLINK("D:\torgi_project\venv_torgi\cache\objs_in_district/55.733788_37.74567.json", "55.733788_37.74567.json")</f>
        <v>55.733788_37.74567.json</v>
      </c>
      <c r="R389">
        <v>5515</v>
      </c>
      <c r="S389" s="6">
        <v>43.94</v>
      </c>
    </row>
    <row r="390" spans="1:19">
      <c r="A390" s="4"/>
      <c r="B390" t="s">
        <v>1711</v>
      </c>
      <c r="C390" s="1">
        <v>15</v>
      </c>
      <c r="D390" s="2" t="str">
        <f>HYPERLINK("https://torgi.gov.ru/new/public/lots/lot/21000002210000000060_1/(lotInfo:info)", "21000002210000000060_1")</f>
        <v>21000002210000000060_1</v>
      </c>
      <c r="E390" t="s">
        <v>1712</v>
      </c>
      <c r="F390" s="3">
        <v>168666.66666666669</v>
      </c>
      <c r="G390" s="3">
        <v>2530000</v>
      </c>
      <c r="H390" t="s">
        <v>1984</v>
      </c>
      <c r="I390" t="s">
        <v>1981</v>
      </c>
      <c r="J390" t="s">
        <v>1985</v>
      </c>
      <c r="K390" s="6">
        <v>39.49</v>
      </c>
      <c r="L390" t="s">
        <v>23</v>
      </c>
      <c r="M390" t="s">
        <v>24</v>
      </c>
      <c r="N390" s="2" t="str">
        <f>HYPERLINK("https://yandex.ru/maps/?&amp;text=59.909612, 30.278498", "59.909612, 30.278498")</f>
        <v>59.909612, 30.278498</v>
      </c>
      <c r="O390" t="s">
        <v>1986</v>
      </c>
      <c r="P390" t="s">
        <v>1987</v>
      </c>
      <c r="Q390" s="7" t="str">
        <f>HYPERLINK("D:\torgi_project\venv_torgi\cache\objs_in_district/59.909612_30.278498.json", "59.909612_30.278498.json")</f>
        <v>59.909612_30.278498.json</v>
      </c>
      <c r="R390">
        <v>4623</v>
      </c>
      <c r="S390" s="6">
        <v>36.479999999999997</v>
      </c>
    </row>
    <row r="391" spans="1:19">
      <c r="A391" s="4"/>
      <c r="B391" t="s">
        <v>1526</v>
      </c>
      <c r="C391" s="1">
        <v>23.4</v>
      </c>
      <c r="D391" s="2" t="str">
        <f>HYPERLINK("https://torgi.gov.ru/new/public/lots/lot/21000005000000000124_1/(lotInfo:info)", "21000005000000000124_1")</f>
        <v>21000005000000000124_1</v>
      </c>
      <c r="E391" t="s">
        <v>1631</v>
      </c>
      <c r="F391" s="3">
        <v>352096.15384615387</v>
      </c>
      <c r="G391" s="3">
        <v>8239050</v>
      </c>
      <c r="H391" t="s">
        <v>1690</v>
      </c>
      <c r="I391" t="s">
        <v>148</v>
      </c>
      <c r="J391" t="s">
        <v>1691</v>
      </c>
      <c r="K391" s="6">
        <v>39.78</v>
      </c>
      <c r="L391" t="s">
        <v>23</v>
      </c>
      <c r="M391" t="s">
        <v>24</v>
      </c>
      <c r="N391" s="2" t="str">
        <f>HYPERLINK("https://yandex.ru/maps/?&amp;text=55.645431, 37.71133", "55.645431, 37.71133")</f>
        <v>55.645431, 37.71133</v>
      </c>
      <c r="O391" t="s">
        <v>1692</v>
      </c>
      <c r="P391" t="s">
        <v>1693</v>
      </c>
      <c r="Q391" s="7" t="str">
        <f>HYPERLINK("D:\torgi_project\venv_torgi\cache\objs_in_district/55.645431_37.71133.json", "55.645431_37.71133.json")</f>
        <v>55.645431_37.71133.json</v>
      </c>
      <c r="R391">
        <v>15180</v>
      </c>
      <c r="S391" s="6">
        <v>23.19</v>
      </c>
    </row>
    <row r="392" spans="1:19">
      <c r="A392" s="4"/>
      <c r="B392" t="s">
        <v>1526</v>
      </c>
      <c r="C392" s="1">
        <v>12.4</v>
      </c>
      <c r="D392" s="2" t="str">
        <f>HYPERLINK("https://torgi.gov.ru/new/public/lots/lot/21000005000000001753_1/(lotInfo:info)", "21000005000000001753_1")</f>
        <v>21000005000000001753_1</v>
      </c>
      <c r="E392" t="s">
        <v>1542</v>
      </c>
      <c r="F392" s="3">
        <v>203854.83870967739</v>
      </c>
      <c r="G392" s="3">
        <v>2527800</v>
      </c>
      <c r="H392" t="s">
        <v>1571</v>
      </c>
      <c r="I392" t="s">
        <v>1572</v>
      </c>
      <c r="J392" t="s">
        <v>1573</v>
      </c>
      <c r="K392" s="6">
        <v>40.4</v>
      </c>
      <c r="L392" t="s">
        <v>23</v>
      </c>
      <c r="M392" t="s">
        <v>24</v>
      </c>
      <c r="N392" s="2" t="str">
        <f>HYPERLINK("https://yandex.ru/maps/?&amp;text=55.638114, 37.617159", "55.638114, 37.617159")</f>
        <v>55.638114, 37.617159</v>
      </c>
      <c r="O392" t="s">
        <v>1574</v>
      </c>
      <c r="P392" t="s">
        <v>453</v>
      </c>
      <c r="Q392" s="7" t="str">
        <f>HYPERLINK("D:\torgi_project\venv_torgi\cache\objs_in_district/55.638114_37.617159.json", "55.638114_37.617159.json")</f>
        <v>55.638114_37.617159.json</v>
      </c>
      <c r="R392">
        <v>11969</v>
      </c>
      <c r="S392" s="6">
        <v>17.03</v>
      </c>
    </row>
    <row r="393" spans="1:19">
      <c r="A393" s="4"/>
      <c r="B393" t="s">
        <v>1526</v>
      </c>
      <c r="C393" s="1">
        <v>27.5</v>
      </c>
      <c r="D393" s="2" t="str">
        <f>HYPERLINK("https://torgi.gov.ru/new/public/lots/lot/21000005000000000752_1/(lotInfo:info)", "21000005000000000752_1")</f>
        <v>21000005000000000752_1</v>
      </c>
      <c r="E393" t="s">
        <v>1631</v>
      </c>
      <c r="F393" s="3">
        <v>170267.27272727271</v>
      </c>
      <c r="G393" s="3">
        <v>4682350</v>
      </c>
      <c r="H393" t="s">
        <v>1632</v>
      </c>
      <c r="I393" t="s">
        <v>1633</v>
      </c>
      <c r="J393" t="s">
        <v>1634</v>
      </c>
      <c r="K393" s="6">
        <v>40.57</v>
      </c>
      <c r="L393" t="s">
        <v>23</v>
      </c>
      <c r="M393" t="s">
        <v>24</v>
      </c>
      <c r="N393" s="2" t="str">
        <f>HYPERLINK("https://yandex.ru/maps/?&amp;text=55.726923, 37.832117", "55.726923, 37.832117")</f>
        <v>55.726923, 37.832117</v>
      </c>
      <c r="O393" t="s">
        <v>1635</v>
      </c>
      <c r="P393" t="s">
        <v>55</v>
      </c>
      <c r="Q393" s="7" t="str">
        <f>HYPERLINK("D:\torgi_project\venv_torgi\cache\objs_in_district/55.726923_37.832117.json", "55.726923_37.832117.json")</f>
        <v>55.726923_37.832117.json</v>
      </c>
      <c r="R393">
        <v>11298</v>
      </c>
      <c r="S393" s="6">
        <v>15.07</v>
      </c>
    </row>
    <row r="394" spans="1:19">
      <c r="A394" s="4"/>
      <c r="B394" t="s">
        <v>716</v>
      </c>
      <c r="C394" s="1">
        <v>83.8</v>
      </c>
      <c r="D394" s="2" t="str">
        <f>HYPERLINK("https://torgi.gov.ru/new/public/lots/lot/22000054080000000009_1/(lotInfo:info)", "22000054080000000009_1")</f>
        <v>22000054080000000009_1</v>
      </c>
      <c r="E394" t="s">
        <v>756</v>
      </c>
      <c r="F394" s="3">
        <v>12325.77565632458</v>
      </c>
      <c r="G394" s="3">
        <v>1032900</v>
      </c>
      <c r="H394" t="s">
        <v>757</v>
      </c>
      <c r="I394" t="s">
        <v>753</v>
      </c>
      <c r="J394" t="s">
        <v>758</v>
      </c>
      <c r="K394" s="6">
        <v>41.09</v>
      </c>
      <c r="L394" t="s">
        <v>23</v>
      </c>
      <c r="M394" t="s">
        <v>24</v>
      </c>
      <c r="N394" s="2" t="str">
        <f>HYPERLINK("https://yandex.ru/maps/?&amp;text=54.356088, 21.322591", "54.356088, 21.322591")</f>
        <v>54.356088, 21.322591</v>
      </c>
      <c r="O394" t="s">
        <v>759</v>
      </c>
      <c r="P394" t="s">
        <v>79</v>
      </c>
      <c r="Q394" s="7" t="str">
        <f>HYPERLINK("D:\torgi_project\venv_torgi\cache\objs_in_district/54.356088_21.322591.json", "54.356088_21.322591.json")</f>
        <v>54.356088_21.322591.json</v>
      </c>
      <c r="R394">
        <v>270</v>
      </c>
      <c r="S394" s="6">
        <v>45.65</v>
      </c>
    </row>
    <row r="395" spans="1:19">
      <c r="A395" s="4"/>
      <c r="B395" t="s">
        <v>1044</v>
      </c>
      <c r="C395" s="1">
        <v>81.900000000000006</v>
      </c>
      <c r="D395" s="2" t="str">
        <f>HYPERLINK("https://torgi.gov.ru/new/public/lots/lot/21000019830000000001_1/(lotInfo:info)", "21000019830000000001_1")</f>
        <v>21000019830000000001_1</v>
      </c>
      <c r="E395" t="s">
        <v>1089</v>
      </c>
      <c r="F395" s="3">
        <v>22307.692307692301</v>
      </c>
      <c r="G395" s="3">
        <v>1827000</v>
      </c>
      <c r="H395" t="s">
        <v>1090</v>
      </c>
      <c r="I395" t="s">
        <v>1091</v>
      </c>
      <c r="J395" t="s">
        <v>1092</v>
      </c>
      <c r="K395" s="6">
        <v>41.31</v>
      </c>
      <c r="L395" t="s">
        <v>23</v>
      </c>
      <c r="M395" t="s">
        <v>24</v>
      </c>
      <c r="N395" s="2" t="str">
        <f>HYPERLINK("https://yandex.ru/maps/?&amp;text=55.554603, 45.917763", "55.554603, 45.917763")</f>
        <v>55.554603, 45.917763</v>
      </c>
      <c r="O395" t="s">
        <v>1093</v>
      </c>
      <c r="P395" t="s">
        <v>49</v>
      </c>
      <c r="Q395" s="7" t="str">
        <f>HYPERLINK("D:\torgi_project\venv_torgi\cache\objs_in_district/55.554603_45.917763.json", "55.554603_45.917763.json")</f>
        <v>55.554603_45.917763.json</v>
      </c>
      <c r="R395">
        <v>484</v>
      </c>
      <c r="S395" s="6">
        <v>46.09</v>
      </c>
    </row>
    <row r="396" spans="1:19">
      <c r="A396" s="4"/>
      <c r="B396" t="s">
        <v>241</v>
      </c>
      <c r="C396" s="1">
        <v>117.6</v>
      </c>
      <c r="D396" s="2" t="str">
        <f>HYPERLINK("https://torgi.gov.ru/new/public/lots/lot/22000053090000000003_1/(lotInfo:info)", "22000053090000000003_1")</f>
        <v>22000053090000000003_1</v>
      </c>
      <c r="E396" t="s">
        <v>278</v>
      </c>
      <c r="F396" s="3">
        <v>20190.051020408169</v>
      </c>
      <c r="G396" s="3">
        <v>2374350</v>
      </c>
      <c r="H396" t="s">
        <v>269</v>
      </c>
      <c r="I396" t="s">
        <v>270</v>
      </c>
      <c r="J396" t="s">
        <v>279</v>
      </c>
      <c r="K396" s="6">
        <v>41.46</v>
      </c>
      <c r="L396" t="s">
        <v>23</v>
      </c>
      <c r="M396" t="s">
        <v>24</v>
      </c>
      <c r="N396" s="2" t="str">
        <f>HYPERLINK("https://yandex.ru/maps/?&amp;text=55.51748, 47.495303", "55.51748, 47.495303")</f>
        <v>55.51748, 47.495303</v>
      </c>
      <c r="O396" t="s">
        <v>272</v>
      </c>
      <c r="P396" t="s">
        <v>209</v>
      </c>
      <c r="Q396" s="7" t="str">
        <f>HYPERLINK("D:\torgi_project\venv_torgi\cache\objs_in_district/55.51748_47.495303.json", "55.51748_47.495303.json")</f>
        <v>55.51748_47.495303.json</v>
      </c>
      <c r="R396">
        <v>2190</v>
      </c>
      <c r="S396" s="6">
        <v>9.2200000000000006</v>
      </c>
    </row>
    <row r="397" spans="1:19">
      <c r="A397" s="4"/>
      <c r="B397" t="s">
        <v>1044</v>
      </c>
      <c r="C397" s="1">
        <v>22.1</v>
      </c>
      <c r="D397" s="2" t="str">
        <f>HYPERLINK("https://torgi.gov.ru/new/public/lots/lot/21000011320000000084_1/(lotInfo:info)", "21000011320000000084_1")</f>
        <v>21000011320000000084_1</v>
      </c>
      <c r="E397" t="s">
        <v>1045</v>
      </c>
      <c r="F397" s="3">
        <v>25983.009049773751</v>
      </c>
      <c r="G397" s="3">
        <v>574224.5</v>
      </c>
      <c r="H397" t="s">
        <v>1046</v>
      </c>
      <c r="I397" t="s">
        <v>1047</v>
      </c>
      <c r="J397" t="s">
        <v>1048</v>
      </c>
      <c r="K397" s="6">
        <v>42.18</v>
      </c>
      <c r="L397" t="s">
        <v>90</v>
      </c>
      <c r="M397" t="s">
        <v>24</v>
      </c>
      <c r="N397" s="2" t="str">
        <f>HYPERLINK("https://yandex.ru/maps/?&amp;text=56.268387, 43.761375", "56.268387, 43.761375")</f>
        <v>56.268387, 43.761375</v>
      </c>
      <c r="O397" t="s">
        <v>1049</v>
      </c>
      <c r="P397" t="s">
        <v>692</v>
      </c>
      <c r="Q397" s="7" t="str">
        <f>HYPERLINK("D:\torgi_project\venv_torgi\cache\objs_in_district/56.268387_43.761375.json", "56.268387_43.761375.json")</f>
        <v>56.268387_43.761375.json</v>
      </c>
      <c r="R397">
        <v>2123</v>
      </c>
      <c r="S397" s="6">
        <v>12.24</v>
      </c>
    </row>
    <row r="398" spans="1:19">
      <c r="A398" s="4"/>
      <c r="B398" t="s">
        <v>1711</v>
      </c>
      <c r="C398" s="1">
        <v>42</v>
      </c>
      <c r="D398" s="2" t="str">
        <f>HYPERLINK("https://torgi.gov.ru/new/public/lots/lot/21000002210000000639_1/(lotInfo:info)", "21000002210000000639_1")</f>
        <v>21000002210000000639_1</v>
      </c>
      <c r="E398" t="s">
        <v>1728</v>
      </c>
      <c r="F398" s="3">
        <v>173809.52380952379</v>
      </c>
      <c r="G398" s="3">
        <v>7300000</v>
      </c>
      <c r="H398" t="s">
        <v>1747</v>
      </c>
      <c r="I398" t="s">
        <v>1748</v>
      </c>
      <c r="J398" t="s">
        <v>1749</v>
      </c>
      <c r="K398" s="6">
        <v>44.29</v>
      </c>
      <c r="L398" t="s">
        <v>23</v>
      </c>
      <c r="M398" t="s">
        <v>24</v>
      </c>
      <c r="N398" s="2" t="str">
        <f>HYPERLINK("https://yandex.ru/maps/?&amp;text=59.9363379, 30.3159641", "59.9363379, 30.3159641")</f>
        <v>59.9363379, 30.3159641</v>
      </c>
      <c r="O398" t="s">
        <v>1750</v>
      </c>
      <c r="P398" t="s">
        <v>1751</v>
      </c>
      <c r="Q398" s="7" t="str">
        <f>HYPERLINK("D:\torgi_project\venv_torgi\cache\objs_in_district/59.9363379_30.3159641.json", "59.9363379_30.3159641.json")</f>
        <v>59.9363379_30.3159641.json</v>
      </c>
      <c r="R398">
        <v>3845</v>
      </c>
      <c r="S398" s="6">
        <v>45.2</v>
      </c>
    </row>
    <row r="399" spans="1:19">
      <c r="A399" s="4"/>
      <c r="B399" t="s">
        <v>204</v>
      </c>
      <c r="C399" s="1">
        <v>375.5</v>
      </c>
      <c r="D399" s="2" t="str">
        <f>HYPERLINK("https://torgi.gov.ru/new/public/lots/lot/21000029740000000018_1/(lotInfo:info)", "21000029740000000018_1")</f>
        <v>21000029740000000018_1</v>
      </c>
      <c r="E399" t="s">
        <v>779</v>
      </c>
      <c r="F399" s="3">
        <v>5172.5699067909454</v>
      </c>
      <c r="G399" s="3">
        <v>1942300</v>
      </c>
      <c r="H399" t="s">
        <v>780</v>
      </c>
      <c r="I399" t="s">
        <v>781</v>
      </c>
      <c r="J399" t="s">
        <v>782</v>
      </c>
      <c r="K399" s="6">
        <v>45.37</v>
      </c>
      <c r="L399" t="s">
        <v>23</v>
      </c>
      <c r="M399" t="s">
        <v>35</v>
      </c>
      <c r="N399" s="2" t="str">
        <f>HYPERLINK("https://yandex.ru/maps/?&amp;text=53.063845, 158.553465", "53.063845, 158.553465")</f>
        <v>53.063845, 158.553465</v>
      </c>
      <c r="O399" t="s">
        <v>783</v>
      </c>
      <c r="P399" t="s">
        <v>79</v>
      </c>
      <c r="Q399" s="7" t="str">
        <f>HYPERLINK("D:\torgi_project\venv_torgi\cache\objs_in_district/53.063845_158.553465.json", "53.063845_158.553465.json")</f>
        <v>53.063845_158.553465.json</v>
      </c>
      <c r="R399">
        <v>538</v>
      </c>
      <c r="S399" s="6">
        <v>9.61</v>
      </c>
    </row>
    <row r="400" spans="1:19">
      <c r="A400" s="4"/>
      <c r="B400" t="s">
        <v>1163</v>
      </c>
      <c r="C400" s="1">
        <v>89.5</v>
      </c>
      <c r="D400" s="2" t="str">
        <f>HYPERLINK("https://torgi.gov.ru/new/public/lots/lot/22000057140000000005_1/(lotInfo:info)", "22000057140000000005_1")</f>
        <v>22000057140000000005_1</v>
      </c>
      <c r="E400" t="s">
        <v>1168</v>
      </c>
      <c r="F400" s="3">
        <v>16502.793296089381</v>
      </c>
      <c r="G400" s="3">
        <v>1477000</v>
      </c>
      <c r="H400" t="s">
        <v>1169</v>
      </c>
      <c r="I400" t="s">
        <v>1170</v>
      </c>
      <c r="J400" t="s">
        <v>1171</v>
      </c>
      <c r="K400" s="6">
        <v>45.46</v>
      </c>
      <c r="L400" t="s">
        <v>23</v>
      </c>
      <c r="M400" t="s">
        <v>24</v>
      </c>
      <c r="N400" s="2" t="str">
        <f>HYPERLINK("https://yandex.ru/maps/?&amp;text=52.42687, 37.610188", "52.42687, 37.610188")</f>
        <v>52.42687, 37.610188</v>
      </c>
      <c r="O400" t="s">
        <v>1172</v>
      </c>
      <c r="P400" t="s">
        <v>152</v>
      </c>
      <c r="Q400" s="7" t="str">
        <f>HYPERLINK("D:\torgi_project\venv_torgi\cache\objs_in_district/52.42687_37.610188.json", "52.42687_37.610188.json")</f>
        <v>52.42687_37.610188.json</v>
      </c>
      <c r="R400">
        <v>1947</v>
      </c>
      <c r="S400" s="6">
        <v>8.48</v>
      </c>
    </row>
    <row r="401" spans="1:19">
      <c r="A401" s="4"/>
      <c r="B401" t="s">
        <v>1526</v>
      </c>
      <c r="C401" s="1">
        <v>31.6</v>
      </c>
      <c r="D401" s="2" t="str">
        <f>HYPERLINK("https://torgi.gov.ru/new/public/lots/lot/21000005000000000195_1/(lotInfo:info)", "21000005000000000195_1")</f>
        <v>21000005000000000195_1</v>
      </c>
      <c r="E401" t="s">
        <v>1532</v>
      </c>
      <c r="F401" s="3">
        <v>239772.15189873421</v>
      </c>
      <c r="G401" s="3">
        <v>7576800</v>
      </c>
      <c r="H401" t="s">
        <v>1675</v>
      </c>
      <c r="I401" t="s">
        <v>1662</v>
      </c>
      <c r="J401" t="s">
        <v>1676</v>
      </c>
      <c r="K401" s="6">
        <v>46.81</v>
      </c>
      <c r="L401" t="s">
        <v>23</v>
      </c>
      <c r="M401" t="s">
        <v>24</v>
      </c>
      <c r="N401" s="2" t="str">
        <f>HYPERLINK("https://yandex.ru/maps/?&amp;text=55.61061, 37.760124", "55.61061, 37.760124")</f>
        <v>55.61061, 37.760124</v>
      </c>
      <c r="O401" t="s">
        <v>1677</v>
      </c>
      <c r="P401" t="s">
        <v>1420</v>
      </c>
      <c r="Q401" s="7" t="str">
        <f>HYPERLINK("D:\torgi_project\venv_torgi\cache\objs_in_district/55.61061_37.760124.json", "55.61061_37.760124.json")</f>
        <v>55.61061_37.760124.json</v>
      </c>
      <c r="R401">
        <v>10321</v>
      </c>
      <c r="S401" s="6">
        <v>23.23</v>
      </c>
    </row>
    <row r="402" spans="1:19">
      <c r="A402" s="4"/>
      <c r="B402" t="s">
        <v>1526</v>
      </c>
      <c r="C402" s="1">
        <v>14.4</v>
      </c>
      <c r="D402" s="2" t="str">
        <f>HYPERLINK("https://torgi.gov.ru/new/public/lots/lot/21000005000000000327_1/(lotInfo:info)", "21000005000000000327_1")</f>
        <v>21000005000000000327_1</v>
      </c>
      <c r="E402" t="s">
        <v>1631</v>
      </c>
      <c r="F402" s="3">
        <v>474229.16666666663</v>
      </c>
      <c r="G402" s="3">
        <v>6828900</v>
      </c>
      <c r="H402" t="s">
        <v>1661</v>
      </c>
      <c r="I402" t="s">
        <v>1662</v>
      </c>
      <c r="J402" t="s">
        <v>1663</v>
      </c>
      <c r="K402" s="6">
        <v>46.89</v>
      </c>
      <c r="L402" t="s">
        <v>23</v>
      </c>
      <c r="M402" t="s">
        <v>24</v>
      </c>
      <c r="N402" s="2" t="str">
        <f>HYPERLINK("https://yandex.ru/maps/?&amp;text=55.779606, 37.633706", "55.779606, 37.633706")</f>
        <v>55.779606, 37.633706</v>
      </c>
      <c r="O402" t="s">
        <v>1664</v>
      </c>
      <c r="P402" t="s">
        <v>1665</v>
      </c>
      <c r="Q402" s="7" t="str">
        <f>HYPERLINK("D:\torgi_project\venv_torgi\cache\objs_in_district/55.779606_37.633706.json", "55.779606_37.633706.json")</f>
        <v>55.779606_37.633706.json</v>
      </c>
      <c r="R402">
        <v>8390</v>
      </c>
      <c r="S402" s="6">
        <v>56.52</v>
      </c>
    </row>
    <row r="403" spans="1:19">
      <c r="A403" s="4"/>
      <c r="B403" t="s">
        <v>1711</v>
      </c>
      <c r="C403" s="1">
        <v>17.8</v>
      </c>
      <c r="D403" s="2" t="str">
        <f>HYPERLINK("https://torgi.gov.ru/new/public/lots/lot/21000002210000000428_1/(lotInfo:info)", "21000002210000000428_1")</f>
        <v>21000002210000000428_1</v>
      </c>
      <c r="E403" t="s">
        <v>1824</v>
      </c>
      <c r="F403" s="3">
        <v>174157.30337078651</v>
      </c>
      <c r="G403" s="3">
        <v>3100000</v>
      </c>
      <c r="H403" t="s">
        <v>1825</v>
      </c>
      <c r="I403" t="s">
        <v>1826</v>
      </c>
      <c r="J403" t="s">
        <v>1827</v>
      </c>
      <c r="K403" s="6">
        <v>46.97</v>
      </c>
      <c r="L403" t="s">
        <v>23</v>
      </c>
      <c r="M403" t="s">
        <v>24</v>
      </c>
      <c r="N403" s="2" t="str">
        <f>HYPERLINK("https://yandex.ru/maps/?&amp;text=59.936079, 30.33776", "59.936079, 30.33776")</f>
        <v>59.936079, 30.33776</v>
      </c>
      <c r="O403" t="s">
        <v>1828</v>
      </c>
      <c r="P403" t="s">
        <v>1829</v>
      </c>
      <c r="Q403" s="7" t="str">
        <f>HYPERLINK("D:\torgi_project\venv_torgi\cache\objs_in_district/59.936079_30.33776.json", "59.936079_30.33776.json")</f>
        <v>59.936079_30.33776.json</v>
      </c>
      <c r="R403">
        <v>6219</v>
      </c>
      <c r="S403" s="6">
        <v>28</v>
      </c>
    </row>
    <row r="404" spans="1:19">
      <c r="A404" s="4"/>
      <c r="B404" t="s">
        <v>1526</v>
      </c>
      <c r="C404" s="1">
        <v>13.7</v>
      </c>
      <c r="D404" s="2" t="str">
        <f>HYPERLINK("https://torgi.gov.ru/new/public/lots/lot/21000005000000001853_1/(lotInfo:info)", "21000005000000001853_1")</f>
        <v>21000005000000001853_1</v>
      </c>
      <c r="E404" t="s">
        <v>1556</v>
      </c>
      <c r="F404" s="3">
        <v>385459.85401459847</v>
      </c>
      <c r="G404" s="3">
        <v>5280800</v>
      </c>
      <c r="H404" t="s">
        <v>1557</v>
      </c>
      <c r="I404" t="s">
        <v>1558</v>
      </c>
      <c r="J404" t="s">
        <v>1559</v>
      </c>
      <c r="K404" s="6">
        <v>47.42</v>
      </c>
      <c r="L404" t="s">
        <v>23</v>
      </c>
      <c r="M404" t="s">
        <v>24</v>
      </c>
      <c r="N404" s="2" t="str">
        <f>HYPERLINK("https://yandex.ru/maps/?&amp;text=55.766106, 37.559245", "55.766106, 37.559245")</f>
        <v>55.766106, 37.559245</v>
      </c>
      <c r="O404" t="s">
        <v>1560</v>
      </c>
      <c r="P404" t="s">
        <v>1561</v>
      </c>
      <c r="Q404" s="7" t="str">
        <f>HYPERLINK("D:\torgi_project\venv_torgi\cache\objs_in_district/55.766106_37.559245.json", "55.766106_37.559245.json")</f>
        <v>55.766106_37.559245.json</v>
      </c>
      <c r="R404">
        <v>8155</v>
      </c>
      <c r="S404" s="6">
        <v>47.27</v>
      </c>
    </row>
    <row r="405" spans="1:19">
      <c r="A405" s="4"/>
      <c r="B405" t="s">
        <v>2048</v>
      </c>
      <c r="C405" s="1">
        <v>294.7</v>
      </c>
      <c r="D405" s="2" t="str">
        <f>HYPERLINK("https://torgi.gov.ru/new/public/lots/lot/21000034510000000014_1/(lotInfo:info)", "21000034510000000014_1")</f>
        <v>21000034510000000014_1</v>
      </c>
      <c r="E405" t="s">
        <v>2049</v>
      </c>
      <c r="F405" s="3">
        <v>12046.148625721071</v>
      </c>
      <c r="G405" s="3">
        <v>3550000</v>
      </c>
      <c r="H405" t="s">
        <v>2050</v>
      </c>
      <c r="I405" t="s">
        <v>2051</v>
      </c>
      <c r="J405" t="s">
        <v>2052</v>
      </c>
      <c r="K405" s="6">
        <v>52.15</v>
      </c>
      <c r="L405" t="s">
        <v>592</v>
      </c>
      <c r="M405" t="s">
        <v>24</v>
      </c>
      <c r="N405" s="2" t="str">
        <f>HYPERLINK("https://yandex.ru/maps/?&amp;text=66.557754, 66.56545", "66.557754, 66.56545")</f>
        <v>66.557754, 66.56545</v>
      </c>
      <c r="O405" t="s">
        <v>2053</v>
      </c>
      <c r="P405" t="s">
        <v>152</v>
      </c>
      <c r="Q405" s="7" t="str">
        <f>HYPERLINK("D:\torgi_project\venv_torgi\cache\objs_in_district/66.557754_66.56545.json", "66.557754_66.56545.json")</f>
        <v>66.557754_66.56545.json</v>
      </c>
      <c r="R405">
        <v>909</v>
      </c>
      <c r="S405" s="6">
        <v>13.25</v>
      </c>
    </row>
    <row r="406" spans="1:19">
      <c r="A406" s="4"/>
      <c r="B406" t="s">
        <v>453</v>
      </c>
      <c r="C406" s="1">
        <v>295.3</v>
      </c>
      <c r="D406" s="2" t="str">
        <f>HYPERLINK("https://torgi.gov.ru/new/public/lots/lot/22000037620000000002_1/(lotInfo:info)", "22000037620000000002_1")</f>
        <v>22000037620000000002_1</v>
      </c>
      <c r="E406" t="s">
        <v>489</v>
      </c>
      <c r="F406" s="3">
        <v>20554.01286826955</v>
      </c>
      <c r="G406" s="3">
        <v>6069600</v>
      </c>
      <c r="H406" t="s">
        <v>490</v>
      </c>
      <c r="I406" t="s">
        <v>491</v>
      </c>
      <c r="J406" t="s">
        <v>492</v>
      </c>
      <c r="K406" s="6">
        <v>52.7</v>
      </c>
      <c r="L406" t="s">
        <v>23</v>
      </c>
      <c r="M406" t="s">
        <v>24</v>
      </c>
      <c r="N406" s="2" t="str">
        <f>HYPERLINK("https://yandex.ru/maps/?&amp;text=61.309, 47.191269", "61.309, 47.191269")</f>
        <v>61.309, 47.191269</v>
      </c>
      <c r="O406" t="s">
        <v>493</v>
      </c>
      <c r="P406" t="s">
        <v>216</v>
      </c>
      <c r="Q406" s="7" t="str">
        <f>HYPERLINK("D:\torgi_project\venv_torgi\cache\objs_in_district/61.309_47.191269.json", "61.309_47.191269.json")</f>
        <v>61.309_47.191269.json</v>
      </c>
      <c r="R406">
        <v>56</v>
      </c>
      <c r="S406" s="6">
        <v>367.04</v>
      </c>
    </row>
    <row r="407" spans="1:19">
      <c r="A407" s="4"/>
      <c r="B407" t="s">
        <v>1526</v>
      </c>
      <c r="C407" s="1">
        <v>33.700000000000003</v>
      </c>
      <c r="D407" s="2" t="str">
        <f>HYPERLINK("https://torgi.gov.ru/new/public/lots/lot/21000005000000000048_1/(lotInfo:info)", "21000005000000000048_1")</f>
        <v>21000005000000000048_1</v>
      </c>
      <c r="E407" t="s">
        <v>1542</v>
      </c>
      <c r="F407" s="3">
        <v>204728.4866468843</v>
      </c>
      <c r="G407" s="3">
        <v>6899350</v>
      </c>
      <c r="H407" t="s">
        <v>1707</v>
      </c>
      <c r="I407" t="s">
        <v>1708</v>
      </c>
      <c r="J407" t="s">
        <v>1709</v>
      </c>
      <c r="K407" s="6">
        <v>52.94</v>
      </c>
      <c r="L407" t="s">
        <v>23</v>
      </c>
      <c r="M407" t="s">
        <v>24</v>
      </c>
      <c r="N407" s="2" t="str">
        <f>HYPERLINK("https://yandex.ru/maps/?&amp;text=55.896458, 37.635557", "55.896458, 37.635557")</f>
        <v>55.896458, 37.635557</v>
      </c>
      <c r="O407" t="s">
        <v>1710</v>
      </c>
      <c r="P407" t="s">
        <v>454</v>
      </c>
      <c r="Q407" s="7" t="str">
        <f>HYPERLINK("D:\torgi_project\venv_torgi\cache\objs_in_district/55.896458_37.635557.json", "55.896458_37.635557.json")</f>
        <v>55.896458_37.635557.json</v>
      </c>
      <c r="R407">
        <v>10440</v>
      </c>
      <c r="S407" s="6">
        <v>19.61</v>
      </c>
    </row>
    <row r="408" spans="1:19">
      <c r="A408" s="4"/>
      <c r="B408" t="s">
        <v>488</v>
      </c>
      <c r="C408" s="1">
        <v>46.3</v>
      </c>
      <c r="D408" s="2" t="str">
        <f>HYPERLINK("https://torgi.gov.ru/new/public/lots/lot/21000004710000000452_1/(lotInfo:info)", "21000004710000000452_1")</f>
        <v>21000004710000000452_1</v>
      </c>
      <c r="E408" t="s">
        <v>1012</v>
      </c>
      <c r="F408" s="3">
        <v>46900</v>
      </c>
      <c r="G408" s="3">
        <v>2171470</v>
      </c>
      <c r="H408" t="s">
        <v>1013</v>
      </c>
      <c r="I408" t="s">
        <v>1014</v>
      </c>
      <c r="J408" t="s">
        <v>1015</v>
      </c>
      <c r="K408" s="6">
        <v>52.99</v>
      </c>
      <c r="L408" t="s">
        <v>23</v>
      </c>
      <c r="M408" t="s">
        <v>24</v>
      </c>
      <c r="N408" s="2" t="str">
        <f>HYPERLINK("https://yandex.ru/maps/?&amp;text=55.699299,  36.193536", "55.699299,  36.193536")</f>
        <v>55.699299,  36.193536</v>
      </c>
      <c r="O408" t="s">
        <v>1016</v>
      </c>
      <c r="P408" t="s">
        <v>513</v>
      </c>
      <c r="Q408" s="7" t="str">
        <f>HYPERLINK("D:\torgi_project\venv_torgi\cache\objs_in_district/55.699299_36.193536.json", "55.699299_36.193536.json")</f>
        <v>55.699299_36.193536.json</v>
      </c>
      <c r="R408">
        <v>228</v>
      </c>
      <c r="S408" s="6">
        <v>205.7</v>
      </c>
    </row>
    <row r="409" spans="1:19">
      <c r="A409" s="4"/>
      <c r="B409" t="s">
        <v>241</v>
      </c>
      <c r="C409" s="1">
        <v>194.7</v>
      </c>
      <c r="D409" s="2" t="str">
        <f>HYPERLINK("https://torgi.gov.ru/new/public/lots/lot/22000053090000000001_1/(lotInfo:info)", "22000053090000000001_1")</f>
        <v>22000053090000000001_1</v>
      </c>
      <c r="E409" t="s">
        <v>280</v>
      </c>
      <c r="F409" s="3">
        <v>26120.261941448389</v>
      </c>
      <c r="G409" s="3">
        <v>5085615</v>
      </c>
      <c r="H409" t="s">
        <v>281</v>
      </c>
      <c r="I409" t="s">
        <v>207</v>
      </c>
      <c r="J409" t="s">
        <v>283</v>
      </c>
      <c r="K409" s="6">
        <v>53.42</v>
      </c>
      <c r="L409" t="s">
        <v>23</v>
      </c>
      <c r="M409" t="s">
        <v>24</v>
      </c>
      <c r="N409" s="2" t="str">
        <f>HYPERLINK("https://yandex.ru/maps/?&amp;text=55.515273, 47.503137", "55.515273, 47.503137")</f>
        <v>55.515273, 47.503137</v>
      </c>
      <c r="O409" t="s">
        <v>284</v>
      </c>
      <c r="P409" t="s">
        <v>183</v>
      </c>
      <c r="Q409" s="7" t="str">
        <f>HYPERLINK("D:\torgi_project\venv_torgi\cache\objs_in_district/55.515273_47.503137.json", "55.515273_47.503137.json")</f>
        <v>55.515273_47.503137.json</v>
      </c>
      <c r="R409">
        <v>2070</v>
      </c>
      <c r="S409" s="6">
        <v>12.62</v>
      </c>
    </row>
    <row r="410" spans="1:19">
      <c r="A410" s="4"/>
      <c r="B410" t="s">
        <v>634</v>
      </c>
      <c r="C410" s="1">
        <v>105.8</v>
      </c>
      <c r="D410" s="2" t="str">
        <f>HYPERLINK("https://torgi.gov.ru/new/public/lots/lot/21000035130000000005_1/(lotInfo:info)", "21000035130000000005_1")</f>
        <v>21000035130000000005_1</v>
      </c>
      <c r="E410" t="s">
        <v>509</v>
      </c>
      <c r="F410" s="3">
        <v>25603.213610586012</v>
      </c>
      <c r="G410" s="3">
        <v>2708820</v>
      </c>
      <c r="H410" t="s">
        <v>635</v>
      </c>
      <c r="I410" t="s">
        <v>636</v>
      </c>
      <c r="J410" t="s">
        <v>637</v>
      </c>
      <c r="K410" s="6">
        <v>57.28</v>
      </c>
      <c r="L410" t="s">
        <v>23</v>
      </c>
      <c r="M410" t="s">
        <v>24</v>
      </c>
      <c r="N410" s="2" t="str">
        <f>HYPERLINK("https://yandex.ru/maps/?&amp;text=51.348079, 42.131122", "51.348079, 42.131122")</f>
        <v>51.348079, 42.131122</v>
      </c>
      <c r="O410" t="s">
        <v>638</v>
      </c>
      <c r="P410" t="s">
        <v>67</v>
      </c>
      <c r="Q410" s="7" t="str">
        <f>HYPERLINK("D:\torgi_project\venv_torgi\cache\objs_in_district/51.348079_42.131122.json", "51.348079_42.131122.json")</f>
        <v>51.348079_42.131122.json</v>
      </c>
      <c r="R410">
        <v>1521</v>
      </c>
      <c r="S410" s="6">
        <v>16.829999999999998</v>
      </c>
    </row>
    <row r="411" spans="1:19">
      <c r="A411" s="4"/>
      <c r="B411" t="s">
        <v>1711</v>
      </c>
      <c r="C411" s="1">
        <v>18.2</v>
      </c>
      <c r="D411" s="2" t="str">
        <f>HYPERLINK("https://torgi.gov.ru/new/public/lots/lot/21000002210000000404_1/(lotInfo:info)", "21000002210000000404_1")</f>
        <v>21000002210000000404_1</v>
      </c>
      <c r="E411" t="s">
        <v>1839</v>
      </c>
      <c r="F411" s="3">
        <v>225274.72527472529</v>
      </c>
      <c r="G411" s="3">
        <v>4100000</v>
      </c>
      <c r="H411" t="s">
        <v>1840</v>
      </c>
      <c r="I411" t="s">
        <v>1841</v>
      </c>
      <c r="J411" t="s">
        <v>1842</v>
      </c>
      <c r="K411" s="6">
        <v>57.41</v>
      </c>
      <c r="L411" t="s">
        <v>23</v>
      </c>
      <c r="M411" t="s">
        <v>24</v>
      </c>
      <c r="N411" s="2" t="str">
        <f>HYPERLINK("https://yandex.ru/maps/?&amp;text=59.9363379, 30.3159641", "59.9363379, 30.3159641")</f>
        <v>59.9363379, 30.3159641</v>
      </c>
      <c r="O411" t="s">
        <v>1750</v>
      </c>
      <c r="P411" t="s">
        <v>1751</v>
      </c>
      <c r="Q411" s="7" t="str">
        <f>HYPERLINK("D:\torgi_project\venv_torgi\cache\objs_in_district/59.9363379_30.3159641.json", "59.9363379_30.3159641.json")</f>
        <v>59.9363379_30.3159641.json</v>
      </c>
      <c r="R411">
        <v>3845</v>
      </c>
      <c r="S411" s="6">
        <v>58.59</v>
      </c>
    </row>
    <row r="412" spans="1:19">
      <c r="A412" s="4"/>
      <c r="B412" t="s">
        <v>241</v>
      </c>
      <c r="C412" s="1">
        <v>194.7</v>
      </c>
      <c r="D412" s="2" t="str">
        <f>HYPERLINK("https://torgi.gov.ru/new/public/lots/lot/22000053090000000002_1/(lotInfo:info)", "22000053090000000002_1")</f>
        <v>22000053090000000002_1</v>
      </c>
      <c r="E412" t="s">
        <v>280</v>
      </c>
      <c r="F412" s="3">
        <v>28485.870570107862</v>
      </c>
      <c r="G412" s="3">
        <v>5546199</v>
      </c>
      <c r="H412" t="s">
        <v>281</v>
      </c>
      <c r="I412" t="s">
        <v>282</v>
      </c>
      <c r="J412" t="s">
        <v>283</v>
      </c>
      <c r="K412" s="6">
        <v>58.25</v>
      </c>
      <c r="L412" t="s">
        <v>23</v>
      </c>
      <c r="M412" t="s">
        <v>24</v>
      </c>
      <c r="N412" s="2" t="str">
        <f>HYPERLINK("https://yandex.ru/maps/?&amp;text=55.515273, 47.503137", "55.515273, 47.503137")</f>
        <v>55.515273, 47.503137</v>
      </c>
      <c r="O412" t="s">
        <v>284</v>
      </c>
      <c r="P412" t="s">
        <v>183</v>
      </c>
      <c r="Q412" s="7" t="str">
        <f>HYPERLINK("D:\torgi_project\venv_torgi\cache\objs_in_district/55.515273_47.503137.json", "55.515273_47.503137.json")</f>
        <v>55.515273_47.503137.json</v>
      </c>
      <c r="R412">
        <v>2070</v>
      </c>
      <c r="S412" s="6">
        <v>13.76</v>
      </c>
    </row>
    <row r="413" spans="1:19">
      <c r="A413" s="4"/>
      <c r="B413" t="s">
        <v>488</v>
      </c>
      <c r="C413" s="1">
        <v>39.5</v>
      </c>
      <c r="D413" s="2" t="str">
        <f>HYPERLINK("https://torgi.gov.ru/new/public/lots/lot/21000004710000000472_1/(lotInfo:info)", "21000004710000000472_1")</f>
        <v>21000004710000000472_1</v>
      </c>
      <c r="E413" t="s">
        <v>1007</v>
      </c>
      <c r="F413" s="3">
        <v>90191.746835443031</v>
      </c>
      <c r="G413" s="3">
        <v>3562574</v>
      </c>
      <c r="H413" t="s">
        <v>1008</v>
      </c>
      <c r="I413" t="s">
        <v>1009</v>
      </c>
      <c r="J413" t="s">
        <v>1010</v>
      </c>
      <c r="K413" s="6">
        <v>59.18</v>
      </c>
      <c r="L413" t="s">
        <v>23</v>
      </c>
      <c r="M413" t="s">
        <v>24</v>
      </c>
      <c r="N413" s="2" t="str">
        <f>HYPERLINK("https://yandex.ru/maps/?&amp;text=55.937003, 37.852572", "55.937003, 37.852572")</f>
        <v>55.937003, 37.852572</v>
      </c>
      <c r="O413" t="s">
        <v>1011</v>
      </c>
      <c r="P413" t="s">
        <v>67</v>
      </c>
      <c r="Q413" s="7" t="str">
        <f>HYPERLINK("D:\torgi_project\venv_torgi\cache\objs_in_district/55.937003_37.852572.json", "55.937003_37.852572.json")</f>
        <v>55.937003_37.852572.json</v>
      </c>
      <c r="R413">
        <v>5567</v>
      </c>
      <c r="S413" s="6">
        <v>16.2</v>
      </c>
    </row>
    <row r="414" spans="1:19">
      <c r="A414" s="4"/>
      <c r="B414" t="s">
        <v>27</v>
      </c>
      <c r="C414" s="1">
        <v>347.1</v>
      </c>
      <c r="D414" s="2" t="str">
        <f>HYPERLINK("https://torgi.gov.ru/new/public/lots/lot/21000009380000000003_1/(lotInfo:info)", "21000009380000000003_1")</f>
        <v>21000009380000000003_1</v>
      </c>
      <c r="E414" t="s">
        <v>68</v>
      </c>
      <c r="F414" s="3">
        <v>18726.59176029962</v>
      </c>
      <c r="G414" s="3">
        <v>6500000</v>
      </c>
      <c r="H414" t="s">
        <v>69</v>
      </c>
      <c r="I414" t="s">
        <v>70</v>
      </c>
      <c r="J414" t="s">
        <v>71</v>
      </c>
      <c r="K414" s="6">
        <v>60.6</v>
      </c>
      <c r="L414" t="s">
        <v>23</v>
      </c>
      <c r="M414" t="s">
        <v>24</v>
      </c>
      <c r="N414" s="2" t="str">
        <f>HYPERLINK("https://yandex.ru/maps/?&amp;text=55.492474, 54.84453", "55.492474, 54.84453")</f>
        <v>55.492474, 54.84453</v>
      </c>
      <c r="O414" t="s">
        <v>72</v>
      </c>
      <c r="P414" t="s">
        <v>73</v>
      </c>
      <c r="Q414" s="7" t="str">
        <f>HYPERLINK("D:\torgi_project\venv_torgi\cache\objs_in_district/55.492474_54.84453.json", "55.492474_54.84453.json")</f>
        <v>55.492474_54.84453.json</v>
      </c>
      <c r="R414">
        <v>2049</v>
      </c>
      <c r="S414" s="6">
        <v>9.14</v>
      </c>
    </row>
    <row r="415" spans="1:19">
      <c r="A415" s="4"/>
      <c r="B415" t="s">
        <v>784</v>
      </c>
      <c r="C415" s="1">
        <v>39.1</v>
      </c>
      <c r="D415" s="2" t="str">
        <f>HYPERLINK("https://torgi.gov.ru/new/public/lots/lot/21000000010000000002_4/(lotInfo:info)", "21000000010000000002_4")</f>
        <v>21000000010000000002_4</v>
      </c>
      <c r="E415" t="s">
        <v>840</v>
      </c>
      <c r="F415" s="3">
        <v>24797.95396419437</v>
      </c>
      <c r="G415" s="3">
        <v>969600</v>
      </c>
      <c r="H415" t="s">
        <v>841</v>
      </c>
      <c r="I415" t="s">
        <v>833</v>
      </c>
      <c r="J415" t="s">
        <v>842</v>
      </c>
      <c r="K415" s="6">
        <v>67.75</v>
      </c>
      <c r="L415" t="s">
        <v>23</v>
      </c>
      <c r="M415" t="s">
        <v>24</v>
      </c>
      <c r="N415" s="2" t="str">
        <f>HYPERLINK("https://yandex.ru/maps/?&amp;text=53.865637, 86.645231", "53.865637, 86.645231")</f>
        <v>53.865637, 86.645231</v>
      </c>
      <c r="O415" t="s">
        <v>843</v>
      </c>
      <c r="P415" t="s">
        <v>189</v>
      </c>
      <c r="Q415" s="7" t="str">
        <f>HYPERLINK("D:\torgi_project\venv_torgi\cache\objs_in_district/53.865637_86.645231.json", "53.865637_86.645231.json")</f>
        <v>53.865637_86.645231.json</v>
      </c>
      <c r="R415">
        <v>2692</v>
      </c>
      <c r="S415" s="6">
        <v>9.2100000000000009</v>
      </c>
    </row>
    <row r="416" spans="1:19">
      <c r="A416" s="4"/>
      <c r="B416" t="s">
        <v>1711</v>
      </c>
      <c r="C416" s="1">
        <v>20.9</v>
      </c>
      <c r="D416" s="2" t="str">
        <f>HYPERLINK("https://torgi.gov.ru/new/public/lots/lot/21000002210000000037_1/(lotInfo:info)", "21000002210000000037_1")</f>
        <v>21000002210000000037_1</v>
      </c>
      <c r="E416" t="s">
        <v>1756</v>
      </c>
      <c r="F416" s="3">
        <v>211483.25358851679</v>
      </c>
      <c r="G416" s="3">
        <v>4420000</v>
      </c>
      <c r="H416" t="s">
        <v>2000</v>
      </c>
      <c r="I416" t="s">
        <v>1990</v>
      </c>
      <c r="J416" t="s">
        <v>2001</v>
      </c>
      <c r="K416" s="6">
        <v>69.180000000000007</v>
      </c>
      <c r="L416" t="s">
        <v>23</v>
      </c>
      <c r="M416" t="s">
        <v>24</v>
      </c>
      <c r="N416" s="2" t="str">
        <f>HYPERLINK("https://yandex.ru/maps/?&amp;text=59.9465586, 30.2585423", "59.9465586, 30.2585423")</f>
        <v>59.9465586, 30.2585423</v>
      </c>
      <c r="O416" t="s">
        <v>2002</v>
      </c>
      <c r="P416" t="s">
        <v>61</v>
      </c>
      <c r="Q416" s="7" t="str">
        <f>HYPERLINK("D:\torgi_project\venv_torgi\cache\objs_in_district/59.9465586_30.2585423.json", "59.9465586_30.2585423.json")</f>
        <v>59.9465586_30.2585423.json</v>
      </c>
      <c r="R416">
        <v>11347</v>
      </c>
      <c r="S416" s="6">
        <v>18.64</v>
      </c>
    </row>
    <row r="417" spans="1:19">
      <c r="A417" s="4"/>
      <c r="B417" t="s">
        <v>1711</v>
      </c>
      <c r="C417" s="1">
        <v>39.299999999999997</v>
      </c>
      <c r="D417" s="2" t="str">
        <f>HYPERLINK("https://torgi.gov.ru/new/public/lots/lot/21000002210000000068_1/(lotInfo:info)", "21000002210000000068_1")</f>
        <v>21000002210000000068_1</v>
      </c>
      <c r="E417" t="s">
        <v>1756</v>
      </c>
      <c r="F417" s="3">
        <v>244783.71501272271</v>
      </c>
      <c r="G417" s="3">
        <v>9620000</v>
      </c>
      <c r="H417" t="s">
        <v>1972</v>
      </c>
      <c r="I417" t="s">
        <v>1966</v>
      </c>
      <c r="J417" t="s">
        <v>1973</v>
      </c>
      <c r="K417" s="6">
        <v>80.790000000000006</v>
      </c>
      <c r="L417" t="s">
        <v>23</v>
      </c>
      <c r="M417" t="s">
        <v>24</v>
      </c>
      <c r="N417" s="2" t="str">
        <f>HYPERLINK("https://yandex.ru/maps/?&amp;text=59.934853, 30.310245", "59.934853, 30.310245")</f>
        <v>59.934853, 30.310245</v>
      </c>
      <c r="O417" t="s">
        <v>1974</v>
      </c>
      <c r="P417" t="s">
        <v>1975</v>
      </c>
      <c r="Q417" s="7" t="str">
        <f>HYPERLINK("D:\torgi_project\venv_torgi\cache\objs_in_district/59.934853_30.310245.json", "59.934853_30.310245.json")</f>
        <v>59.934853_30.310245.json</v>
      </c>
      <c r="R417">
        <v>7410</v>
      </c>
      <c r="S417" s="6">
        <v>33.03</v>
      </c>
    </row>
    <row r="418" spans="1:19">
      <c r="A418" s="4"/>
      <c r="B418" t="s">
        <v>1711</v>
      </c>
      <c r="C418" s="1">
        <v>10.7</v>
      </c>
      <c r="D418" s="2" t="str">
        <f>HYPERLINK("https://torgi.gov.ru/new/public/lots/lot/21000002210000000115_1/(lotInfo:info)", "21000002210000000115_1")</f>
        <v>21000002210000000115_1</v>
      </c>
      <c r="E418" t="s">
        <v>1951</v>
      </c>
      <c r="F418" s="3">
        <v>80094.672897196273</v>
      </c>
      <c r="G418" s="3">
        <v>857013</v>
      </c>
      <c r="H418" t="s">
        <v>1952</v>
      </c>
      <c r="I418" t="s">
        <v>1947</v>
      </c>
      <c r="J418" t="s">
        <v>1953</v>
      </c>
      <c r="K418" s="6">
        <v>80.900000000000006</v>
      </c>
      <c r="L418" t="s">
        <v>901</v>
      </c>
      <c r="M418" t="s">
        <v>24</v>
      </c>
      <c r="N418" s="2" t="str">
        <f>HYPERLINK("https://yandex.ru/maps/?&amp;text=59.91586, 29.764913", "59.91586, 29.764913")</f>
        <v>59.91586, 29.764913</v>
      </c>
      <c r="O418" t="s">
        <v>1954</v>
      </c>
      <c r="P418" t="s">
        <v>1109</v>
      </c>
      <c r="Q418" s="7" t="str">
        <f>HYPERLINK("D:\torgi_project\venv_torgi\cache\objs_in_district/59.91586_29.764913.json", "59.91586_29.764913.json")</f>
        <v>59.91586_29.764913.json</v>
      </c>
      <c r="R418">
        <v>2715</v>
      </c>
      <c r="S418" s="6">
        <v>29.5</v>
      </c>
    </row>
    <row r="419" spans="1:19">
      <c r="A419" s="4"/>
      <c r="B419" t="s">
        <v>1163</v>
      </c>
      <c r="C419" s="1">
        <v>90.6</v>
      </c>
      <c r="D419" s="2" t="str">
        <f>HYPERLINK("https://torgi.gov.ru/new/public/lots/lot/21000020880000000004_1/(lotInfo:info)", "21000020880000000004_1")</f>
        <v>21000020880000000004_1</v>
      </c>
      <c r="E419" t="s">
        <v>1164</v>
      </c>
      <c r="F419" s="3">
        <v>11389.152869757179</v>
      </c>
      <c r="G419" s="3">
        <v>1031857.25</v>
      </c>
      <c r="H419" t="s">
        <v>1165</v>
      </c>
      <c r="I419" t="s">
        <v>1166</v>
      </c>
      <c r="J419" t="s">
        <v>1167</v>
      </c>
      <c r="K419" s="6">
        <v>84.36</v>
      </c>
      <c r="L419" t="s">
        <v>90</v>
      </c>
      <c r="M419" t="s">
        <v>24</v>
      </c>
      <c r="N419" s="2" t="str">
        <f>HYPERLINK("https://yandex.ru/maps/?&amp;text=52.224378, 37.026984", "52.224378, 37.026984")</f>
        <v>52.224378, 37.026984</v>
      </c>
      <c r="O419" t="s">
        <v>328</v>
      </c>
      <c r="P419" t="s">
        <v>79</v>
      </c>
      <c r="Q419" s="7" t="str">
        <f>HYPERLINK("D:\torgi_project\venv_torgi\cache\objs_in_district/52.224378_37.026984.json", "52.224378_37.026984.json")</f>
        <v>52.224378_37.026984.json</v>
      </c>
      <c r="R419">
        <v>1561</v>
      </c>
      <c r="S419" s="6">
        <v>7.3</v>
      </c>
    </row>
    <row r="420" spans="1:19">
      <c r="A420" s="4"/>
      <c r="B420" t="s">
        <v>1711</v>
      </c>
      <c r="C420" s="1">
        <v>13.9</v>
      </c>
      <c r="D420" s="2" t="str">
        <f>HYPERLINK("https://torgi.gov.ru/new/public/lots/lot/21000002210000000700_1/(lotInfo:info)", "21000002210000000700_1")</f>
        <v>21000002210000000700_1</v>
      </c>
      <c r="E420" t="s">
        <v>1728</v>
      </c>
      <c r="F420" s="3">
        <v>151079.13669064749</v>
      </c>
      <c r="G420" s="3">
        <v>2100000</v>
      </c>
      <c r="H420" t="s">
        <v>1729</v>
      </c>
      <c r="I420" t="s">
        <v>1730</v>
      </c>
      <c r="J420" t="s">
        <v>1731</v>
      </c>
      <c r="K420" s="6">
        <v>85.21</v>
      </c>
      <c r="L420" t="s">
        <v>23</v>
      </c>
      <c r="M420" t="s">
        <v>24</v>
      </c>
      <c r="N420" s="2" t="str">
        <f>HYPERLINK("https://yandex.ru/maps/?&amp;text=59.931481, 30.334724", "59.931481, 30.334724")</f>
        <v>59.931481, 30.334724</v>
      </c>
      <c r="O420" t="s">
        <v>1732</v>
      </c>
      <c r="P420" t="s">
        <v>1733</v>
      </c>
      <c r="Q420" s="7" t="str">
        <f>HYPERLINK("D:\torgi_project\venv_torgi\cache\objs_in_district/59.931481_30.334724.json", "59.931481_30.334724.json")</f>
        <v>59.931481_30.334724.json</v>
      </c>
      <c r="R420">
        <v>8000</v>
      </c>
      <c r="S420" s="6">
        <v>18.88</v>
      </c>
    </row>
    <row r="421" spans="1:19">
      <c r="A421" s="4"/>
      <c r="B421" t="s">
        <v>61</v>
      </c>
      <c r="C421" s="1">
        <v>63.1</v>
      </c>
      <c r="D421" s="2" t="str">
        <f>HYPERLINK("https://torgi.gov.ru/new/public/lots/lot/21000012970000000013_1/(lotInfo:info)", "21000012970000000013_1")</f>
        <v>21000012970000000013_1</v>
      </c>
      <c r="E421" t="s">
        <v>693</v>
      </c>
      <c r="F421" s="3">
        <v>21077.65451664025</v>
      </c>
      <c r="G421" s="3">
        <v>1330000</v>
      </c>
      <c r="H421" t="s">
        <v>694</v>
      </c>
      <c r="I421" t="s">
        <v>695</v>
      </c>
      <c r="J421" t="s">
        <v>696</v>
      </c>
      <c r="K421" s="6">
        <v>86.74</v>
      </c>
      <c r="L421" t="s">
        <v>90</v>
      </c>
      <c r="M421" t="s">
        <v>24</v>
      </c>
      <c r="N421" s="2" t="str">
        <f>HYPERLINK("https://yandex.ru/maps/?&amp;text=56.849915, 41.356064", "56.849915, 41.356064")</f>
        <v>56.849915, 41.356064</v>
      </c>
      <c r="O421" t="s">
        <v>697</v>
      </c>
      <c r="P421" t="s">
        <v>430</v>
      </c>
      <c r="Q421" s="7" t="str">
        <f>HYPERLINK("D:\torgi_project\venv_torgi\cache\objs_in_district/56.849915_41.356064.json", "56.849915_41.356064.json")</f>
        <v>56.849915_41.356064.json</v>
      </c>
      <c r="R421">
        <v>1816</v>
      </c>
      <c r="S421" s="6">
        <v>11.61</v>
      </c>
    </row>
    <row r="422" spans="1:19">
      <c r="A422" s="4"/>
      <c r="B422" t="s">
        <v>1526</v>
      </c>
      <c r="C422" s="1">
        <v>27.5</v>
      </c>
      <c r="D422" s="2" t="str">
        <f>HYPERLINK("https://torgi.gov.ru/new/public/lots/lot/21000005000000001101_1/(lotInfo:info)", "21000005000000001101_1")</f>
        <v>21000005000000001101_1</v>
      </c>
      <c r="E422" t="s">
        <v>1610</v>
      </c>
      <c r="F422" s="3">
        <v>295747.41818181821</v>
      </c>
      <c r="G422" s="3">
        <v>8133054</v>
      </c>
      <c r="H422" t="s">
        <v>1611</v>
      </c>
      <c r="I422" t="s">
        <v>1607</v>
      </c>
      <c r="J422" t="s">
        <v>1612</v>
      </c>
      <c r="K422" s="6">
        <v>98.48</v>
      </c>
      <c r="L422" t="s">
        <v>23</v>
      </c>
      <c r="M422" t="s">
        <v>24</v>
      </c>
      <c r="N422" s="2" t="str">
        <f>HYPERLINK("https://yandex.ru/maps/?&amp;text=55.7573443, 37.5119741", "55.7573443, 37.5119741")</f>
        <v>55.7573443, 37.5119741</v>
      </c>
      <c r="O422" t="s">
        <v>1139</v>
      </c>
      <c r="P422" t="s">
        <v>178</v>
      </c>
      <c r="Q422" s="7" t="str">
        <f>HYPERLINK("D:\torgi_project\venv_torgi\cache\objs_in_district/55.7573443_37.5119741.json", "55.7573443_37.5119741.json")</f>
        <v>55.7573443_37.5119741.json</v>
      </c>
      <c r="R422">
        <v>9224</v>
      </c>
      <c r="S422" s="6">
        <v>32.06</v>
      </c>
    </row>
    <row r="423" spans="1:19">
      <c r="A423" s="4"/>
      <c r="B423" t="s">
        <v>61</v>
      </c>
      <c r="C423" s="1">
        <v>53.3</v>
      </c>
      <c r="D423" s="2" t="str">
        <f>HYPERLINK("https://torgi.gov.ru/new/public/lots/lot/22000079930000000006_1/(lotInfo:info)", "22000079930000000006_1")</f>
        <v>22000079930000000006_1</v>
      </c>
      <c r="E423" t="s">
        <v>683</v>
      </c>
      <c r="F423" s="3">
        <v>15196.99812382739</v>
      </c>
      <c r="G423" s="3">
        <v>810000</v>
      </c>
      <c r="H423" t="s">
        <v>684</v>
      </c>
      <c r="I423" t="s">
        <v>331</v>
      </c>
      <c r="J423" t="s">
        <v>685</v>
      </c>
      <c r="K423" s="6">
        <v>105.53</v>
      </c>
      <c r="L423" t="s">
        <v>23</v>
      </c>
      <c r="M423" t="s">
        <v>24</v>
      </c>
      <c r="N423" s="2" t="str">
        <f>HYPERLINK("https://yandex.ru/maps/?&amp;text=57.4741, 41.961277", "57.4741, 41.961277")</f>
        <v>57.4741, 41.961277</v>
      </c>
      <c r="O423" t="s">
        <v>686</v>
      </c>
      <c r="P423" t="s">
        <v>209</v>
      </c>
      <c r="Q423" s="7" t="str">
        <f>HYPERLINK("D:\torgi_project\venv_torgi\cache\objs_in_district/57.4741_41.961277.json", "57.4741_41.961277.json")</f>
        <v>57.4741_41.961277.json</v>
      </c>
      <c r="R423">
        <v>1135</v>
      </c>
      <c r="S423" s="6">
        <v>13.39</v>
      </c>
    </row>
    <row r="424" spans="1:19">
      <c r="A424" s="4"/>
      <c r="B424" t="s">
        <v>49</v>
      </c>
      <c r="C424" s="1">
        <v>20.6</v>
      </c>
      <c r="D424" s="2" t="str">
        <f>HYPERLINK("https://torgi.gov.ru/new/public/lots/lot/22000016660000000004_5/(lotInfo:info)", "22000016660000000004_5")</f>
        <v>22000016660000000004_5</v>
      </c>
      <c r="E424" t="s">
        <v>108</v>
      </c>
      <c r="F424" s="3">
        <v>60514.563106796108</v>
      </c>
      <c r="G424" s="3">
        <v>1246600</v>
      </c>
      <c r="H424" t="s">
        <v>109</v>
      </c>
      <c r="I424" t="s">
        <v>110</v>
      </c>
      <c r="J424" t="s">
        <v>111</v>
      </c>
      <c r="K424" s="6">
        <v>105.98</v>
      </c>
      <c r="L424" t="s">
        <v>23</v>
      </c>
      <c r="M424" t="s">
        <v>24</v>
      </c>
      <c r="N424" s="2" t="str">
        <f>HYPERLINK("https://yandex.ru/maps/?&amp;text=55.634132, 109.31769", "55.634132, 109.31769")</f>
        <v>55.634132, 109.31769</v>
      </c>
      <c r="O424" t="s">
        <v>112</v>
      </c>
      <c r="P424" t="s">
        <v>37</v>
      </c>
      <c r="Q424" s="7" t="str">
        <f>HYPERLINK("D:\torgi_project\venv_torgi\cache\objs_in_district/55.634132_109.31769.json", "55.634132_109.31769.json")</f>
        <v>55.634132_109.31769.json</v>
      </c>
      <c r="R424">
        <v>1971</v>
      </c>
      <c r="S424" s="6">
        <v>30.7</v>
      </c>
    </row>
    <row r="425" spans="1:19">
      <c r="A425" s="4"/>
      <c r="B425" t="s">
        <v>784</v>
      </c>
      <c r="C425" s="1">
        <v>57</v>
      </c>
      <c r="D425" s="2" t="str">
        <f>HYPERLINK("https://torgi.gov.ru/new/public/lots/lot/22000012150000000006_4/(lotInfo:info)", "22000012150000000006_4")</f>
        <v>22000012150000000006_4</v>
      </c>
      <c r="E425" t="s">
        <v>809</v>
      </c>
      <c r="F425" s="3">
        <v>41263.15789473684</v>
      </c>
      <c r="G425" s="3">
        <v>2352000</v>
      </c>
      <c r="H425" t="s">
        <v>810</v>
      </c>
      <c r="I425" t="s">
        <v>811</v>
      </c>
      <c r="J425" t="s">
        <v>812</v>
      </c>
      <c r="K425" s="6">
        <v>119.6</v>
      </c>
      <c r="L425" t="s">
        <v>23</v>
      </c>
      <c r="M425" t="s">
        <v>24</v>
      </c>
      <c r="N425" s="2" t="str">
        <f>HYPERLINK("https://yandex.ru/maps/?&amp;text=53.713634, 87.80065", "53.713634, 87.80065")</f>
        <v>53.713634, 87.80065</v>
      </c>
      <c r="O425" t="s">
        <v>101</v>
      </c>
      <c r="P425" t="s">
        <v>178</v>
      </c>
      <c r="Q425" s="7" t="str">
        <f>HYPERLINK("D:\torgi_project\venv_torgi\cache\objs_in_district/53.713634_87.80065.json", "53.713634_87.80065.json")</f>
        <v>53.713634_87.80065.json</v>
      </c>
      <c r="R425">
        <v>1113</v>
      </c>
      <c r="S425" s="6">
        <v>37.07</v>
      </c>
    </row>
    <row r="426" spans="1:19">
      <c r="A426" s="4"/>
      <c r="B426" t="s">
        <v>27</v>
      </c>
      <c r="C426" s="1">
        <v>15.7</v>
      </c>
      <c r="D426" s="2" t="str">
        <f>HYPERLINK("https://torgi.gov.ru/new/public/lots/lot/22000014830000000004_1/(lotInfo:info)", "22000014830000000004_1")</f>
        <v>22000014830000000004_1</v>
      </c>
      <c r="E426" t="s">
        <v>74</v>
      </c>
      <c r="F426" s="3">
        <v>44585.987261146503</v>
      </c>
      <c r="G426" s="3">
        <v>700000</v>
      </c>
      <c r="H426" t="s">
        <v>75</v>
      </c>
      <c r="I426" t="s">
        <v>76</v>
      </c>
      <c r="J426" t="s">
        <v>77</v>
      </c>
      <c r="K426" s="6">
        <v>127.03</v>
      </c>
      <c r="L426" t="s">
        <v>23</v>
      </c>
      <c r="M426" t="s">
        <v>24</v>
      </c>
      <c r="N426" s="2" t="str">
        <f>HYPERLINK("https://yandex.ru/maps/?&amp;text=54.217415, 55.049246", "54.217415, 55.049246")</f>
        <v>54.217415, 55.049246</v>
      </c>
      <c r="O426" t="s">
        <v>78</v>
      </c>
      <c r="P426" t="s">
        <v>79</v>
      </c>
      <c r="Q426" s="7" t="str">
        <f>HYPERLINK("D:\torgi_project\venv_torgi\cache\objs_in_district/54.217415_55.049246.json", "54.217415_55.049246.json")</f>
        <v>54.217415_55.049246.json</v>
      </c>
      <c r="R426">
        <v>402</v>
      </c>
      <c r="S426" s="6">
        <v>110.91</v>
      </c>
    </row>
    <row r="427" spans="1:19">
      <c r="A427" s="4"/>
      <c r="B427" t="s">
        <v>1438</v>
      </c>
      <c r="C427" s="1">
        <v>632.4</v>
      </c>
      <c r="D427" s="2" t="str">
        <f>HYPERLINK("https://torgi.gov.ru/new/public/lots/lot/21000017550000000005_1/(lotInfo:info)", "21000017550000000005_1")</f>
        <v>21000017550000000005_1</v>
      </c>
      <c r="E427" t="s">
        <v>1493</v>
      </c>
      <c r="F427" s="3">
        <v>4269.4497153700186</v>
      </c>
      <c r="G427" s="3">
        <v>2700000</v>
      </c>
      <c r="H427" t="s">
        <v>1440</v>
      </c>
      <c r="I427" t="s">
        <v>1494</v>
      </c>
      <c r="J427" t="s">
        <v>1441</v>
      </c>
      <c r="K427" s="6">
        <v>142.31</v>
      </c>
      <c r="L427" t="s">
        <v>592</v>
      </c>
      <c r="M427" t="s">
        <v>24</v>
      </c>
      <c r="N427" s="2" t="str">
        <f>HYPERLINK("https://yandex.ru/maps/?&amp;text=56.046006, 60.733893", "56.046006, 60.733893")</f>
        <v>56.046006, 60.733893</v>
      </c>
      <c r="O427" t="s">
        <v>498</v>
      </c>
      <c r="P427" t="s">
        <v>79</v>
      </c>
      <c r="Q427" s="7" t="str">
        <f>HYPERLINK("D:\torgi_project\venv_torgi\cache\objs_in_district/56.046006_60.733893.json", "56.046006_60.733893.json")</f>
        <v>56.046006_60.733893.json</v>
      </c>
      <c r="R427">
        <v>459</v>
      </c>
      <c r="S427" s="6">
        <v>9.3000000000000007</v>
      </c>
    </row>
    <row r="428" spans="1:19">
      <c r="A428" s="4"/>
      <c r="B428" t="s">
        <v>125</v>
      </c>
      <c r="C428" s="1">
        <v>30.6</v>
      </c>
      <c r="D428" s="2" t="str">
        <f>HYPERLINK("https://torgi.gov.ru/new/public/lots/lot/22000083510000000001_2/(lotInfo:info)", "22000083510000000001_2")</f>
        <v>22000083510000000001_2</v>
      </c>
      <c r="E428" t="s">
        <v>137</v>
      </c>
      <c r="F428" s="3">
        <v>16339.869281045751</v>
      </c>
      <c r="G428" s="3">
        <v>500000</v>
      </c>
      <c r="H428" t="s">
        <v>138</v>
      </c>
      <c r="I428" t="s">
        <v>139</v>
      </c>
      <c r="J428" t="s">
        <v>140</v>
      </c>
      <c r="K428" s="6">
        <v>151.30000000000001</v>
      </c>
      <c r="L428" t="s">
        <v>23</v>
      </c>
      <c r="M428" t="s">
        <v>24</v>
      </c>
      <c r="N428" s="2" t="str">
        <f>HYPERLINK("https://yandex.ru/maps/?&amp;text=61.542702, 34.685094", "61.542702, 34.685094")</f>
        <v>61.542702, 34.685094</v>
      </c>
      <c r="O428" t="s">
        <v>141</v>
      </c>
      <c r="P428" t="s">
        <v>49</v>
      </c>
      <c r="Q428" s="7" t="str">
        <f>HYPERLINK("D:\torgi_project\venv_torgi\cache\objs_in_district/61.542702_34.685094.json", "61.542702_34.685094.json")</f>
        <v>61.542702_34.685094.json</v>
      </c>
      <c r="R428">
        <v>107</v>
      </c>
      <c r="S428" s="6">
        <v>152.71</v>
      </c>
    </row>
    <row r="429" spans="1:19">
      <c r="A429" s="4"/>
      <c r="B429" t="s">
        <v>366</v>
      </c>
      <c r="C429" s="1">
        <v>40.4</v>
      </c>
      <c r="D429" s="2" t="str">
        <f>HYPERLINK("https://torgi.gov.ru/new/public/lots/lot/21000019000000000003_1/(lotInfo:info)", "21000019000000000003_1")</f>
        <v>21000019000000000003_1</v>
      </c>
      <c r="E429" t="s">
        <v>746</v>
      </c>
      <c r="F429" s="3">
        <v>18811.881188118808</v>
      </c>
      <c r="G429" s="3">
        <v>760000</v>
      </c>
      <c r="H429" t="s">
        <v>747</v>
      </c>
      <c r="I429" t="s">
        <v>748</v>
      </c>
      <c r="J429" t="s">
        <v>749</v>
      </c>
      <c r="K429" s="6">
        <v>155.47</v>
      </c>
      <c r="L429" t="s">
        <v>23</v>
      </c>
      <c r="M429" t="s">
        <v>24</v>
      </c>
      <c r="N429" s="2" t="str">
        <f>HYPERLINK("https://yandex.ru/maps/?&amp;text=52.36115, 104.21175", "52.36115, 104.21175")</f>
        <v>52.36115, 104.21175</v>
      </c>
      <c r="O429" t="s">
        <v>750</v>
      </c>
      <c r="P429" t="s">
        <v>151</v>
      </c>
      <c r="Q429" s="7" t="str">
        <f>HYPERLINK("D:\torgi_project\venv_torgi\cache\objs_in_district/52.36115_104.21175.json", "52.36115_104.21175.json")</f>
        <v>52.36115_104.21175.json</v>
      </c>
      <c r="R429">
        <v>2753</v>
      </c>
      <c r="S429" s="6">
        <v>6.83</v>
      </c>
    </row>
    <row r="430" spans="1:19">
      <c r="A430" s="4"/>
      <c r="B430" t="s">
        <v>1711</v>
      </c>
      <c r="C430" s="1">
        <v>20.399999999999999</v>
      </c>
      <c r="D430" s="2" t="str">
        <f>HYPERLINK("https://torgi.gov.ru/new/public/lots/lot/21000002210000000296_1/(lotInfo:info)", "21000002210000000296_1")</f>
        <v>21000002210000000296_1</v>
      </c>
      <c r="E430" t="s">
        <v>1880</v>
      </c>
      <c r="F430" s="3">
        <v>175686.27450980389</v>
      </c>
      <c r="G430" s="3">
        <v>3584000</v>
      </c>
      <c r="H430" t="s">
        <v>1881</v>
      </c>
      <c r="I430" t="s">
        <v>1876</v>
      </c>
      <c r="J430" t="s">
        <v>1882</v>
      </c>
      <c r="K430" s="6">
        <v>195.21</v>
      </c>
      <c r="L430" t="s">
        <v>23</v>
      </c>
      <c r="M430" t="s">
        <v>24</v>
      </c>
      <c r="N430" s="2" t="str">
        <f>HYPERLINK("https://yandex.ru/maps/?&amp;text=59.88306, 29.900676", "59.88306, 29.900676")</f>
        <v>59.88306, 29.900676</v>
      </c>
      <c r="O430" t="s">
        <v>1883</v>
      </c>
      <c r="P430" t="s">
        <v>453</v>
      </c>
      <c r="Q430" s="7" t="str">
        <f>HYPERLINK("D:\torgi_project\venv_torgi\cache\objs_in_district/59.88306_29.900676.json", "59.88306_29.900676.json")</f>
        <v>59.88306_29.900676.json</v>
      </c>
      <c r="R430">
        <v>1635</v>
      </c>
      <c r="S430" s="6">
        <v>107.45</v>
      </c>
    </row>
    <row r="431" spans="1:19">
      <c r="A431" s="4"/>
      <c r="B431" t="s">
        <v>1115</v>
      </c>
      <c r="C431" s="1">
        <v>140.5</v>
      </c>
      <c r="D431" s="2" t="str">
        <f>HYPERLINK("https://torgi.gov.ru/new/public/lots/lot/21000008240000000005_1/(lotInfo:info)", "21000008240000000005_1")</f>
        <v>21000008240000000005_1</v>
      </c>
      <c r="E431" t="s">
        <v>1126</v>
      </c>
      <c r="F431" s="3">
        <v>13928.825622775799</v>
      </c>
      <c r="G431" s="3">
        <v>1957000</v>
      </c>
      <c r="H431" t="s">
        <v>1127</v>
      </c>
      <c r="I431" t="s">
        <v>1128</v>
      </c>
      <c r="J431" t="s">
        <v>1129</v>
      </c>
      <c r="K431" s="6">
        <v>211.04</v>
      </c>
      <c r="L431" t="s">
        <v>23</v>
      </c>
      <c r="M431" t="s">
        <v>24</v>
      </c>
      <c r="N431" s="2" t="str">
        <f>HYPERLINK("https://yandex.ru/maps/?&amp;text=55.011144, 82.856505", "55.011144, 82.856505")</f>
        <v>55.011144, 82.856505</v>
      </c>
      <c r="O431" t="s">
        <v>1130</v>
      </c>
      <c r="P431" t="s">
        <v>79</v>
      </c>
      <c r="Q431" s="7" t="str">
        <f>HYPERLINK("D:\torgi_project\venv_torgi\cache\objs_in_district/55.011144_82.856505.json", "55.011144_82.856505.json")</f>
        <v>55.011144_82.856505.json</v>
      </c>
      <c r="R431">
        <v>4728</v>
      </c>
      <c r="S431" s="6">
        <v>2.95</v>
      </c>
    </row>
    <row r="432" spans="1:19">
      <c r="A432" s="4"/>
      <c r="B432" t="s">
        <v>189</v>
      </c>
      <c r="C432" s="1">
        <v>104.9</v>
      </c>
      <c r="D432" s="2" t="str">
        <f>HYPERLINK("https://torgi.gov.ru/new/public/lots/lot/21000006210000000010_4/(lotInfo:info)", "21000006210000000010_4")</f>
        <v>21000006210000000010_4</v>
      </c>
      <c r="E432" t="s">
        <v>199</v>
      </c>
      <c r="F432" s="3">
        <v>33155.386081982841</v>
      </c>
      <c r="G432" s="3">
        <v>3478000</v>
      </c>
      <c r="H432" t="s">
        <v>200</v>
      </c>
      <c r="I432" t="s">
        <v>201</v>
      </c>
      <c r="J432" t="s">
        <v>202</v>
      </c>
      <c r="K432" s="6">
        <v>212.53</v>
      </c>
      <c r="L432" t="s">
        <v>23</v>
      </c>
      <c r="M432" t="s">
        <v>24</v>
      </c>
      <c r="N432" s="2" t="str">
        <f>HYPERLINK("https://yandex.ru/maps/?&amp;text=54.904877, 52.263435", "54.904877, 52.263435")</f>
        <v>54.904877, 52.263435</v>
      </c>
      <c r="O432" t="s">
        <v>203</v>
      </c>
      <c r="P432" t="s">
        <v>204</v>
      </c>
      <c r="Q432" s="7" t="str">
        <f>HYPERLINK("D:\torgi_project\venv_torgi\cache\objs_in_district/54.904877_52.263435.json", "54.904877_52.263435.json")</f>
        <v>54.904877_52.263435.json</v>
      </c>
      <c r="R432">
        <v>2233</v>
      </c>
      <c r="S432" s="6">
        <v>14.85</v>
      </c>
    </row>
    <row r="433" spans="1:19">
      <c r="A433" s="4"/>
      <c r="B433" t="s">
        <v>291</v>
      </c>
      <c r="C433" s="1">
        <v>123.6</v>
      </c>
      <c r="D433" s="2" t="str">
        <f>HYPERLINK("https://torgi.gov.ru/new/public/lots/lot/22000098680000000005_1/(lotInfo:info)", "22000098680000000005_1")</f>
        <v>22000098680000000005_1</v>
      </c>
      <c r="E433" t="s">
        <v>292</v>
      </c>
      <c r="F433" s="3">
        <v>4697.8155339805826</v>
      </c>
      <c r="G433" s="3">
        <v>580650</v>
      </c>
      <c r="H433" t="s">
        <v>293</v>
      </c>
      <c r="I433" t="s">
        <v>294</v>
      </c>
      <c r="J433" t="s">
        <v>295</v>
      </c>
      <c r="K433" s="6">
        <v>223.71</v>
      </c>
      <c r="L433" t="s">
        <v>23</v>
      </c>
      <c r="M433" t="s">
        <v>24</v>
      </c>
      <c r="N433" s="2" t="str">
        <f>HYPERLINK("https://yandex.ru/maps/?&amp;text=51.954252, 85.813355", "51.954252, 85.813355")</f>
        <v>51.954252, 85.813355</v>
      </c>
      <c r="O433" t="s">
        <v>241</v>
      </c>
      <c r="P433" t="s">
        <v>18</v>
      </c>
      <c r="Q433" s="7" t="str">
        <f>HYPERLINK("D:\torgi_project\venv_torgi\cache\objs_in_district/51.954252_85.813355.json", "51.954252_85.813355.json")</f>
        <v>51.954252_85.813355.json</v>
      </c>
      <c r="R433">
        <v>247</v>
      </c>
      <c r="S433" s="6">
        <v>19.02</v>
      </c>
    </row>
    <row r="434" spans="1:19">
      <c r="A434" s="4"/>
      <c r="B434" t="s">
        <v>107</v>
      </c>
      <c r="C434" s="1">
        <v>164.4</v>
      </c>
      <c r="D434" s="2" t="str">
        <f>HYPERLINK("https://torgi.gov.ru/new/public/lots/lot/22000004950000000002_2/(lotInfo:info)", "22000004950000000002_2")</f>
        <v>22000004950000000002_2</v>
      </c>
      <c r="E434" t="s">
        <v>347</v>
      </c>
      <c r="F434" s="3">
        <v>24680.597931873479</v>
      </c>
      <c r="G434" s="3">
        <v>4057490.3</v>
      </c>
      <c r="H434" t="s">
        <v>348</v>
      </c>
      <c r="I434" t="s">
        <v>349</v>
      </c>
      <c r="J434" t="s">
        <v>350</v>
      </c>
      <c r="K434" s="6">
        <v>293.82</v>
      </c>
      <c r="L434" t="s">
        <v>23</v>
      </c>
      <c r="M434" t="s">
        <v>24</v>
      </c>
      <c r="N434" s="2" t="str">
        <f>HYPERLINK("https://yandex.ru/maps/?&amp;text=56.053432, 92.86393", "56.053432, 92.86393")</f>
        <v>56.053432, 92.86393</v>
      </c>
      <c r="O434" t="s">
        <v>351</v>
      </c>
      <c r="P434" t="s">
        <v>18</v>
      </c>
      <c r="Q434" s="7" t="str">
        <f>HYPERLINK("D:\torgi_project\venv_torgi\cache\objs_in_district/56.053432_92.86393.json", "56.053432_92.86393.json")</f>
        <v>56.053432_92.86393.json</v>
      </c>
      <c r="R434">
        <v>235</v>
      </c>
      <c r="S434" s="6">
        <v>105.02</v>
      </c>
    </row>
    <row r="435" spans="1:19">
      <c r="A435" s="4"/>
      <c r="B435" t="s">
        <v>125</v>
      </c>
      <c r="C435" s="1">
        <v>228.9</v>
      </c>
      <c r="D435" s="2" t="str">
        <f>HYPERLINK("https://torgi.gov.ru/new/public/lots/lot/22000078070000000003_1/(lotInfo:info)", "22000078070000000003_1")</f>
        <v>22000078070000000003_1</v>
      </c>
      <c r="E435" t="s">
        <v>126</v>
      </c>
      <c r="F435" s="3">
        <v>16880.733944954129</v>
      </c>
      <c r="G435" s="3">
        <v>3864000</v>
      </c>
      <c r="H435" t="s">
        <v>127</v>
      </c>
      <c r="I435" t="s">
        <v>128</v>
      </c>
      <c r="J435" t="s">
        <v>129</v>
      </c>
      <c r="K435" s="6">
        <v>375.13</v>
      </c>
      <c r="L435" t="s">
        <v>23</v>
      </c>
      <c r="M435" t="s">
        <v>24</v>
      </c>
      <c r="N435" s="2" t="str">
        <f>HYPERLINK("https://yandex.ru/maps/?&amp;text=61.269279, 29.857736", "61.269279, 29.857736")</f>
        <v>61.269279, 29.857736</v>
      </c>
      <c r="O435" t="s">
        <v>130</v>
      </c>
      <c r="P435" t="s">
        <v>79</v>
      </c>
      <c r="Q435" s="7" t="str">
        <f>HYPERLINK("D:\torgi_project\venv_torgi\cache\objs_in_district/61.269279_29.857736.json", "61.269279_29.857736.json")</f>
        <v>61.269279_29.857736.json</v>
      </c>
      <c r="R435">
        <v>62</v>
      </c>
      <c r="S435" s="6">
        <v>272.27</v>
      </c>
    </row>
    <row r="436" spans="1:19">
      <c r="A436" s="4"/>
      <c r="B436" t="s">
        <v>946</v>
      </c>
      <c r="C436" s="1">
        <v>114.9</v>
      </c>
      <c r="D436" s="2" t="str">
        <f>HYPERLINK("https://torgi.gov.ru/new/public/lots/lot/21000013960000000004_8/(lotInfo:info)", "21000013960000000004_8")</f>
        <v>21000013960000000004_8</v>
      </c>
      <c r="E436" t="s">
        <v>947</v>
      </c>
      <c r="F436" s="3">
        <v>17754.046997389029</v>
      </c>
      <c r="G436" s="3">
        <v>2039940</v>
      </c>
      <c r="H436" t="s">
        <v>948</v>
      </c>
      <c r="I436" t="s">
        <v>949</v>
      </c>
      <c r="J436" t="s">
        <v>950</v>
      </c>
      <c r="K436" s="6">
        <v>422.72</v>
      </c>
      <c r="L436" t="s">
        <v>23</v>
      </c>
      <c r="M436" t="s">
        <v>35</v>
      </c>
      <c r="N436" s="2" t="str">
        <f>HYPERLINK("https://yandex.ru/maps/?&amp;text=59.58926, 150.83209", "59.58926, 150.83209")</f>
        <v>59.58926, 150.83209</v>
      </c>
      <c r="O436" t="s">
        <v>784</v>
      </c>
      <c r="P436" t="s">
        <v>79</v>
      </c>
      <c r="Q436" s="7" t="str">
        <f>HYPERLINK("D:\torgi_project\venv_torgi\cache\objs_in_district/59.58926_150.83209.json", "59.58926_150.83209.json")</f>
        <v>59.58926_150.83209.json</v>
      </c>
      <c r="R436">
        <v>952</v>
      </c>
      <c r="S436" s="6">
        <v>18.649999999999999</v>
      </c>
    </row>
    <row r="437" spans="1:19">
      <c r="A437" s="4"/>
      <c r="B437" t="s">
        <v>1438</v>
      </c>
      <c r="C437" s="1">
        <v>632.4</v>
      </c>
      <c r="D437" s="2" t="str">
        <f>HYPERLINK("https://torgi.gov.ru/new/public/lots/lot/21000017550000000039_1/(lotInfo:info)", "21000017550000000039_1")</f>
        <v>21000017550000000039_1</v>
      </c>
      <c r="E437" t="s">
        <v>1439</v>
      </c>
      <c r="F437" s="3">
        <v>15039.53194180898</v>
      </c>
      <c r="G437" s="3">
        <v>9511000</v>
      </c>
      <c r="H437" t="s">
        <v>1440</v>
      </c>
      <c r="I437" t="s">
        <v>1166</v>
      </c>
      <c r="J437" t="s">
        <v>1441</v>
      </c>
      <c r="K437" s="6">
        <v>501.32</v>
      </c>
      <c r="L437" t="s">
        <v>90</v>
      </c>
      <c r="M437" t="s">
        <v>24</v>
      </c>
      <c r="N437" s="2" t="str">
        <f>HYPERLINK("https://yandex.ru/maps/?&amp;text=56.046006, 60.733893", "56.046006, 60.733893")</f>
        <v>56.046006, 60.733893</v>
      </c>
      <c r="O437" t="s">
        <v>498</v>
      </c>
      <c r="P437" t="s">
        <v>79</v>
      </c>
      <c r="Q437" s="7" t="str">
        <f>HYPERLINK("D:\torgi_project\venv_torgi\cache\objs_in_district/56.046006_60.733893.json", "56.046006_60.733893.json")</f>
        <v>56.046006_60.733893.json</v>
      </c>
      <c r="R437">
        <v>459</v>
      </c>
      <c r="S437" s="6">
        <v>32.770000000000003</v>
      </c>
    </row>
    <row r="438" spans="1:19">
      <c r="A438" s="4"/>
      <c r="B438" t="s">
        <v>204</v>
      </c>
      <c r="C438" s="1">
        <v>334.1</v>
      </c>
      <c r="D438" s="2" t="str">
        <f>HYPERLINK("https://torgi.gov.ru/new/public/lots/lot/21000034040000000002_1/(lotInfo:info)", "21000034040000000002_1")</f>
        <v>21000034040000000002_1</v>
      </c>
      <c r="E438" t="s">
        <v>775</v>
      </c>
      <c r="F438" s="3">
        <v>5956.3005088296914</v>
      </c>
      <c r="G438" s="3">
        <v>1990000</v>
      </c>
      <c r="H438" t="s">
        <v>776</v>
      </c>
      <c r="I438" t="s">
        <v>777</v>
      </c>
      <c r="J438" t="s">
        <v>778</v>
      </c>
      <c r="K438" s="6">
        <v>661.81</v>
      </c>
      <c r="L438" t="s">
        <v>90</v>
      </c>
      <c r="M438" t="s">
        <v>24</v>
      </c>
      <c r="N438" s="2" t="str">
        <f>HYPERLINK("https://yandex.ru/maps/?&amp;text=53.122253, 157.74729", "53.122253, 157.74729")</f>
        <v>53.122253, 157.74729</v>
      </c>
      <c r="O438" t="s">
        <v>67</v>
      </c>
      <c r="P438" t="s">
        <v>18</v>
      </c>
      <c r="Q438" s="7" t="str">
        <f>HYPERLINK("D:\torgi_project\venv_torgi\cache\objs_in_district/53.122253_157.74729.json", "53.122253_157.74729.json")</f>
        <v>53.122253_157.74729.json</v>
      </c>
      <c r="R438">
        <v>33</v>
      </c>
      <c r="S438" s="6">
        <v>180.49</v>
      </c>
    </row>
    <row r="439" spans="1:19">
      <c r="A439" s="4"/>
      <c r="B439" t="s">
        <v>366</v>
      </c>
      <c r="C439" s="1">
        <v>49.7</v>
      </c>
      <c r="D439" s="2" t="str">
        <f>HYPERLINK("https://torgi.gov.ru/new/public/lots/lot/22000092900000000001_1/(lotInfo:info)", "22000092900000000001_1")</f>
        <v>22000092900000000001_1</v>
      </c>
      <c r="E439" t="s">
        <v>726</v>
      </c>
      <c r="F439" s="3">
        <v>135815.69416498989</v>
      </c>
      <c r="G439" s="3">
        <v>6750040</v>
      </c>
      <c r="H439" t="s">
        <v>727</v>
      </c>
      <c r="I439" t="s">
        <v>121</v>
      </c>
      <c r="J439" t="s">
        <v>728</v>
      </c>
      <c r="K439" s="6">
        <v>2155.8000000000002</v>
      </c>
      <c r="L439" t="s">
        <v>23</v>
      </c>
      <c r="M439" t="s">
        <v>24</v>
      </c>
      <c r="N439" s="2" t="str">
        <f>HYPERLINK("https://yandex.ru/maps/?&amp;text=52.308495, 104.176096", "52.308495, 104.176096")</f>
        <v>52.308495, 104.176096</v>
      </c>
      <c r="O439" t="s">
        <v>729</v>
      </c>
      <c r="P439" t="s">
        <v>49</v>
      </c>
      <c r="Q439" s="7" t="str">
        <f>HYPERLINK("D:\torgi_project\venv_torgi\cache\objs_in_district/52.308495_104.176096.json", "52.308495_104.176096.json")</f>
        <v>52.308495_104.176096.json</v>
      </c>
      <c r="R439">
        <v>235</v>
      </c>
      <c r="S439" s="6">
        <v>577.94000000000005</v>
      </c>
    </row>
    <row r="440" spans="1:19">
      <c r="A440" s="4"/>
      <c r="B440" t="s">
        <v>513</v>
      </c>
      <c r="C440" s="1">
        <v>1092.5</v>
      </c>
      <c r="D440" s="2" t="str">
        <f>HYPERLINK("https://torgi.gov.ru/new/public/lots/lot/21000030690000000016_2/(lotInfo:info)", "21000030690000000016_2")</f>
        <v>21000030690000000016_2</v>
      </c>
      <c r="E440" t="s">
        <v>532</v>
      </c>
      <c r="F440" s="3">
        <v>1043.743707093822</v>
      </c>
      <c r="G440" s="3">
        <v>1140290</v>
      </c>
      <c r="H440" t="s">
        <v>533</v>
      </c>
      <c r="I440" t="s">
        <v>534</v>
      </c>
      <c r="K440" s="6"/>
      <c r="L440" t="s">
        <v>23</v>
      </c>
      <c r="M440" t="s">
        <v>35</v>
      </c>
      <c r="N440" s="2" t="str">
        <f>HYPERLINK("https://yandex.ru/maps/?&amp;text=53.051819, 32.084606", "53.051819, 32.084606")</f>
        <v>53.051819, 32.084606</v>
      </c>
      <c r="O440" t="s">
        <v>79</v>
      </c>
      <c r="P440" t="s">
        <v>79</v>
      </c>
      <c r="Q440" s="7" t="str">
        <f>HYPERLINK("D:\torgi_project\venv_torgi\cache\objs_in_district/53.051819_32.084606.json", "53.051819_32.084606.json")</f>
        <v>53.051819_32.084606.json</v>
      </c>
      <c r="R440">
        <v>181</v>
      </c>
      <c r="S440" s="6">
        <v>5.77</v>
      </c>
    </row>
    <row r="441" spans="1:19">
      <c r="A441" s="4"/>
      <c r="B441" t="s">
        <v>513</v>
      </c>
      <c r="C441" s="1">
        <v>813.2</v>
      </c>
      <c r="D441" s="2" t="str">
        <f>HYPERLINK("https://torgi.gov.ru/new/public/lots/lot/21000030690000000016_3/(lotInfo:info)", "21000030690000000016_3")</f>
        <v>21000030690000000016_3</v>
      </c>
      <c r="E441" t="s">
        <v>535</v>
      </c>
      <c r="F441" s="3">
        <v>1114.6089522872601</v>
      </c>
      <c r="G441" s="3">
        <v>906400</v>
      </c>
      <c r="H441" t="s">
        <v>536</v>
      </c>
      <c r="I441" t="s">
        <v>534</v>
      </c>
      <c r="K441" s="6"/>
      <c r="L441" t="s">
        <v>23</v>
      </c>
      <c r="M441" t="s">
        <v>35</v>
      </c>
      <c r="N441" s="2" t="str">
        <f>HYPERLINK("https://yandex.ru/maps/?&amp;text=52.993109, 31.955347", "52.993109, 31.955347")</f>
        <v>52.993109, 31.955347</v>
      </c>
      <c r="O441" t="s">
        <v>79</v>
      </c>
      <c r="P441" t="s">
        <v>79</v>
      </c>
      <c r="Q441" s="7" t="str">
        <f>HYPERLINK("D:\torgi_project\venv_torgi\cache\objs_in_district/52.993109_31.955347.json", "52.993109_31.955347.json")</f>
        <v>52.993109_31.955347.json</v>
      </c>
      <c r="R441">
        <v>64</v>
      </c>
      <c r="S441" s="6">
        <v>17.420000000000002</v>
      </c>
    </row>
    <row r="442" spans="1:19">
      <c r="A442" s="4"/>
      <c r="B442" t="s">
        <v>513</v>
      </c>
      <c r="C442" s="1">
        <v>126.7</v>
      </c>
      <c r="D442" s="2" t="str">
        <f>HYPERLINK("https://torgi.gov.ru/new/public/lots/lot/21000013350000000014_1/(lotInfo:info)", "21000013350000000014_1")</f>
        <v>21000013350000000014_1</v>
      </c>
      <c r="E442" t="s">
        <v>539</v>
      </c>
      <c r="F442" s="3">
        <v>5130.2288871349647</v>
      </c>
      <c r="G442" s="3">
        <v>650000</v>
      </c>
      <c r="H442" t="s">
        <v>540</v>
      </c>
      <c r="I442" t="s">
        <v>541</v>
      </c>
      <c r="J442" t="s">
        <v>542</v>
      </c>
      <c r="K442" s="6"/>
      <c r="L442" t="s">
        <v>23</v>
      </c>
      <c r="M442" t="s">
        <v>24</v>
      </c>
      <c r="N442" s="2" t="str">
        <f>HYPERLINK("https://yandex.ru/maps/?&amp;text=53.013468, 31.58578", "53.013468, 31.58578")</f>
        <v>53.013468, 31.58578</v>
      </c>
      <c r="O442" t="s">
        <v>79</v>
      </c>
      <c r="P442" t="s">
        <v>79</v>
      </c>
      <c r="Q442" s="7" t="str">
        <f>HYPERLINK("D:\torgi_project\venv_torgi\cache\objs_in_district/53.013468_31.58578.json", "53.013468_31.58578.json")</f>
        <v>53.013468_31.58578.json</v>
      </c>
      <c r="R442">
        <v>446</v>
      </c>
      <c r="S442" s="6">
        <v>11.5</v>
      </c>
    </row>
    <row r="443" spans="1:19" hidden="1">
      <c r="A443" s="4"/>
      <c r="B443" t="s">
        <v>1879</v>
      </c>
      <c r="C443" s="1">
        <v>310</v>
      </c>
      <c r="D443" s="2" t="str">
        <f>HYPERLINK("https://torgi.gov.ru/new/public/lots/lot/21000027580000000002_1/(lotInfo:info)", "21000027580000000002_1")</f>
        <v>21000027580000000002_1</v>
      </c>
      <c r="E443" t="s">
        <v>2044</v>
      </c>
      <c r="F443" s="3">
        <v>4441.9354838709678</v>
      </c>
      <c r="G443" s="3">
        <v>1377000</v>
      </c>
      <c r="H443" t="s">
        <v>2045</v>
      </c>
      <c r="I443" t="s">
        <v>2046</v>
      </c>
      <c r="J443" t="s">
        <v>2047</v>
      </c>
      <c r="L443" t="s">
        <v>23</v>
      </c>
      <c r="M443" t="s">
        <v>24</v>
      </c>
    </row>
    <row r="444" spans="1:19">
      <c r="A444" s="4"/>
      <c r="B444" t="s">
        <v>318</v>
      </c>
      <c r="C444" s="1">
        <v>64.599999999999994</v>
      </c>
      <c r="D444" s="2" t="str">
        <f>HYPERLINK("https://torgi.gov.ru/new/public/lots/lot/21000007870000000002_1/(lotInfo:info)", "21000007870000000002_1")</f>
        <v>21000007870000000002_1</v>
      </c>
      <c r="E444" t="s">
        <v>1379</v>
      </c>
      <c r="F444" s="3">
        <v>45213.622291021667</v>
      </c>
      <c r="G444" s="3">
        <v>2920800</v>
      </c>
      <c r="H444" t="s">
        <v>1380</v>
      </c>
      <c r="I444" t="s">
        <v>1381</v>
      </c>
      <c r="J444" t="s">
        <v>1382</v>
      </c>
      <c r="K444" s="6"/>
      <c r="L444" t="s">
        <v>23</v>
      </c>
      <c r="M444" t="s">
        <v>24</v>
      </c>
      <c r="N444" s="2" t="str">
        <f>HYPERLINK("https://yandex.ru/maps/?&amp;text=56.428722, 36.065472", "56.428722, 36.065472")</f>
        <v>56.428722, 36.065472</v>
      </c>
      <c r="O444" t="s">
        <v>79</v>
      </c>
      <c r="P444" t="s">
        <v>18</v>
      </c>
      <c r="Q444" s="7" t="str">
        <f>HYPERLINK("D:\torgi_project\venv_torgi\cache\objs_in_district/56.428722_36.065472.json", "56.428722_36.065472.json")</f>
        <v>56.428722_36.065472.json</v>
      </c>
      <c r="R444">
        <v>58</v>
      </c>
      <c r="S444" s="6">
        <v>779.55</v>
      </c>
    </row>
    <row r="445" spans="1:19" hidden="1"/>
    <row r="446" spans="1:19" hidden="1"/>
    <row r="447" spans="1:19" hidden="1"/>
    <row r="448" spans="1:19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A1:T1000">
    <filterColumn colId="14">
      <customFilters>
        <customFilter operator="notEqual" val=" "/>
      </customFilters>
    </filterColumn>
    <sortState ref="A2:S444">
      <sortCondition ref="K1:K1000"/>
    </sortState>
  </autoFilter>
  <conditionalFormatting sqref="L1:L1000">
    <cfRule type="containsText" dxfId="14" priority="3" operator="containsText" text="PP">
      <formula>NOT(ISERROR(SEARCH("PP",L1)))</formula>
    </cfRule>
  </conditionalFormatting>
  <conditionalFormatting sqref="L1">
    <cfRule type="containsText" dxfId="13" priority="2" operator="containsText" text="PP">
      <formula>NOT(ISERROR(SEARCH("PP",L1)))</formula>
    </cfRule>
    <cfRule type="containsText" dxfId="12" priority="1" operator="containsText" text="PP">
      <formula>NOT(ISERROR(SEARCH("PP",L1)))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93"/>
  <sheetViews>
    <sheetView topLeftCell="A364" workbookViewId="0">
      <selection activeCell="F396" sqref="F396"/>
    </sheetView>
  </sheetViews>
  <sheetFormatPr defaultRowHeight="15"/>
  <sheetData>
    <row r="1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</row>
    <row r="2" spans="1:18">
      <c r="A2" t="s">
        <v>18</v>
      </c>
      <c r="B2" s="1">
        <v>52.9</v>
      </c>
      <c r="C2" s="2" t="s">
        <v>2054</v>
      </c>
      <c r="D2" t="s">
        <v>19</v>
      </c>
      <c r="E2" s="3">
        <v>26729.678638941401</v>
      </c>
      <c r="F2" s="3">
        <v>1414000</v>
      </c>
      <c r="G2" t="s">
        <v>20</v>
      </c>
      <c r="H2" t="s">
        <v>21</v>
      </c>
      <c r="I2" t="s">
        <v>22</v>
      </c>
      <c r="J2" s="6">
        <v>10.17</v>
      </c>
      <c r="K2" t="s">
        <v>23</v>
      </c>
      <c r="L2" t="s">
        <v>24</v>
      </c>
      <c r="M2" s="2" t="s">
        <v>2055</v>
      </c>
      <c r="N2" t="s">
        <v>25</v>
      </c>
      <c r="O2" t="s">
        <v>26</v>
      </c>
      <c r="P2" s="7" t="s">
        <v>2056</v>
      </c>
      <c r="Q2">
        <v>3142</v>
      </c>
      <c r="R2" s="6">
        <v>8.51</v>
      </c>
    </row>
    <row r="3" spans="1:18">
      <c r="A3" t="s">
        <v>27</v>
      </c>
      <c r="B3" s="1">
        <v>283.7</v>
      </c>
      <c r="C3" s="2" t="s">
        <v>2057</v>
      </c>
      <c r="D3" t="s">
        <v>31</v>
      </c>
      <c r="E3" s="3">
        <v>11831.98801550934</v>
      </c>
      <c r="F3" s="3">
        <v>3356735</v>
      </c>
      <c r="G3" t="s">
        <v>32</v>
      </c>
      <c r="H3" t="s">
        <v>33</v>
      </c>
      <c r="I3" t="s">
        <v>34</v>
      </c>
      <c r="J3" s="6">
        <v>4.3600000000000003</v>
      </c>
      <c r="K3" t="s">
        <v>23</v>
      </c>
      <c r="L3" t="s">
        <v>35</v>
      </c>
      <c r="M3" s="2" t="s">
        <v>2058</v>
      </c>
      <c r="N3" t="s">
        <v>36</v>
      </c>
      <c r="O3" t="s">
        <v>37</v>
      </c>
      <c r="P3" s="7" t="s">
        <v>2059</v>
      </c>
      <c r="Q3">
        <v>4359</v>
      </c>
      <c r="R3" s="6">
        <v>2.71</v>
      </c>
    </row>
    <row r="4" spans="1:18">
      <c r="A4" t="s">
        <v>27</v>
      </c>
      <c r="B4" s="1">
        <v>29.1</v>
      </c>
      <c r="C4" s="2" t="s">
        <v>2060</v>
      </c>
      <c r="D4" t="s">
        <v>38</v>
      </c>
      <c r="E4" s="3">
        <v>159231.96494845359</v>
      </c>
      <c r="F4" s="3">
        <v>4633650.18</v>
      </c>
      <c r="G4" t="s">
        <v>39</v>
      </c>
      <c r="H4" t="s">
        <v>40</v>
      </c>
      <c r="I4" t="s">
        <v>41</v>
      </c>
      <c r="J4" s="6">
        <v>34.35</v>
      </c>
      <c r="K4" t="s">
        <v>23</v>
      </c>
      <c r="L4" t="s">
        <v>24</v>
      </c>
      <c r="M4" s="2" t="s">
        <v>2061</v>
      </c>
      <c r="N4" t="s">
        <v>42</v>
      </c>
      <c r="O4" t="s">
        <v>43</v>
      </c>
      <c r="P4" s="7" t="s">
        <v>2062</v>
      </c>
      <c r="Q4">
        <v>6930</v>
      </c>
      <c r="R4" s="6">
        <v>22.98</v>
      </c>
    </row>
    <row r="5" spans="1:18">
      <c r="A5" t="s">
        <v>27</v>
      </c>
      <c r="B5" s="1">
        <v>491.1</v>
      </c>
      <c r="C5" s="2" t="s">
        <v>2063</v>
      </c>
      <c r="D5" t="s">
        <v>44</v>
      </c>
      <c r="E5" s="3">
        <v>3182.6511912034211</v>
      </c>
      <c r="F5" s="3">
        <v>1563000</v>
      </c>
      <c r="G5" t="s">
        <v>45</v>
      </c>
      <c r="H5" t="s">
        <v>46</v>
      </c>
      <c r="I5" t="s">
        <v>47</v>
      </c>
      <c r="J5" s="6">
        <v>15.83</v>
      </c>
      <c r="K5" t="s">
        <v>23</v>
      </c>
      <c r="L5" t="s">
        <v>24</v>
      </c>
      <c r="M5" s="2" t="s">
        <v>2064</v>
      </c>
      <c r="N5" t="s">
        <v>48</v>
      </c>
      <c r="O5" t="s">
        <v>49</v>
      </c>
      <c r="P5" s="7" t="s">
        <v>2065</v>
      </c>
      <c r="Q5">
        <v>336</v>
      </c>
      <c r="R5" s="6">
        <v>9.4700000000000006</v>
      </c>
    </row>
    <row r="6" spans="1:18">
      <c r="A6" t="s">
        <v>27</v>
      </c>
      <c r="B6" s="1">
        <v>13.7</v>
      </c>
      <c r="C6" s="2" t="s">
        <v>2066</v>
      </c>
      <c r="D6" t="s">
        <v>50</v>
      </c>
      <c r="E6" s="3">
        <v>39930.656934306571</v>
      </c>
      <c r="F6" s="3">
        <v>547050</v>
      </c>
      <c r="G6" t="s">
        <v>51</v>
      </c>
      <c r="H6" t="s">
        <v>52</v>
      </c>
      <c r="I6" t="s">
        <v>53</v>
      </c>
      <c r="J6" s="6">
        <v>25.7</v>
      </c>
      <c r="K6" t="s">
        <v>23</v>
      </c>
      <c r="L6" t="s">
        <v>24</v>
      </c>
      <c r="M6" s="2" t="s">
        <v>2067</v>
      </c>
      <c r="N6" t="s">
        <v>54</v>
      </c>
      <c r="O6" t="s">
        <v>55</v>
      </c>
      <c r="P6" s="7" t="s">
        <v>2068</v>
      </c>
      <c r="Q6">
        <v>1960</v>
      </c>
      <c r="R6" s="6">
        <v>20.37</v>
      </c>
    </row>
    <row r="7" spans="1:18">
      <c r="A7" t="s">
        <v>27</v>
      </c>
      <c r="B7" s="1">
        <v>98.7</v>
      </c>
      <c r="C7" s="2" t="s">
        <v>2069</v>
      </c>
      <c r="D7" t="s">
        <v>56</v>
      </c>
      <c r="E7" s="3">
        <v>34135.629685916923</v>
      </c>
      <c r="F7" s="3">
        <v>3369186.65</v>
      </c>
      <c r="G7" t="s">
        <v>57</v>
      </c>
      <c r="H7" t="s">
        <v>58</v>
      </c>
      <c r="I7" t="s">
        <v>59</v>
      </c>
      <c r="J7" s="6">
        <v>10.46</v>
      </c>
      <c r="K7" t="s">
        <v>23</v>
      </c>
      <c r="L7" t="s">
        <v>35</v>
      </c>
      <c r="M7" s="2" t="s">
        <v>2070</v>
      </c>
      <c r="N7" t="s">
        <v>60</v>
      </c>
      <c r="O7" t="s">
        <v>61</v>
      </c>
      <c r="P7" s="7" t="s">
        <v>2071</v>
      </c>
      <c r="Q7">
        <v>1744</v>
      </c>
      <c r="R7" s="6">
        <v>19.57</v>
      </c>
    </row>
    <row r="8" spans="1:18">
      <c r="A8" t="s">
        <v>27</v>
      </c>
      <c r="B8" s="1">
        <v>20.8</v>
      </c>
      <c r="C8" s="2" t="s">
        <v>2072</v>
      </c>
      <c r="D8" t="s">
        <v>62</v>
      </c>
      <c r="E8" s="3">
        <v>39903.846153846163</v>
      </c>
      <c r="F8" s="3">
        <v>830000</v>
      </c>
      <c r="G8" t="s">
        <v>63</v>
      </c>
      <c r="H8" t="s">
        <v>64</v>
      </c>
      <c r="I8" t="s">
        <v>65</v>
      </c>
      <c r="J8" s="6">
        <v>10.1</v>
      </c>
      <c r="K8" t="s">
        <v>23</v>
      </c>
      <c r="L8" t="s">
        <v>24</v>
      </c>
      <c r="M8" s="2" t="s">
        <v>2073</v>
      </c>
      <c r="N8" t="s">
        <v>66</v>
      </c>
      <c r="O8" t="s">
        <v>67</v>
      </c>
      <c r="P8" s="7" t="s">
        <v>2074</v>
      </c>
      <c r="Q8">
        <v>3322</v>
      </c>
      <c r="R8" s="6">
        <v>12.01</v>
      </c>
    </row>
    <row r="9" spans="1:18">
      <c r="A9" t="s">
        <v>27</v>
      </c>
      <c r="B9" s="1">
        <v>347.1</v>
      </c>
      <c r="C9" s="2" t="s">
        <v>2075</v>
      </c>
      <c r="D9" t="s">
        <v>68</v>
      </c>
      <c r="E9" s="3">
        <v>18726.59176029962</v>
      </c>
      <c r="F9" s="3">
        <v>6500000</v>
      </c>
      <c r="G9" t="s">
        <v>69</v>
      </c>
      <c r="H9" t="s">
        <v>70</v>
      </c>
      <c r="I9" t="s">
        <v>71</v>
      </c>
      <c r="J9" s="6">
        <v>60.6</v>
      </c>
      <c r="K9" t="s">
        <v>23</v>
      </c>
      <c r="L9" t="s">
        <v>24</v>
      </c>
      <c r="M9" s="2" t="s">
        <v>2076</v>
      </c>
      <c r="N9" t="s">
        <v>72</v>
      </c>
      <c r="O9" t="s">
        <v>73</v>
      </c>
      <c r="P9" s="7" t="s">
        <v>2077</v>
      </c>
      <c r="Q9">
        <v>2049</v>
      </c>
      <c r="R9" s="6">
        <v>9.14</v>
      </c>
    </row>
    <row r="10" spans="1:18">
      <c r="A10" t="s">
        <v>27</v>
      </c>
      <c r="B10" s="1">
        <v>15.7</v>
      </c>
      <c r="C10" s="2" t="s">
        <v>2078</v>
      </c>
      <c r="D10" t="s">
        <v>74</v>
      </c>
      <c r="E10" s="3">
        <v>44585.987261146503</v>
      </c>
      <c r="F10" s="3">
        <v>700000</v>
      </c>
      <c r="G10" t="s">
        <v>75</v>
      </c>
      <c r="H10" t="s">
        <v>76</v>
      </c>
      <c r="I10" t="s">
        <v>77</v>
      </c>
      <c r="J10" s="6">
        <v>127.03</v>
      </c>
      <c r="K10" t="s">
        <v>23</v>
      </c>
      <c r="L10" t="s">
        <v>24</v>
      </c>
      <c r="M10" s="2" t="s">
        <v>2079</v>
      </c>
      <c r="N10" t="s">
        <v>78</v>
      </c>
      <c r="O10" t="s">
        <v>79</v>
      </c>
      <c r="P10" s="7" t="s">
        <v>2080</v>
      </c>
      <c r="Q10">
        <v>402</v>
      </c>
      <c r="R10" s="6">
        <v>110.91</v>
      </c>
    </row>
    <row r="11" spans="1:18">
      <c r="A11" t="s">
        <v>27</v>
      </c>
      <c r="B11" s="1">
        <v>114</v>
      </c>
      <c r="C11" s="2" t="s">
        <v>2081</v>
      </c>
      <c r="D11" t="s">
        <v>80</v>
      </c>
      <c r="E11" s="3">
        <v>48938.596491228069</v>
      </c>
      <c r="F11" s="3">
        <v>5579000</v>
      </c>
      <c r="G11" t="s">
        <v>81</v>
      </c>
      <c r="H11" t="s">
        <v>82</v>
      </c>
      <c r="I11" t="s">
        <v>83</v>
      </c>
      <c r="J11" s="6">
        <v>9.3000000000000007</v>
      </c>
      <c r="K11" t="s">
        <v>23</v>
      </c>
      <c r="L11" t="s">
        <v>24</v>
      </c>
      <c r="M11" s="2" t="s">
        <v>2082</v>
      </c>
      <c r="N11" t="s">
        <v>84</v>
      </c>
      <c r="O11" t="s">
        <v>85</v>
      </c>
      <c r="P11" s="7" t="s">
        <v>2083</v>
      </c>
      <c r="Q11">
        <v>3829</v>
      </c>
      <c r="R11" s="6">
        <v>12.78</v>
      </c>
    </row>
    <row r="12" spans="1:18">
      <c r="A12" t="s">
        <v>27</v>
      </c>
      <c r="B12" s="1">
        <v>574.20000000000005</v>
      </c>
      <c r="C12" s="2" t="s">
        <v>2084</v>
      </c>
      <c r="D12" t="s">
        <v>86</v>
      </c>
      <c r="E12" s="3">
        <v>13431.731104144899</v>
      </c>
      <c r="F12" s="3">
        <v>7712500</v>
      </c>
      <c r="G12" t="s">
        <v>87</v>
      </c>
      <c r="H12" t="s">
        <v>88</v>
      </c>
      <c r="I12" t="s">
        <v>89</v>
      </c>
      <c r="J12" s="6">
        <v>2.23</v>
      </c>
      <c r="K12" t="s">
        <v>90</v>
      </c>
      <c r="L12" t="s">
        <v>24</v>
      </c>
      <c r="M12" s="2" t="s">
        <v>2085</v>
      </c>
      <c r="N12" t="s">
        <v>91</v>
      </c>
      <c r="O12" t="s">
        <v>92</v>
      </c>
      <c r="P12" s="7" t="s">
        <v>2086</v>
      </c>
      <c r="Q12">
        <v>3892</v>
      </c>
      <c r="R12" s="6">
        <v>3.45</v>
      </c>
    </row>
    <row r="13" spans="1:18">
      <c r="A13" t="s">
        <v>27</v>
      </c>
      <c r="B13" s="1">
        <v>613</v>
      </c>
      <c r="C13" s="2" t="s">
        <v>2087</v>
      </c>
      <c r="D13" t="s">
        <v>97</v>
      </c>
      <c r="E13" s="3">
        <v>2712.887438825448</v>
      </c>
      <c r="F13" s="3">
        <v>1663000</v>
      </c>
      <c r="G13" t="s">
        <v>98</v>
      </c>
      <c r="H13" t="s">
        <v>99</v>
      </c>
      <c r="I13" t="s">
        <v>100</v>
      </c>
      <c r="J13" s="6">
        <v>7.86</v>
      </c>
      <c r="K13" t="s">
        <v>90</v>
      </c>
      <c r="L13" t="s">
        <v>24</v>
      </c>
      <c r="M13" s="2" t="s">
        <v>2088</v>
      </c>
      <c r="N13" t="s">
        <v>101</v>
      </c>
      <c r="O13" t="s">
        <v>79</v>
      </c>
      <c r="P13" s="7" t="s">
        <v>2089</v>
      </c>
      <c r="Q13">
        <v>725</v>
      </c>
      <c r="R13" s="6">
        <v>3.74</v>
      </c>
    </row>
    <row r="14" spans="1:18">
      <c r="A14" t="s">
        <v>27</v>
      </c>
      <c r="B14" s="1">
        <v>31.3</v>
      </c>
      <c r="C14" s="2" t="s">
        <v>2090</v>
      </c>
      <c r="D14" t="s">
        <v>102</v>
      </c>
      <c r="E14" s="3">
        <v>30287.539936102239</v>
      </c>
      <c r="F14" s="3">
        <v>948000</v>
      </c>
      <c r="G14" t="s">
        <v>103</v>
      </c>
      <c r="H14" t="s">
        <v>104</v>
      </c>
      <c r="I14" t="s">
        <v>105</v>
      </c>
      <c r="J14" s="6">
        <v>20.23</v>
      </c>
      <c r="K14" t="s">
        <v>23</v>
      </c>
      <c r="L14" t="s">
        <v>24</v>
      </c>
      <c r="M14" s="2" t="s">
        <v>2091</v>
      </c>
      <c r="N14" t="s">
        <v>106</v>
      </c>
      <c r="O14" t="s">
        <v>107</v>
      </c>
      <c r="P14" s="7" t="s">
        <v>2092</v>
      </c>
      <c r="Q14">
        <v>2260</v>
      </c>
      <c r="R14" s="6">
        <v>13.4</v>
      </c>
    </row>
    <row r="15" spans="1:18">
      <c r="A15" t="s">
        <v>49</v>
      </c>
      <c r="B15" s="1">
        <v>20.6</v>
      </c>
      <c r="C15" s="2" t="s">
        <v>2093</v>
      </c>
      <c r="D15" t="s">
        <v>108</v>
      </c>
      <c r="E15" s="3">
        <v>60514.563106796108</v>
      </c>
      <c r="F15" s="3">
        <v>1246600</v>
      </c>
      <c r="G15" t="s">
        <v>109</v>
      </c>
      <c r="H15" t="s">
        <v>110</v>
      </c>
      <c r="I15" t="s">
        <v>111</v>
      </c>
      <c r="J15" s="6">
        <v>105.98</v>
      </c>
      <c r="K15" t="s">
        <v>23</v>
      </c>
      <c r="L15" t="s">
        <v>24</v>
      </c>
      <c r="M15" s="2" t="s">
        <v>2094</v>
      </c>
      <c r="N15" t="s">
        <v>112</v>
      </c>
      <c r="O15" t="s">
        <v>37</v>
      </c>
      <c r="P15" s="7" t="s">
        <v>2095</v>
      </c>
      <c r="Q15">
        <v>1971</v>
      </c>
      <c r="R15" s="6">
        <v>30.7</v>
      </c>
    </row>
    <row r="16" spans="1:18">
      <c r="A16" t="s">
        <v>49</v>
      </c>
      <c r="B16" s="1">
        <v>667</v>
      </c>
      <c r="C16" s="2" t="s">
        <v>2096</v>
      </c>
      <c r="D16" t="s">
        <v>113</v>
      </c>
      <c r="E16" s="3">
        <v>1970.0149925037481</v>
      </c>
      <c r="F16" s="3">
        <v>1314000</v>
      </c>
      <c r="G16" t="s">
        <v>114</v>
      </c>
      <c r="H16" t="s">
        <v>115</v>
      </c>
      <c r="I16" t="s">
        <v>116</v>
      </c>
      <c r="J16" s="6">
        <v>24.32</v>
      </c>
      <c r="K16" t="s">
        <v>90</v>
      </c>
      <c r="L16" t="s">
        <v>24</v>
      </c>
      <c r="M16" s="2" t="s">
        <v>2097</v>
      </c>
      <c r="N16" t="s">
        <v>117</v>
      </c>
      <c r="O16" t="s">
        <v>79</v>
      </c>
      <c r="P16" s="7" t="s">
        <v>2098</v>
      </c>
      <c r="Q16">
        <v>1782</v>
      </c>
      <c r="R16" s="6">
        <v>1.1100000000000001</v>
      </c>
    </row>
    <row r="17" spans="1:18">
      <c r="A17" t="s">
        <v>118</v>
      </c>
      <c r="B17" s="1">
        <v>104.2</v>
      </c>
      <c r="C17" s="2" t="s">
        <v>2099</v>
      </c>
      <c r="D17" t="s">
        <v>119</v>
      </c>
      <c r="E17" s="3">
        <v>50717.297504798473</v>
      </c>
      <c r="F17" s="3">
        <v>5284742.4000000004</v>
      </c>
      <c r="G17" t="s">
        <v>120</v>
      </c>
      <c r="H17" t="s">
        <v>121</v>
      </c>
      <c r="I17" t="s">
        <v>122</v>
      </c>
      <c r="J17" s="6">
        <v>26.33</v>
      </c>
      <c r="K17" t="s">
        <v>23</v>
      </c>
      <c r="L17" t="s">
        <v>35</v>
      </c>
      <c r="M17" s="2" t="s">
        <v>2100</v>
      </c>
      <c r="N17" t="s">
        <v>123</v>
      </c>
      <c r="O17" t="s">
        <v>124</v>
      </c>
      <c r="P17" s="7" t="s">
        <v>2101</v>
      </c>
      <c r="Q17">
        <v>6795</v>
      </c>
      <c r="R17" s="6">
        <v>7.46</v>
      </c>
    </row>
    <row r="18" spans="1:18">
      <c r="A18" t="s">
        <v>125</v>
      </c>
      <c r="B18" s="1">
        <v>228.9</v>
      </c>
      <c r="C18" s="2" t="s">
        <v>2102</v>
      </c>
      <c r="D18" t="s">
        <v>126</v>
      </c>
      <c r="E18" s="3">
        <v>16880.733944954129</v>
      </c>
      <c r="F18" s="3">
        <v>3864000</v>
      </c>
      <c r="G18" t="s">
        <v>127</v>
      </c>
      <c r="H18" t="s">
        <v>128</v>
      </c>
      <c r="I18" t="s">
        <v>129</v>
      </c>
      <c r="J18" s="6">
        <v>375.13</v>
      </c>
      <c r="K18" t="s">
        <v>23</v>
      </c>
      <c r="L18" t="s">
        <v>24</v>
      </c>
      <c r="M18" s="2" t="s">
        <v>2103</v>
      </c>
      <c r="N18" t="s">
        <v>130</v>
      </c>
      <c r="O18" t="s">
        <v>79</v>
      </c>
      <c r="P18" s="7" t="s">
        <v>2104</v>
      </c>
      <c r="Q18">
        <v>62</v>
      </c>
      <c r="R18" s="6">
        <v>272.27</v>
      </c>
    </row>
    <row r="19" spans="1:18">
      <c r="A19" t="s">
        <v>125</v>
      </c>
      <c r="B19" s="1">
        <v>15.6</v>
      </c>
      <c r="C19" s="2" t="s">
        <v>2105</v>
      </c>
      <c r="D19" t="s">
        <v>131</v>
      </c>
      <c r="E19" s="3">
        <v>129861.5384615385</v>
      </c>
      <c r="F19" s="3">
        <v>2025840</v>
      </c>
      <c r="G19" t="s">
        <v>132</v>
      </c>
      <c r="H19" t="s">
        <v>133</v>
      </c>
      <c r="I19" t="s">
        <v>134</v>
      </c>
      <c r="J19" s="6">
        <v>34.32</v>
      </c>
      <c r="K19" t="s">
        <v>23</v>
      </c>
      <c r="L19" t="s">
        <v>24</v>
      </c>
      <c r="M19" s="2" t="s">
        <v>2106</v>
      </c>
      <c r="N19" t="s">
        <v>135</v>
      </c>
      <c r="O19" t="s">
        <v>136</v>
      </c>
      <c r="P19" s="7" t="s">
        <v>2107</v>
      </c>
      <c r="Q19">
        <v>716</v>
      </c>
      <c r="R19" s="6">
        <v>181.37</v>
      </c>
    </row>
    <row r="20" spans="1:18">
      <c r="A20" t="s">
        <v>125</v>
      </c>
      <c r="B20" s="1">
        <v>30.6</v>
      </c>
      <c r="C20" s="2" t="s">
        <v>2108</v>
      </c>
      <c r="D20" t="s">
        <v>137</v>
      </c>
      <c r="E20" s="3">
        <v>16339.869281045751</v>
      </c>
      <c r="F20" s="3">
        <v>500000</v>
      </c>
      <c r="G20" t="s">
        <v>138</v>
      </c>
      <c r="H20" t="s">
        <v>139</v>
      </c>
      <c r="I20" t="s">
        <v>140</v>
      </c>
      <c r="J20" s="6">
        <v>151.30000000000001</v>
      </c>
      <c r="K20" t="s">
        <v>23</v>
      </c>
      <c r="L20" t="s">
        <v>24</v>
      </c>
      <c r="M20" s="2" t="s">
        <v>2109</v>
      </c>
      <c r="N20" t="s">
        <v>141</v>
      </c>
      <c r="O20" t="s">
        <v>49</v>
      </c>
      <c r="P20" s="7" t="s">
        <v>2110</v>
      </c>
      <c r="Q20">
        <v>107</v>
      </c>
      <c r="R20" s="6">
        <v>152.71</v>
      </c>
    </row>
    <row r="21" spans="1:18">
      <c r="A21" t="s">
        <v>125</v>
      </c>
      <c r="B21" s="1">
        <v>94.1</v>
      </c>
      <c r="C21" s="2" t="s">
        <v>2111</v>
      </c>
      <c r="D21" t="s">
        <v>142</v>
      </c>
      <c r="E21" s="3">
        <v>60688.629117959623</v>
      </c>
      <c r="F21" s="3">
        <v>5710800</v>
      </c>
      <c r="G21" t="s">
        <v>143</v>
      </c>
      <c r="H21" t="s">
        <v>144</v>
      </c>
      <c r="I21" t="s">
        <v>145</v>
      </c>
      <c r="J21" s="6">
        <v>16.04</v>
      </c>
      <c r="K21" t="s">
        <v>23</v>
      </c>
      <c r="L21" t="s">
        <v>24</v>
      </c>
      <c r="M21" s="2" t="s">
        <v>2106</v>
      </c>
      <c r="N21" t="s">
        <v>135</v>
      </c>
      <c r="O21" t="s">
        <v>136</v>
      </c>
      <c r="P21" s="7" t="s">
        <v>2107</v>
      </c>
      <c r="Q21">
        <v>716</v>
      </c>
      <c r="R21" s="6">
        <v>84.76</v>
      </c>
    </row>
    <row r="22" spans="1:18">
      <c r="A22" t="s">
        <v>125</v>
      </c>
      <c r="B22" s="1">
        <v>17</v>
      </c>
      <c r="C22" s="2" t="s">
        <v>2112</v>
      </c>
      <c r="D22" t="s">
        <v>146</v>
      </c>
      <c r="E22" s="3">
        <v>51000</v>
      </c>
      <c r="F22" s="3">
        <v>867000</v>
      </c>
      <c r="G22" t="s">
        <v>147</v>
      </c>
      <c r="H22" t="s">
        <v>148</v>
      </c>
      <c r="I22" t="s">
        <v>149</v>
      </c>
      <c r="J22" s="6">
        <v>11.99</v>
      </c>
      <c r="K22" t="s">
        <v>23</v>
      </c>
      <c r="L22" t="s">
        <v>24</v>
      </c>
      <c r="M22" s="2" t="s">
        <v>2113</v>
      </c>
      <c r="N22" t="s">
        <v>150</v>
      </c>
      <c r="O22" t="s">
        <v>151</v>
      </c>
      <c r="P22" s="7" t="s">
        <v>2114</v>
      </c>
      <c r="Q22">
        <v>2321</v>
      </c>
      <c r="R22" s="6">
        <v>21.97</v>
      </c>
    </row>
    <row r="23" spans="1:18">
      <c r="A23" t="s">
        <v>152</v>
      </c>
      <c r="B23" s="1">
        <v>34.700000000000003</v>
      </c>
      <c r="C23" s="2" t="s">
        <v>2115</v>
      </c>
      <c r="D23" t="s">
        <v>153</v>
      </c>
      <c r="E23" s="3">
        <v>29825.602305475499</v>
      </c>
      <c r="F23" s="3">
        <v>1034948.4</v>
      </c>
      <c r="G23" t="s">
        <v>154</v>
      </c>
      <c r="H23" t="s">
        <v>155</v>
      </c>
      <c r="I23" t="s">
        <v>156</v>
      </c>
      <c r="J23" s="6">
        <v>9.7100000000000009</v>
      </c>
      <c r="K23" t="s">
        <v>90</v>
      </c>
      <c r="L23" t="s">
        <v>24</v>
      </c>
      <c r="M23" s="2" t="s">
        <v>2116</v>
      </c>
      <c r="N23" t="s">
        <v>157</v>
      </c>
      <c r="O23" t="s">
        <v>158</v>
      </c>
      <c r="P23" s="7" t="s">
        <v>2117</v>
      </c>
      <c r="Q23">
        <v>2035</v>
      </c>
      <c r="R23" s="6">
        <v>14.66</v>
      </c>
    </row>
    <row r="24" spans="1:18">
      <c r="A24" t="s">
        <v>37</v>
      </c>
      <c r="B24" s="1">
        <v>676.4</v>
      </c>
      <c r="C24" s="2" t="s">
        <v>2118</v>
      </c>
      <c r="D24" t="s">
        <v>159</v>
      </c>
      <c r="E24" s="3">
        <v>8015.005913660556</v>
      </c>
      <c r="F24" s="3">
        <v>5421350</v>
      </c>
      <c r="G24" t="s">
        <v>160</v>
      </c>
      <c r="H24" t="s">
        <v>161</v>
      </c>
      <c r="I24" t="s">
        <v>162</v>
      </c>
      <c r="J24" s="6">
        <v>0.87</v>
      </c>
      <c r="K24" t="s">
        <v>90</v>
      </c>
      <c r="L24" t="s">
        <v>24</v>
      </c>
      <c r="M24" s="2" t="s">
        <v>2119</v>
      </c>
      <c r="N24" t="s">
        <v>163</v>
      </c>
      <c r="O24" t="s">
        <v>164</v>
      </c>
      <c r="P24" s="7" t="s">
        <v>2120</v>
      </c>
      <c r="Q24">
        <v>5064</v>
      </c>
      <c r="R24" s="6">
        <v>1.58</v>
      </c>
    </row>
    <row r="25" spans="1:18">
      <c r="A25" t="s">
        <v>37</v>
      </c>
      <c r="B25" s="1">
        <v>211.66</v>
      </c>
      <c r="C25" s="2" t="s">
        <v>2121</v>
      </c>
      <c r="D25" t="s">
        <v>173</v>
      </c>
      <c r="E25" s="3">
        <v>8858.5467258811295</v>
      </c>
      <c r="F25" s="3">
        <v>1875000</v>
      </c>
      <c r="G25" t="s">
        <v>174</v>
      </c>
      <c r="H25" t="s">
        <v>175</v>
      </c>
      <c r="I25" t="s">
        <v>176</v>
      </c>
      <c r="J25" s="6">
        <v>31.41</v>
      </c>
      <c r="K25" t="s">
        <v>23</v>
      </c>
      <c r="L25" t="s">
        <v>24</v>
      </c>
      <c r="M25" s="2" t="s">
        <v>2122</v>
      </c>
      <c r="N25" t="s">
        <v>177</v>
      </c>
      <c r="O25" t="s">
        <v>79</v>
      </c>
      <c r="P25" s="7" t="s">
        <v>2123</v>
      </c>
      <c r="Q25">
        <v>284</v>
      </c>
      <c r="R25" s="6">
        <v>31.19</v>
      </c>
    </row>
    <row r="26" spans="1:18">
      <c r="A26" t="s">
        <v>178</v>
      </c>
      <c r="B26" s="1">
        <v>82.8</v>
      </c>
      <c r="C26" s="2" t="s">
        <v>2124</v>
      </c>
      <c r="D26" t="s">
        <v>179</v>
      </c>
      <c r="E26" s="3">
        <v>23743.96135265701</v>
      </c>
      <c r="F26" s="3">
        <v>1966000</v>
      </c>
      <c r="G26" t="s">
        <v>180</v>
      </c>
      <c r="H26" t="s">
        <v>181</v>
      </c>
      <c r="J26" s="6">
        <v>14.39</v>
      </c>
      <c r="K26" t="s">
        <v>23</v>
      </c>
      <c r="L26" t="s">
        <v>24</v>
      </c>
      <c r="M26" s="2" t="s">
        <v>2125</v>
      </c>
      <c r="N26" t="s">
        <v>182</v>
      </c>
      <c r="O26" t="s">
        <v>183</v>
      </c>
      <c r="P26" s="7" t="s">
        <v>2126</v>
      </c>
      <c r="Q26">
        <v>3626</v>
      </c>
      <c r="R26" s="6">
        <v>6.55</v>
      </c>
    </row>
    <row r="27" spans="1:18">
      <c r="A27" t="s">
        <v>85</v>
      </c>
      <c r="B27" s="1">
        <v>116.9</v>
      </c>
      <c r="C27" s="2" t="s">
        <v>2127</v>
      </c>
      <c r="D27" t="s">
        <v>184</v>
      </c>
      <c r="E27" s="3">
        <v>32676.64670658682</v>
      </c>
      <c r="F27" s="3">
        <v>3819900</v>
      </c>
      <c r="G27" t="s">
        <v>185</v>
      </c>
      <c r="H27" t="s">
        <v>186</v>
      </c>
      <c r="I27" t="s">
        <v>187</v>
      </c>
      <c r="J27" s="6">
        <v>15.9</v>
      </c>
      <c r="K27" t="s">
        <v>23</v>
      </c>
      <c r="L27" t="s">
        <v>35</v>
      </c>
      <c r="M27" s="2" t="s">
        <v>2128</v>
      </c>
      <c r="N27" t="s">
        <v>188</v>
      </c>
      <c r="O27" t="s">
        <v>73</v>
      </c>
      <c r="P27" s="7" t="s">
        <v>2129</v>
      </c>
      <c r="Q27">
        <v>3000</v>
      </c>
      <c r="R27" s="6">
        <v>10.89</v>
      </c>
    </row>
    <row r="28" spans="1:18">
      <c r="A28" t="s">
        <v>189</v>
      </c>
      <c r="B28" s="1">
        <v>22.4</v>
      </c>
      <c r="C28" s="2" t="s">
        <v>3162</v>
      </c>
      <c r="D28" t="s">
        <v>190</v>
      </c>
      <c r="E28" s="3">
        <v>123247.5</v>
      </c>
      <c r="F28" s="3">
        <v>2760744</v>
      </c>
      <c r="G28" t="s">
        <v>191</v>
      </c>
      <c r="H28" t="s">
        <v>186</v>
      </c>
      <c r="I28" t="s">
        <v>192</v>
      </c>
      <c r="J28" s="3"/>
      <c r="K28" t="s">
        <v>23</v>
      </c>
      <c r="L28" t="s">
        <v>24</v>
      </c>
      <c r="M28" s="2" t="s">
        <v>3163</v>
      </c>
      <c r="P28" s="2"/>
      <c r="Q28">
        <v>14</v>
      </c>
      <c r="R28" s="6">
        <v>8803.39</v>
      </c>
    </row>
    <row r="29" spans="1:18">
      <c r="A29" t="s">
        <v>189</v>
      </c>
      <c r="B29" s="1">
        <v>114.2</v>
      </c>
      <c r="C29" s="2" t="s">
        <v>3164</v>
      </c>
      <c r="D29" t="s">
        <v>193</v>
      </c>
      <c r="E29" s="3">
        <v>72638.87915936952</v>
      </c>
      <c r="F29" s="3">
        <v>8295360</v>
      </c>
      <c r="G29" t="s">
        <v>194</v>
      </c>
      <c r="H29" t="s">
        <v>186</v>
      </c>
      <c r="I29" t="s">
        <v>195</v>
      </c>
      <c r="J29" s="3"/>
      <c r="K29" t="s">
        <v>23</v>
      </c>
      <c r="L29" t="s">
        <v>24</v>
      </c>
      <c r="M29" s="2" t="s">
        <v>3165</v>
      </c>
      <c r="P29" s="2"/>
      <c r="Q29">
        <v>14945</v>
      </c>
      <c r="R29" s="6">
        <v>4.8600000000000003</v>
      </c>
    </row>
    <row r="30" spans="1:18">
      <c r="A30" t="s">
        <v>189</v>
      </c>
      <c r="B30" s="1">
        <v>124.9</v>
      </c>
      <c r="C30" s="2" t="s">
        <v>3166</v>
      </c>
      <c r="D30" t="s">
        <v>196</v>
      </c>
      <c r="E30" s="3">
        <v>19091.72137710168</v>
      </c>
      <c r="F30" s="3">
        <v>2384556</v>
      </c>
      <c r="G30" t="s">
        <v>197</v>
      </c>
      <c r="H30" t="s">
        <v>186</v>
      </c>
      <c r="I30" t="s">
        <v>198</v>
      </c>
      <c r="J30" s="3"/>
      <c r="K30" t="s">
        <v>23</v>
      </c>
      <c r="L30" t="s">
        <v>24</v>
      </c>
      <c r="M30" s="2" t="s">
        <v>3167</v>
      </c>
      <c r="P30" s="2"/>
      <c r="Q30">
        <v>14514</v>
      </c>
      <c r="R30" s="6">
        <v>1.32</v>
      </c>
    </row>
    <row r="31" spans="1:18">
      <c r="A31" t="s">
        <v>189</v>
      </c>
      <c r="B31" s="1">
        <v>104.9</v>
      </c>
      <c r="C31" s="2" t="s">
        <v>2130</v>
      </c>
      <c r="D31" t="s">
        <v>199</v>
      </c>
      <c r="E31" s="3">
        <v>33155.386081982841</v>
      </c>
      <c r="F31" s="3">
        <v>3478000</v>
      </c>
      <c r="G31" t="s">
        <v>200</v>
      </c>
      <c r="H31" t="s">
        <v>201</v>
      </c>
      <c r="I31" t="s">
        <v>202</v>
      </c>
      <c r="J31" s="6">
        <v>212.53</v>
      </c>
      <c r="K31" t="s">
        <v>23</v>
      </c>
      <c r="L31" t="s">
        <v>24</v>
      </c>
      <c r="M31" s="2" t="s">
        <v>2131</v>
      </c>
      <c r="N31" t="s">
        <v>203</v>
      </c>
      <c r="O31" t="s">
        <v>204</v>
      </c>
      <c r="P31" s="7" t="s">
        <v>2132</v>
      </c>
      <c r="Q31">
        <v>2233</v>
      </c>
      <c r="R31" s="6">
        <v>14.85</v>
      </c>
    </row>
    <row r="32" spans="1:18">
      <c r="A32" t="s">
        <v>189</v>
      </c>
      <c r="B32" s="1">
        <v>1838.6</v>
      </c>
      <c r="C32" s="2" t="s">
        <v>2133</v>
      </c>
      <c r="D32" t="s">
        <v>205</v>
      </c>
      <c r="E32" s="3">
        <v>1006.200369846622</v>
      </c>
      <c r="F32" s="3">
        <v>1850000</v>
      </c>
      <c r="G32" t="s">
        <v>206</v>
      </c>
      <c r="H32" t="s">
        <v>207</v>
      </c>
      <c r="I32" t="s">
        <v>208</v>
      </c>
      <c r="J32" s="6">
        <v>6.45</v>
      </c>
      <c r="K32" t="s">
        <v>90</v>
      </c>
      <c r="L32" t="s">
        <v>24</v>
      </c>
      <c r="M32" s="2" t="s">
        <v>2134</v>
      </c>
      <c r="N32" t="s">
        <v>203</v>
      </c>
      <c r="O32" t="s">
        <v>209</v>
      </c>
      <c r="P32" s="7" t="s">
        <v>2135</v>
      </c>
      <c r="Q32">
        <v>982</v>
      </c>
      <c r="R32" s="6">
        <v>1.02</v>
      </c>
    </row>
    <row r="33" spans="1:18">
      <c r="A33" t="s">
        <v>189</v>
      </c>
      <c r="B33" s="1">
        <v>58.8</v>
      </c>
      <c r="C33" s="2" t="s">
        <v>2136</v>
      </c>
      <c r="D33" t="s">
        <v>210</v>
      </c>
      <c r="E33" s="3">
        <v>137680.81632653059</v>
      </c>
      <c r="F33" s="3">
        <v>8095632</v>
      </c>
      <c r="G33" t="s">
        <v>211</v>
      </c>
      <c r="H33" t="s">
        <v>212</v>
      </c>
      <c r="I33" t="s">
        <v>213</v>
      </c>
      <c r="J33" s="6">
        <v>17.48</v>
      </c>
      <c r="K33" t="s">
        <v>23</v>
      </c>
      <c r="L33" t="s">
        <v>24</v>
      </c>
      <c r="M33" s="2" t="s">
        <v>2137</v>
      </c>
      <c r="N33" t="s">
        <v>214</v>
      </c>
      <c r="O33" t="s">
        <v>215</v>
      </c>
      <c r="P33" s="7" t="s">
        <v>2138</v>
      </c>
      <c r="Q33">
        <v>5258</v>
      </c>
      <c r="R33" s="6">
        <v>26.19</v>
      </c>
    </row>
    <row r="34" spans="1:18">
      <c r="A34" t="s">
        <v>216</v>
      </c>
      <c r="B34" s="1">
        <v>46.3</v>
      </c>
      <c r="C34" s="2" t="s">
        <v>2139</v>
      </c>
      <c r="D34" t="s">
        <v>217</v>
      </c>
      <c r="E34" s="3">
        <v>20656.587473002161</v>
      </c>
      <c r="F34" s="3">
        <v>956400</v>
      </c>
      <c r="G34" t="s">
        <v>218</v>
      </c>
      <c r="H34" t="s">
        <v>219</v>
      </c>
      <c r="I34" t="s">
        <v>220</v>
      </c>
      <c r="J34" s="6">
        <v>5.04</v>
      </c>
      <c r="K34" t="s">
        <v>90</v>
      </c>
      <c r="L34" t="s">
        <v>24</v>
      </c>
      <c r="M34" s="2" t="s">
        <v>2140</v>
      </c>
      <c r="N34" t="s">
        <v>221</v>
      </c>
      <c r="O34" t="s">
        <v>222</v>
      </c>
      <c r="P34" s="7" t="s">
        <v>2141</v>
      </c>
      <c r="Q34">
        <v>4186</v>
      </c>
      <c r="R34" s="6">
        <v>4.93</v>
      </c>
    </row>
    <row r="35" spans="1:18">
      <c r="A35" t="s">
        <v>227</v>
      </c>
      <c r="B35" s="1">
        <v>29.1</v>
      </c>
      <c r="C35" s="2" t="s">
        <v>2142</v>
      </c>
      <c r="D35" t="s">
        <v>228</v>
      </c>
      <c r="E35" s="3">
        <v>21305.841924398621</v>
      </c>
      <c r="F35" s="3">
        <v>620000</v>
      </c>
      <c r="G35" t="s">
        <v>229</v>
      </c>
      <c r="H35" t="s">
        <v>230</v>
      </c>
      <c r="I35" t="s">
        <v>231</v>
      </c>
      <c r="J35" s="6">
        <v>3.19</v>
      </c>
      <c r="K35" t="s">
        <v>23</v>
      </c>
      <c r="L35" t="s">
        <v>24</v>
      </c>
      <c r="M35" s="2" t="s">
        <v>2143</v>
      </c>
      <c r="N35" t="s">
        <v>232</v>
      </c>
      <c r="O35" t="s">
        <v>233</v>
      </c>
      <c r="P35" s="7" t="s">
        <v>2144</v>
      </c>
      <c r="Q35">
        <v>2299</v>
      </c>
      <c r="R35" s="6">
        <v>9.27</v>
      </c>
    </row>
    <row r="36" spans="1:18">
      <c r="A36" t="s">
        <v>234</v>
      </c>
      <c r="B36" s="1">
        <v>271</v>
      </c>
      <c r="C36" s="2" t="s">
        <v>3168</v>
      </c>
      <c r="D36" t="s">
        <v>235</v>
      </c>
      <c r="E36" s="3">
        <v>1936.3201107011071</v>
      </c>
      <c r="F36" s="3">
        <v>524742.75</v>
      </c>
      <c r="G36" t="s">
        <v>236</v>
      </c>
      <c r="H36" t="s">
        <v>237</v>
      </c>
      <c r="I36" t="s">
        <v>238</v>
      </c>
      <c r="J36" s="3"/>
      <c r="K36" t="s">
        <v>23</v>
      </c>
      <c r="L36" t="s">
        <v>24</v>
      </c>
      <c r="M36" s="2" t="s">
        <v>3169</v>
      </c>
      <c r="P36" s="2"/>
      <c r="Q36">
        <v>2574</v>
      </c>
      <c r="R36" s="6">
        <v>0.75</v>
      </c>
    </row>
    <row r="37" spans="1:18">
      <c r="A37" t="s">
        <v>241</v>
      </c>
      <c r="B37" s="1">
        <v>31.2</v>
      </c>
      <c r="C37" s="2" t="s">
        <v>2145</v>
      </c>
      <c r="D37" t="s">
        <v>242</v>
      </c>
      <c r="E37" s="3">
        <v>18559.8717948718</v>
      </c>
      <c r="F37" s="3">
        <v>579068</v>
      </c>
      <c r="G37" t="s">
        <v>243</v>
      </c>
      <c r="H37" t="s">
        <v>244</v>
      </c>
      <c r="I37" t="s">
        <v>245</v>
      </c>
      <c r="J37" s="6">
        <v>7.81</v>
      </c>
      <c r="K37" t="s">
        <v>90</v>
      </c>
      <c r="L37" t="s">
        <v>24</v>
      </c>
      <c r="M37" s="2" t="s">
        <v>2146</v>
      </c>
      <c r="N37" t="s">
        <v>246</v>
      </c>
      <c r="O37" t="s">
        <v>247</v>
      </c>
      <c r="P37" s="7" t="s">
        <v>2147</v>
      </c>
      <c r="Q37">
        <v>2157</v>
      </c>
      <c r="R37" s="6">
        <v>8.6</v>
      </c>
    </row>
    <row r="38" spans="1:18">
      <c r="A38" t="s">
        <v>241</v>
      </c>
      <c r="B38" s="1">
        <v>150.6</v>
      </c>
      <c r="C38" s="2" t="s">
        <v>2148</v>
      </c>
      <c r="D38" t="s">
        <v>248</v>
      </c>
      <c r="E38" s="3">
        <v>16566.62018592298</v>
      </c>
      <c r="F38" s="3">
        <v>2494933</v>
      </c>
      <c r="G38" t="s">
        <v>249</v>
      </c>
      <c r="H38" t="s">
        <v>250</v>
      </c>
      <c r="I38" t="s">
        <v>251</v>
      </c>
      <c r="J38" s="6">
        <v>3.03</v>
      </c>
      <c r="K38" t="s">
        <v>23</v>
      </c>
      <c r="L38" t="s">
        <v>35</v>
      </c>
      <c r="M38" s="2" t="s">
        <v>2149</v>
      </c>
      <c r="N38" t="s">
        <v>252</v>
      </c>
      <c r="O38" t="s">
        <v>61</v>
      </c>
      <c r="P38" s="7" t="s">
        <v>2150</v>
      </c>
      <c r="Q38">
        <v>4337</v>
      </c>
      <c r="R38" s="6">
        <v>3.82</v>
      </c>
    </row>
    <row r="39" spans="1:18">
      <c r="A39" t="s">
        <v>241</v>
      </c>
      <c r="B39" s="1">
        <v>401.1</v>
      </c>
      <c r="C39" s="2" t="s">
        <v>2151</v>
      </c>
      <c r="D39" t="s">
        <v>253</v>
      </c>
      <c r="E39" s="3">
        <v>1486.499626028422</v>
      </c>
      <c r="F39" s="3">
        <v>596235</v>
      </c>
      <c r="G39" t="s">
        <v>254</v>
      </c>
      <c r="H39" t="s">
        <v>255</v>
      </c>
      <c r="I39" t="s">
        <v>256</v>
      </c>
      <c r="J39" s="6">
        <v>3.62</v>
      </c>
      <c r="K39" t="s">
        <v>90</v>
      </c>
      <c r="L39" t="s">
        <v>24</v>
      </c>
      <c r="M39" s="2" t="s">
        <v>2152</v>
      </c>
      <c r="N39" t="s">
        <v>257</v>
      </c>
      <c r="O39" t="s">
        <v>27</v>
      </c>
      <c r="P39" s="7" t="s">
        <v>2153</v>
      </c>
      <c r="Q39">
        <v>258</v>
      </c>
      <c r="R39" s="6">
        <v>5.76</v>
      </c>
    </row>
    <row r="40" spans="1:18">
      <c r="A40" t="s">
        <v>241</v>
      </c>
      <c r="B40" s="1">
        <v>171</v>
      </c>
      <c r="C40" s="2" t="s">
        <v>2154</v>
      </c>
      <c r="D40" t="s">
        <v>258</v>
      </c>
      <c r="E40" s="3">
        <v>12980.701754385969</v>
      </c>
      <c r="F40" s="3">
        <v>2219700</v>
      </c>
      <c r="G40" t="s">
        <v>259</v>
      </c>
      <c r="H40" t="s">
        <v>260</v>
      </c>
      <c r="I40" t="s">
        <v>261</v>
      </c>
      <c r="J40" s="6">
        <v>2.17</v>
      </c>
      <c r="K40" t="s">
        <v>90</v>
      </c>
      <c r="L40" t="s">
        <v>24</v>
      </c>
      <c r="M40" s="2" t="s">
        <v>2155</v>
      </c>
      <c r="N40" t="s">
        <v>262</v>
      </c>
      <c r="O40" t="s">
        <v>263</v>
      </c>
      <c r="P40" s="7" t="s">
        <v>2156</v>
      </c>
      <c r="Q40">
        <v>5453</v>
      </c>
      <c r="R40" s="6">
        <v>2.38</v>
      </c>
    </row>
    <row r="41" spans="1:18">
      <c r="A41" t="s">
        <v>241</v>
      </c>
      <c r="B41" s="1">
        <v>108.6</v>
      </c>
      <c r="C41" s="2" t="s">
        <v>2157</v>
      </c>
      <c r="D41" t="s">
        <v>264</v>
      </c>
      <c r="E41" s="3">
        <v>41461.325966850833</v>
      </c>
      <c r="F41" s="3">
        <v>4502700</v>
      </c>
      <c r="G41" t="s">
        <v>265</v>
      </c>
      <c r="H41" t="s">
        <v>225</v>
      </c>
      <c r="I41" t="s">
        <v>266</v>
      </c>
      <c r="J41" s="6">
        <v>5.03</v>
      </c>
      <c r="K41" t="s">
        <v>90</v>
      </c>
      <c r="L41" t="s">
        <v>24</v>
      </c>
      <c r="M41" s="2" t="s">
        <v>2158</v>
      </c>
      <c r="N41" t="s">
        <v>267</v>
      </c>
      <c r="O41" t="s">
        <v>158</v>
      </c>
      <c r="P41" s="7" t="s">
        <v>2159</v>
      </c>
      <c r="Q41">
        <v>4363</v>
      </c>
      <c r="R41" s="6">
        <v>9.5</v>
      </c>
    </row>
    <row r="42" spans="1:18">
      <c r="A42" t="s">
        <v>241</v>
      </c>
      <c r="B42" s="1">
        <v>44.3</v>
      </c>
      <c r="C42" s="2" t="s">
        <v>2160</v>
      </c>
      <c r="D42" t="s">
        <v>268</v>
      </c>
      <c r="E42" s="3">
        <v>15745.64334085779</v>
      </c>
      <c r="F42" s="3">
        <v>697532</v>
      </c>
      <c r="G42" t="s">
        <v>269</v>
      </c>
      <c r="H42" t="s">
        <v>270</v>
      </c>
      <c r="I42" t="s">
        <v>271</v>
      </c>
      <c r="J42" s="6">
        <v>32.33</v>
      </c>
      <c r="K42" t="s">
        <v>23</v>
      </c>
      <c r="L42" t="s">
        <v>24</v>
      </c>
      <c r="M42" s="2" t="s">
        <v>2161</v>
      </c>
      <c r="N42" t="s">
        <v>272</v>
      </c>
      <c r="O42" t="s">
        <v>209</v>
      </c>
      <c r="P42" s="7" t="s">
        <v>2162</v>
      </c>
      <c r="Q42">
        <v>2190</v>
      </c>
      <c r="R42" s="6">
        <v>7.19</v>
      </c>
    </row>
    <row r="43" spans="1:18">
      <c r="A43" t="s">
        <v>241</v>
      </c>
      <c r="B43" s="1">
        <v>59.9</v>
      </c>
      <c r="C43" s="2" t="s">
        <v>2163</v>
      </c>
      <c r="D43" t="s">
        <v>273</v>
      </c>
      <c r="E43" s="3">
        <v>43538.814691151922</v>
      </c>
      <c r="F43" s="3">
        <v>2607975</v>
      </c>
      <c r="G43" t="s">
        <v>274</v>
      </c>
      <c r="H43" t="s">
        <v>270</v>
      </c>
      <c r="I43" t="s">
        <v>275</v>
      </c>
      <c r="J43" s="6">
        <v>9.66</v>
      </c>
      <c r="K43" t="s">
        <v>23</v>
      </c>
      <c r="L43" t="s">
        <v>24</v>
      </c>
      <c r="M43" s="2" t="s">
        <v>2164</v>
      </c>
      <c r="N43" t="s">
        <v>276</v>
      </c>
      <c r="O43" t="s">
        <v>277</v>
      </c>
      <c r="P43" s="7" t="s">
        <v>2165</v>
      </c>
      <c r="Q43">
        <v>3227</v>
      </c>
      <c r="R43" s="6">
        <v>13.49</v>
      </c>
    </row>
    <row r="44" spans="1:18">
      <c r="A44" t="s">
        <v>241</v>
      </c>
      <c r="B44" s="1">
        <v>117.6</v>
      </c>
      <c r="C44" s="2" t="s">
        <v>2166</v>
      </c>
      <c r="D44" t="s">
        <v>278</v>
      </c>
      <c r="E44" s="3">
        <v>20190.051020408169</v>
      </c>
      <c r="F44" s="3">
        <v>2374350</v>
      </c>
      <c r="G44" t="s">
        <v>269</v>
      </c>
      <c r="H44" t="s">
        <v>270</v>
      </c>
      <c r="I44" t="s">
        <v>279</v>
      </c>
      <c r="J44" s="6">
        <v>41.46</v>
      </c>
      <c r="K44" t="s">
        <v>23</v>
      </c>
      <c r="L44" t="s">
        <v>24</v>
      </c>
      <c r="M44" s="2" t="s">
        <v>2161</v>
      </c>
      <c r="N44" t="s">
        <v>272</v>
      </c>
      <c r="O44" t="s">
        <v>209</v>
      </c>
      <c r="P44" s="7" t="s">
        <v>2162</v>
      </c>
      <c r="Q44">
        <v>2190</v>
      </c>
      <c r="R44" s="6">
        <v>9.2200000000000006</v>
      </c>
    </row>
    <row r="45" spans="1:18">
      <c r="A45" t="s">
        <v>241</v>
      </c>
      <c r="B45" s="1">
        <v>194.7</v>
      </c>
      <c r="C45" s="2" t="s">
        <v>2167</v>
      </c>
      <c r="D45" t="s">
        <v>280</v>
      </c>
      <c r="E45" s="3">
        <v>28485.870570107862</v>
      </c>
      <c r="F45" s="3">
        <v>5546199</v>
      </c>
      <c r="G45" t="s">
        <v>281</v>
      </c>
      <c r="H45" t="s">
        <v>282</v>
      </c>
      <c r="I45" t="s">
        <v>283</v>
      </c>
      <c r="J45" s="6">
        <v>58.25</v>
      </c>
      <c r="K45" t="s">
        <v>23</v>
      </c>
      <c r="L45" t="s">
        <v>24</v>
      </c>
      <c r="M45" s="2" t="s">
        <v>2168</v>
      </c>
      <c r="N45" t="s">
        <v>284</v>
      </c>
      <c r="O45" t="s">
        <v>183</v>
      </c>
      <c r="P45" s="7" t="s">
        <v>2169</v>
      </c>
      <c r="Q45">
        <v>2070</v>
      </c>
      <c r="R45" s="6">
        <v>13.76</v>
      </c>
    </row>
    <row r="46" spans="1:18">
      <c r="A46" t="s">
        <v>241</v>
      </c>
      <c r="B46" s="1">
        <v>194.7</v>
      </c>
      <c r="C46" s="2" t="s">
        <v>2170</v>
      </c>
      <c r="D46" t="s">
        <v>280</v>
      </c>
      <c r="E46" s="3">
        <v>26120.261941448389</v>
      </c>
      <c r="F46" s="3">
        <v>5085615</v>
      </c>
      <c r="G46" t="s">
        <v>281</v>
      </c>
      <c r="H46" t="s">
        <v>207</v>
      </c>
      <c r="I46" t="s">
        <v>283</v>
      </c>
      <c r="J46" s="6">
        <v>53.42</v>
      </c>
      <c r="K46" t="s">
        <v>23</v>
      </c>
      <c r="L46" t="s">
        <v>24</v>
      </c>
      <c r="M46" s="2" t="s">
        <v>2168</v>
      </c>
      <c r="N46" t="s">
        <v>284</v>
      </c>
      <c r="O46" t="s">
        <v>183</v>
      </c>
      <c r="P46" s="7" t="s">
        <v>2169</v>
      </c>
      <c r="Q46">
        <v>2070</v>
      </c>
      <c r="R46" s="6">
        <v>12.62</v>
      </c>
    </row>
    <row r="47" spans="1:18">
      <c r="A47" t="s">
        <v>241</v>
      </c>
      <c r="B47" s="1">
        <v>46.5</v>
      </c>
      <c r="C47" s="2" t="s">
        <v>2171</v>
      </c>
      <c r="D47" t="s">
        <v>285</v>
      </c>
      <c r="E47" s="3">
        <v>21505.37634408602</v>
      </c>
      <c r="F47" s="3">
        <v>1000000</v>
      </c>
      <c r="G47" t="s">
        <v>286</v>
      </c>
      <c r="H47" t="s">
        <v>287</v>
      </c>
      <c r="I47" t="s">
        <v>288</v>
      </c>
      <c r="J47" s="6">
        <v>15.45</v>
      </c>
      <c r="K47" t="s">
        <v>23</v>
      </c>
      <c r="L47" t="s">
        <v>24</v>
      </c>
      <c r="M47" s="2" t="s">
        <v>2172</v>
      </c>
      <c r="N47" t="s">
        <v>289</v>
      </c>
      <c r="O47" t="s">
        <v>290</v>
      </c>
      <c r="P47" s="7" t="s">
        <v>2173</v>
      </c>
      <c r="Q47">
        <v>2420</v>
      </c>
      <c r="R47" s="6">
        <v>8.89</v>
      </c>
    </row>
    <row r="48" spans="1:18">
      <c r="A48" t="s">
        <v>291</v>
      </c>
      <c r="B48" s="1">
        <v>123.6</v>
      </c>
      <c r="C48" s="2" t="s">
        <v>2174</v>
      </c>
      <c r="D48" t="s">
        <v>292</v>
      </c>
      <c r="E48" s="3">
        <v>4697.8155339805826</v>
      </c>
      <c r="F48" s="3">
        <v>580650</v>
      </c>
      <c r="G48" t="s">
        <v>293</v>
      </c>
      <c r="H48" t="s">
        <v>294</v>
      </c>
      <c r="I48" t="s">
        <v>295</v>
      </c>
      <c r="J48" s="6">
        <v>223.71</v>
      </c>
      <c r="K48" t="s">
        <v>23</v>
      </c>
      <c r="L48" t="s">
        <v>24</v>
      </c>
      <c r="M48" s="2" t="s">
        <v>2175</v>
      </c>
      <c r="N48" t="s">
        <v>241</v>
      </c>
      <c r="O48" t="s">
        <v>18</v>
      </c>
      <c r="P48" s="7" t="s">
        <v>2176</v>
      </c>
      <c r="Q48">
        <v>247</v>
      </c>
      <c r="R48" s="6">
        <v>19.02</v>
      </c>
    </row>
    <row r="49" spans="1:18">
      <c r="A49" t="s">
        <v>291</v>
      </c>
      <c r="B49" s="1">
        <v>533.20000000000005</v>
      </c>
      <c r="C49" s="2" t="s">
        <v>2177</v>
      </c>
      <c r="D49" t="s">
        <v>296</v>
      </c>
      <c r="E49" s="3">
        <v>1507.121905476369</v>
      </c>
      <c r="F49" s="3">
        <v>803597.4</v>
      </c>
      <c r="G49" t="s">
        <v>297</v>
      </c>
      <c r="H49" t="s">
        <v>298</v>
      </c>
      <c r="I49" t="s">
        <v>299</v>
      </c>
      <c r="J49" s="6">
        <v>7.73</v>
      </c>
      <c r="K49" t="s">
        <v>23</v>
      </c>
      <c r="L49" t="s">
        <v>24</v>
      </c>
      <c r="M49" s="2" t="s">
        <v>2178</v>
      </c>
      <c r="N49" t="s">
        <v>300</v>
      </c>
      <c r="O49" t="s">
        <v>27</v>
      </c>
      <c r="P49" s="7" t="s">
        <v>2179</v>
      </c>
      <c r="Q49">
        <v>184</v>
      </c>
      <c r="R49" s="6">
        <v>8.19</v>
      </c>
    </row>
    <row r="50" spans="1:18">
      <c r="A50" t="s">
        <v>291</v>
      </c>
      <c r="B50" s="1">
        <v>491.1</v>
      </c>
      <c r="C50" s="2" t="s">
        <v>2180</v>
      </c>
      <c r="D50" t="s">
        <v>301</v>
      </c>
      <c r="E50" s="3">
        <v>1092.094074526573</v>
      </c>
      <c r="F50" s="3">
        <v>536327.4</v>
      </c>
      <c r="G50" t="s">
        <v>297</v>
      </c>
      <c r="H50" t="s">
        <v>298</v>
      </c>
      <c r="I50" t="s">
        <v>302</v>
      </c>
      <c r="J50" s="6">
        <v>5.6</v>
      </c>
      <c r="K50" t="s">
        <v>23</v>
      </c>
      <c r="L50" t="s">
        <v>24</v>
      </c>
      <c r="M50" s="2" t="s">
        <v>2178</v>
      </c>
      <c r="N50" t="s">
        <v>300</v>
      </c>
      <c r="O50" t="s">
        <v>27</v>
      </c>
      <c r="P50" s="7" t="s">
        <v>2179</v>
      </c>
      <c r="Q50">
        <v>184</v>
      </c>
      <c r="R50" s="6">
        <v>5.94</v>
      </c>
    </row>
    <row r="51" spans="1:18">
      <c r="A51" t="s">
        <v>291</v>
      </c>
      <c r="B51" s="1">
        <v>121.7</v>
      </c>
      <c r="C51" s="2" t="s">
        <v>2181</v>
      </c>
      <c r="D51" t="s">
        <v>303</v>
      </c>
      <c r="E51" s="3">
        <v>33976.992604765823</v>
      </c>
      <c r="F51" s="3">
        <v>4135000</v>
      </c>
      <c r="G51" t="s">
        <v>304</v>
      </c>
      <c r="H51" t="s">
        <v>305</v>
      </c>
      <c r="I51" t="s">
        <v>306</v>
      </c>
      <c r="J51" s="6">
        <v>21.13</v>
      </c>
      <c r="K51" t="s">
        <v>23</v>
      </c>
      <c r="L51" t="s">
        <v>24</v>
      </c>
      <c r="M51" s="2" t="s">
        <v>2182</v>
      </c>
      <c r="N51" t="s">
        <v>307</v>
      </c>
      <c r="O51" t="s">
        <v>189</v>
      </c>
      <c r="P51" s="7" t="s">
        <v>2183</v>
      </c>
      <c r="Q51">
        <v>4756</v>
      </c>
      <c r="R51" s="6">
        <v>7.14</v>
      </c>
    </row>
    <row r="52" spans="1:18">
      <c r="A52" t="s">
        <v>291</v>
      </c>
      <c r="B52" s="1">
        <v>118.1</v>
      </c>
      <c r="C52" s="2" t="s">
        <v>2184</v>
      </c>
      <c r="D52" t="s">
        <v>308</v>
      </c>
      <c r="E52" s="3">
        <v>9278.0016934801024</v>
      </c>
      <c r="F52" s="3">
        <v>1095732</v>
      </c>
      <c r="G52" t="s">
        <v>309</v>
      </c>
      <c r="H52" t="s">
        <v>310</v>
      </c>
      <c r="I52" t="s">
        <v>311</v>
      </c>
      <c r="J52" s="6">
        <v>1.84</v>
      </c>
      <c r="K52" t="s">
        <v>23</v>
      </c>
      <c r="L52" t="s">
        <v>24</v>
      </c>
      <c r="M52" s="2" t="s">
        <v>2185</v>
      </c>
      <c r="N52" t="s">
        <v>312</v>
      </c>
      <c r="O52" t="s">
        <v>313</v>
      </c>
      <c r="P52" s="7" t="s">
        <v>2186</v>
      </c>
      <c r="Q52">
        <v>1956</v>
      </c>
      <c r="R52" s="6">
        <v>4.74</v>
      </c>
    </row>
    <row r="53" spans="1:18">
      <c r="A53" t="s">
        <v>291</v>
      </c>
      <c r="B53" s="1">
        <v>198.2</v>
      </c>
      <c r="C53" s="2" t="s">
        <v>2187</v>
      </c>
      <c r="D53" t="s">
        <v>314</v>
      </c>
      <c r="E53" s="3">
        <v>24621.59434914228</v>
      </c>
      <c r="F53" s="3">
        <v>4880000</v>
      </c>
      <c r="G53" t="s">
        <v>315</v>
      </c>
      <c r="H53" t="s">
        <v>207</v>
      </c>
      <c r="I53" t="s">
        <v>316</v>
      </c>
      <c r="J53" s="6">
        <v>13.09</v>
      </c>
      <c r="K53" t="s">
        <v>23</v>
      </c>
      <c r="L53" t="s">
        <v>24</v>
      </c>
      <c r="M53" s="2" t="s">
        <v>2188</v>
      </c>
      <c r="N53" t="s">
        <v>317</v>
      </c>
      <c r="O53" t="s">
        <v>318</v>
      </c>
      <c r="P53" s="7" t="s">
        <v>2189</v>
      </c>
      <c r="Q53">
        <v>4158</v>
      </c>
      <c r="R53" s="6">
        <v>5.92</v>
      </c>
    </row>
    <row r="54" spans="1:18">
      <c r="A54" t="s">
        <v>291</v>
      </c>
      <c r="B54" s="1">
        <v>262.10000000000002</v>
      </c>
      <c r="C54" s="2" t="s">
        <v>2190</v>
      </c>
      <c r="D54" t="s">
        <v>319</v>
      </c>
      <c r="E54" s="3">
        <v>8008.3937428462414</v>
      </c>
      <c r="F54" s="3">
        <v>2099000</v>
      </c>
      <c r="G54" t="s">
        <v>320</v>
      </c>
      <c r="H54" t="s">
        <v>321</v>
      </c>
      <c r="I54" t="s">
        <v>322</v>
      </c>
      <c r="J54" s="6">
        <v>4.76</v>
      </c>
      <c r="K54" t="s">
        <v>23</v>
      </c>
      <c r="L54" t="s">
        <v>24</v>
      </c>
      <c r="M54" s="2" t="s">
        <v>2191</v>
      </c>
      <c r="N54" t="s">
        <v>323</v>
      </c>
      <c r="O54" t="s">
        <v>85</v>
      </c>
      <c r="P54" s="7" t="s">
        <v>2192</v>
      </c>
      <c r="Q54">
        <v>4140</v>
      </c>
      <c r="R54" s="6">
        <v>1.93</v>
      </c>
    </row>
    <row r="55" spans="1:18">
      <c r="A55" t="s">
        <v>73</v>
      </c>
      <c r="B55" s="1">
        <v>449.4</v>
      </c>
      <c r="C55" s="2" t="s">
        <v>2193</v>
      </c>
      <c r="D55" t="s">
        <v>324</v>
      </c>
      <c r="E55" s="3">
        <v>4533.0440587449939</v>
      </c>
      <c r="F55" s="3">
        <v>2037150</v>
      </c>
      <c r="G55" t="s">
        <v>325</v>
      </c>
      <c r="H55" t="s">
        <v>326</v>
      </c>
      <c r="I55" t="s">
        <v>327</v>
      </c>
      <c r="J55" s="6">
        <v>33.58</v>
      </c>
      <c r="K55" t="s">
        <v>23</v>
      </c>
      <c r="L55" t="s">
        <v>24</v>
      </c>
      <c r="M55" s="2" t="s">
        <v>2194</v>
      </c>
      <c r="N55" t="s">
        <v>328</v>
      </c>
      <c r="O55" t="s">
        <v>49</v>
      </c>
      <c r="P55" s="7" t="s">
        <v>2195</v>
      </c>
      <c r="Q55">
        <v>911</v>
      </c>
      <c r="R55" s="6">
        <v>4.9800000000000004</v>
      </c>
    </row>
    <row r="56" spans="1:18">
      <c r="A56" t="s">
        <v>73</v>
      </c>
      <c r="B56" s="1">
        <v>228.3</v>
      </c>
      <c r="C56" s="2" t="s">
        <v>2196</v>
      </c>
      <c r="D56" t="s">
        <v>329</v>
      </c>
      <c r="E56" s="3">
        <v>19811.651335961451</v>
      </c>
      <c r="F56" s="3">
        <v>4523000</v>
      </c>
      <c r="G56" t="s">
        <v>330</v>
      </c>
      <c r="H56" t="s">
        <v>331</v>
      </c>
      <c r="I56" t="s">
        <v>332</v>
      </c>
      <c r="J56" s="6">
        <v>36.49</v>
      </c>
      <c r="K56" t="s">
        <v>23</v>
      </c>
      <c r="L56" t="s">
        <v>24</v>
      </c>
      <c r="M56" s="2" t="s">
        <v>2197</v>
      </c>
      <c r="N56" t="s">
        <v>333</v>
      </c>
      <c r="O56" t="s">
        <v>67</v>
      </c>
      <c r="P56" s="7" t="s">
        <v>2198</v>
      </c>
      <c r="Q56">
        <v>843</v>
      </c>
      <c r="R56" s="6">
        <v>23.5</v>
      </c>
    </row>
    <row r="57" spans="1:18">
      <c r="A57" t="s">
        <v>73</v>
      </c>
      <c r="B57" s="1">
        <v>96.3</v>
      </c>
      <c r="C57" s="2" t="s">
        <v>2199</v>
      </c>
      <c r="D57" t="s">
        <v>338</v>
      </c>
      <c r="E57" s="3">
        <v>10415.368639667709</v>
      </c>
      <c r="F57" s="3">
        <v>1003000</v>
      </c>
      <c r="G57" t="s">
        <v>339</v>
      </c>
      <c r="H57" t="s">
        <v>340</v>
      </c>
      <c r="I57" t="s">
        <v>341</v>
      </c>
      <c r="J57" s="6">
        <v>3.25</v>
      </c>
      <c r="K57" t="s">
        <v>23</v>
      </c>
      <c r="L57" t="s">
        <v>24</v>
      </c>
      <c r="M57" s="2" t="s">
        <v>2200</v>
      </c>
      <c r="N57" t="s">
        <v>342</v>
      </c>
      <c r="O57" t="s">
        <v>178</v>
      </c>
      <c r="P57" s="7" t="s">
        <v>2201</v>
      </c>
      <c r="Q57">
        <v>3375</v>
      </c>
      <c r="R57" s="6">
        <v>3.09</v>
      </c>
    </row>
    <row r="58" spans="1:18">
      <c r="A58" t="s">
        <v>107</v>
      </c>
      <c r="B58" s="1">
        <v>506.8</v>
      </c>
      <c r="C58" s="2" t="s">
        <v>2202</v>
      </c>
      <c r="D58" t="s">
        <v>343</v>
      </c>
      <c r="E58" s="3">
        <v>9668.5082872928178</v>
      </c>
      <c r="F58" s="3">
        <v>4900000</v>
      </c>
      <c r="G58" t="s">
        <v>344</v>
      </c>
      <c r="H58" t="s">
        <v>161</v>
      </c>
      <c r="I58" t="s">
        <v>345</v>
      </c>
      <c r="J58" s="6">
        <v>15.8</v>
      </c>
      <c r="K58" t="s">
        <v>23</v>
      </c>
      <c r="L58" t="s">
        <v>24</v>
      </c>
      <c r="M58" s="2" t="s">
        <v>2203</v>
      </c>
      <c r="N58" t="s">
        <v>346</v>
      </c>
      <c r="O58" t="s">
        <v>118</v>
      </c>
      <c r="P58" s="7" t="s">
        <v>2204</v>
      </c>
      <c r="Q58">
        <v>2383</v>
      </c>
      <c r="R58" s="6">
        <v>4.0599999999999996</v>
      </c>
    </row>
    <row r="59" spans="1:18">
      <c r="A59" t="s">
        <v>107</v>
      </c>
      <c r="B59" s="1">
        <v>164.4</v>
      </c>
      <c r="C59" s="2" t="s">
        <v>2205</v>
      </c>
      <c r="D59" t="s">
        <v>347</v>
      </c>
      <c r="E59" s="3">
        <v>24680.597931873479</v>
      </c>
      <c r="F59" s="3">
        <v>4057490.3</v>
      </c>
      <c r="G59" t="s">
        <v>348</v>
      </c>
      <c r="H59" t="s">
        <v>349</v>
      </c>
      <c r="I59" t="s">
        <v>350</v>
      </c>
      <c r="J59" s="6">
        <v>293.82</v>
      </c>
      <c r="K59" t="s">
        <v>23</v>
      </c>
      <c r="L59" t="s">
        <v>24</v>
      </c>
      <c r="M59" s="2" t="s">
        <v>2206</v>
      </c>
      <c r="N59" t="s">
        <v>351</v>
      </c>
      <c r="O59" t="s">
        <v>18</v>
      </c>
      <c r="P59" s="7" t="s">
        <v>2207</v>
      </c>
      <c r="Q59">
        <v>235</v>
      </c>
      <c r="R59" s="6">
        <v>105.02</v>
      </c>
    </row>
    <row r="60" spans="1:18">
      <c r="A60" t="s">
        <v>107</v>
      </c>
      <c r="B60" s="1">
        <v>21.1</v>
      </c>
      <c r="C60" s="2" t="s">
        <v>2208</v>
      </c>
      <c r="D60" t="s">
        <v>352</v>
      </c>
      <c r="E60" s="3">
        <v>28741.80805687204</v>
      </c>
      <c r="F60" s="3">
        <v>606452.15</v>
      </c>
      <c r="G60" t="s">
        <v>353</v>
      </c>
      <c r="H60" t="s">
        <v>349</v>
      </c>
      <c r="I60" t="s">
        <v>354</v>
      </c>
      <c r="J60" s="6">
        <v>21.48</v>
      </c>
      <c r="K60" t="s">
        <v>23</v>
      </c>
      <c r="L60" t="s">
        <v>24</v>
      </c>
      <c r="M60" s="2" t="s">
        <v>2209</v>
      </c>
      <c r="N60" t="s">
        <v>355</v>
      </c>
      <c r="O60" t="s">
        <v>118</v>
      </c>
      <c r="P60" s="7" t="s">
        <v>2210</v>
      </c>
      <c r="Q60">
        <v>2967</v>
      </c>
      <c r="R60" s="6">
        <v>9.69</v>
      </c>
    </row>
    <row r="61" spans="1:18">
      <c r="A61" t="s">
        <v>107</v>
      </c>
      <c r="B61" s="1">
        <v>1392</v>
      </c>
      <c r="C61" s="2" t="s">
        <v>2211</v>
      </c>
      <c r="D61" t="s">
        <v>356</v>
      </c>
      <c r="E61" s="3">
        <v>2692.875</v>
      </c>
      <c r="F61" s="3">
        <v>3748482</v>
      </c>
      <c r="G61" t="s">
        <v>357</v>
      </c>
      <c r="H61" t="s">
        <v>358</v>
      </c>
      <c r="I61" t="s">
        <v>359</v>
      </c>
      <c r="J61" s="6">
        <v>0.72</v>
      </c>
      <c r="K61" t="s">
        <v>90</v>
      </c>
      <c r="L61" t="s">
        <v>24</v>
      </c>
      <c r="M61" s="2" t="s">
        <v>2212</v>
      </c>
      <c r="N61" t="s">
        <v>360</v>
      </c>
      <c r="O61" t="s">
        <v>49</v>
      </c>
      <c r="P61" s="7" t="s">
        <v>2213</v>
      </c>
      <c r="Q61">
        <v>2346</v>
      </c>
      <c r="R61" s="6">
        <v>1.1499999999999999</v>
      </c>
    </row>
    <row r="62" spans="1:18">
      <c r="A62" t="s">
        <v>107</v>
      </c>
      <c r="B62" s="1">
        <v>10.4</v>
      </c>
      <c r="C62" s="2" t="s">
        <v>2214</v>
      </c>
      <c r="D62" t="s">
        <v>361</v>
      </c>
      <c r="E62" s="3">
        <v>120841.3461538462</v>
      </c>
      <c r="F62" s="3">
        <v>1256750</v>
      </c>
      <c r="G62" t="s">
        <v>362</v>
      </c>
      <c r="H62" t="s">
        <v>363</v>
      </c>
      <c r="I62" t="s">
        <v>364</v>
      </c>
      <c r="J62" s="6">
        <v>11.08</v>
      </c>
      <c r="K62" t="s">
        <v>23</v>
      </c>
      <c r="L62" t="s">
        <v>24</v>
      </c>
      <c r="M62" s="2" t="s">
        <v>2215</v>
      </c>
      <c r="N62" t="s">
        <v>365</v>
      </c>
      <c r="O62" t="s">
        <v>366</v>
      </c>
      <c r="P62" s="7" t="s">
        <v>2216</v>
      </c>
      <c r="Q62">
        <v>3572</v>
      </c>
      <c r="R62" s="6">
        <v>33.83</v>
      </c>
    </row>
    <row r="63" spans="1:18">
      <c r="A63" t="s">
        <v>107</v>
      </c>
      <c r="B63" s="1">
        <v>35.200000000000003</v>
      </c>
      <c r="C63" s="2" t="s">
        <v>2217</v>
      </c>
      <c r="D63" t="s">
        <v>367</v>
      </c>
      <c r="E63" s="3">
        <v>29659.090909090912</v>
      </c>
      <c r="F63" s="3">
        <v>1044000</v>
      </c>
      <c r="G63" t="s">
        <v>368</v>
      </c>
      <c r="H63" t="s">
        <v>363</v>
      </c>
      <c r="I63" t="s">
        <v>369</v>
      </c>
      <c r="J63" s="6">
        <v>7.25</v>
      </c>
      <c r="K63" t="s">
        <v>23</v>
      </c>
      <c r="L63" t="s">
        <v>24</v>
      </c>
      <c r="M63" s="2" t="s">
        <v>2218</v>
      </c>
      <c r="N63" t="s">
        <v>370</v>
      </c>
      <c r="O63" t="s">
        <v>209</v>
      </c>
      <c r="P63" s="7" t="s">
        <v>2219</v>
      </c>
      <c r="Q63">
        <v>4937</v>
      </c>
      <c r="R63" s="6">
        <v>6.01</v>
      </c>
    </row>
    <row r="64" spans="1:18">
      <c r="A64" t="s">
        <v>107</v>
      </c>
      <c r="B64" s="1">
        <v>14.4</v>
      </c>
      <c r="C64" s="2" t="s">
        <v>2220</v>
      </c>
      <c r="D64" t="s">
        <v>371</v>
      </c>
      <c r="E64" s="3">
        <v>36583.333333333343</v>
      </c>
      <c r="F64" s="3">
        <v>526800</v>
      </c>
      <c r="G64" t="s">
        <v>372</v>
      </c>
      <c r="H64" t="s">
        <v>373</v>
      </c>
      <c r="I64" t="s">
        <v>374</v>
      </c>
      <c r="J64" s="6">
        <v>4.8</v>
      </c>
      <c r="K64" t="s">
        <v>23</v>
      </c>
      <c r="L64" t="s">
        <v>24</v>
      </c>
      <c r="M64" s="2" t="s">
        <v>2221</v>
      </c>
      <c r="N64" t="s">
        <v>375</v>
      </c>
      <c r="O64" t="s">
        <v>247</v>
      </c>
      <c r="P64" s="7" t="s">
        <v>2222</v>
      </c>
      <c r="Q64">
        <v>3589</v>
      </c>
      <c r="R64" s="6">
        <v>10.19</v>
      </c>
    </row>
    <row r="65" spans="1:18">
      <c r="A65" t="s">
        <v>107</v>
      </c>
      <c r="B65" s="1">
        <v>178.9</v>
      </c>
      <c r="C65" s="2" t="s">
        <v>2223</v>
      </c>
      <c r="D65" t="s">
        <v>376</v>
      </c>
      <c r="E65" s="3">
        <v>18256.008943543879</v>
      </c>
      <c r="F65" s="3">
        <v>3266000</v>
      </c>
      <c r="G65" t="s">
        <v>377</v>
      </c>
      <c r="H65" t="s">
        <v>378</v>
      </c>
      <c r="I65" t="s">
        <v>379</v>
      </c>
      <c r="J65" s="6">
        <v>5.5</v>
      </c>
      <c r="K65" t="s">
        <v>23</v>
      </c>
      <c r="L65" t="s">
        <v>24</v>
      </c>
      <c r="M65" s="2" t="s">
        <v>2224</v>
      </c>
      <c r="N65" t="s">
        <v>380</v>
      </c>
      <c r="O65" t="s">
        <v>118</v>
      </c>
      <c r="P65" s="7" t="s">
        <v>2225</v>
      </c>
      <c r="Q65">
        <v>4559</v>
      </c>
      <c r="R65" s="6">
        <v>4</v>
      </c>
    </row>
    <row r="66" spans="1:18">
      <c r="A66" t="s">
        <v>381</v>
      </c>
      <c r="B66" s="1">
        <v>18.5</v>
      </c>
      <c r="C66" s="2" t="s">
        <v>2226</v>
      </c>
      <c r="D66" t="s">
        <v>382</v>
      </c>
      <c r="E66" s="3">
        <v>29334.59459459459</v>
      </c>
      <c r="F66" s="3">
        <v>542690</v>
      </c>
      <c r="G66" t="s">
        <v>383</v>
      </c>
      <c r="H66" t="s">
        <v>384</v>
      </c>
      <c r="I66" t="s">
        <v>385</v>
      </c>
      <c r="J66" s="6">
        <v>2.3199999999999998</v>
      </c>
      <c r="K66" t="s">
        <v>23</v>
      </c>
      <c r="L66" t="s">
        <v>35</v>
      </c>
      <c r="M66" s="2" t="s">
        <v>2227</v>
      </c>
      <c r="N66" t="s">
        <v>386</v>
      </c>
      <c r="O66" t="s">
        <v>387</v>
      </c>
      <c r="P66" s="7" t="s">
        <v>2228</v>
      </c>
      <c r="Q66">
        <v>3566</v>
      </c>
      <c r="R66" s="6">
        <v>8.23</v>
      </c>
    </row>
    <row r="67" spans="1:18">
      <c r="A67" t="s">
        <v>381</v>
      </c>
      <c r="B67" s="1">
        <v>52.6</v>
      </c>
      <c r="C67" s="2" t="s">
        <v>2229</v>
      </c>
      <c r="D67" t="s">
        <v>388</v>
      </c>
      <c r="E67" s="3">
        <v>15623.65</v>
      </c>
      <c r="F67" s="3">
        <v>821803.99</v>
      </c>
      <c r="G67" t="s">
        <v>389</v>
      </c>
      <c r="H67" t="s">
        <v>390</v>
      </c>
      <c r="I67" t="s">
        <v>391</v>
      </c>
      <c r="J67" s="6">
        <v>5.0999999999999996</v>
      </c>
      <c r="K67" t="s">
        <v>23</v>
      </c>
      <c r="L67" t="s">
        <v>24</v>
      </c>
      <c r="M67" s="2" t="s">
        <v>2230</v>
      </c>
      <c r="N67" t="s">
        <v>392</v>
      </c>
      <c r="O67" t="s">
        <v>241</v>
      </c>
      <c r="P67" s="7" t="s">
        <v>2231</v>
      </c>
      <c r="Q67">
        <v>1541</v>
      </c>
      <c r="R67" s="6">
        <v>10.14</v>
      </c>
    </row>
    <row r="68" spans="1:18">
      <c r="A68" t="s">
        <v>55</v>
      </c>
      <c r="B68" s="1">
        <v>104.8</v>
      </c>
      <c r="C68" s="2" t="s">
        <v>2232</v>
      </c>
      <c r="D68" t="s">
        <v>393</v>
      </c>
      <c r="E68" s="3">
        <v>14427.48091603053</v>
      </c>
      <c r="F68" s="3">
        <v>1512000</v>
      </c>
      <c r="G68" t="s">
        <v>394</v>
      </c>
      <c r="H68" t="s">
        <v>395</v>
      </c>
      <c r="I68" t="s">
        <v>396</v>
      </c>
      <c r="J68" s="6">
        <v>11.87</v>
      </c>
      <c r="K68" t="s">
        <v>23</v>
      </c>
      <c r="L68" t="s">
        <v>24</v>
      </c>
      <c r="M68" s="2" t="s">
        <v>2233</v>
      </c>
      <c r="N68" t="s">
        <v>397</v>
      </c>
      <c r="O68" t="s">
        <v>152</v>
      </c>
      <c r="P68" s="7" t="s">
        <v>2234</v>
      </c>
      <c r="Q68">
        <v>1888</v>
      </c>
      <c r="R68" s="6">
        <v>7.64</v>
      </c>
    </row>
    <row r="69" spans="1:18">
      <c r="A69" t="s">
        <v>55</v>
      </c>
      <c r="B69" s="1">
        <v>108.1</v>
      </c>
      <c r="C69" s="2" t="s">
        <v>2235</v>
      </c>
      <c r="D69" t="s">
        <v>398</v>
      </c>
      <c r="E69" s="3">
        <v>86225.71692876966</v>
      </c>
      <c r="F69" s="3">
        <v>9321000</v>
      </c>
      <c r="G69" t="s">
        <v>399</v>
      </c>
      <c r="H69" t="s">
        <v>400</v>
      </c>
      <c r="I69" t="s">
        <v>401</v>
      </c>
      <c r="J69" s="6">
        <v>37.28</v>
      </c>
      <c r="K69" t="s">
        <v>23</v>
      </c>
      <c r="L69" t="s">
        <v>24</v>
      </c>
      <c r="M69" s="2" t="s">
        <v>2236</v>
      </c>
      <c r="N69" t="s">
        <v>402</v>
      </c>
      <c r="O69" t="s">
        <v>403</v>
      </c>
      <c r="P69" s="7" t="s">
        <v>2237</v>
      </c>
      <c r="Q69">
        <v>3404</v>
      </c>
      <c r="R69" s="6">
        <v>25.33</v>
      </c>
    </row>
    <row r="70" spans="1:18">
      <c r="A70" t="s">
        <v>55</v>
      </c>
      <c r="B70" s="1">
        <v>67</v>
      </c>
      <c r="C70" s="2" t="s">
        <v>2238</v>
      </c>
      <c r="D70" t="s">
        <v>404</v>
      </c>
      <c r="E70" s="3">
        <v>30820.895522388058</v>
      </c>
      <c r="F70" s="3">
        <v>2065000</v>
      </c>
      <c r="G70" t="s">
        <v>405</v>
      </c>
      <c r="H70" t="s">
        <v>406</v>
      </c>
      <c r="I70" t="s">
        <v>407</v>
      </c>
      <c r="J70" s="6">
        <v>7.14</v>
      </c>
      <c r="K70" t="s">
        <v>23</v>
      </c>
      <c r="L70" t="s">
        <v>24</v>
      </c>
      <c r="M70" s="2" t="s">
        <v>2239</v>
      </c>
      <c r="N70" t="s">
        <v>408</v>
      </c>
      <c r="O70" t="s">
        <v>409</v>
      </c>
      <c r="P70" s="7" t="s">
        <v>2240</v>
      </c>
      <c r="Q70">
        <v>2419</v>
      </c>
      <c r="R70" s="6">
        <v>12.74</v>
      </c>
    </row>
    <row r="71" spans="1:18">
      <c r="A71" t="s">
        <v>55</v>
      </c>
      <c r="B71" s="1">
        <v>81.5</v>
      </c>
      <c r="C71" s="2" t="s">
        <v>2241</v>
      </c>
      <c r="D71" t="s">
        <v>410</v>
      </c>
      <c r="E71" s="3">
        <v>14429.447852760741</v>
      </c>
      <c r="F71" s="3">
        <v>1176000</v>
      </c>
      <c r="G71" t="s">
        <v>411</v>
      </c>
      <c r="H71" t="s">
        <v>412</v>
      </c>
      <c r="I71" t="s">
        <v>413</v>
      </c>
      <c r="J71" s="6">
        <v>3.91</v>
      </c>
      <c r="K71" t="s">
        <v>23</v>
      </c>
      <c r="L71" t="s">
        <v>24</v>
      </c>
      <c r="M71" s="2" t="s">
        <v>2242</v>
      </c>
      <c r="N71" t="s">
        <v>414</v>
      </c>
      <c r="O71" t="s">
        <v>415</v>
      </c>
      <c r="P71" s="7" t="s">
        <v>2243</v>
      </c>
      <c r="Q71">
        <v>1538</v>
      </c>
      <c r="R71" s="6">
        <v>9.3800000000000008</v>
      </c>
    </row>
    <row r="72" spans="1:18">
      <c r="A72" t="s">
        <v>55</v>
      </c>
      <c r="B72" s="1">
        <v>45.8</v>
      </c>
      <c r="C72" s="2" t="s">
        <v>2244</v>
      </c>
      <c r="D72" t="s">
        <v>416</v>
      </c>
      <c r="E72" s="3">
        <v>25633.187772925761</v>
      </c>
      <c r="F72" s="3">
        <v>1174000</v>
      </c>
      <c r="G72" t="s">
        <v>417</v>
      </c>
      <c r="H72" t="s">
        <v>418</v>
      </c>
      <c r="I72" t="s">
        <v>419</v>
      </c>
      <c r="J72" s="6">
        <v>23.09</v>
      </c>
      <c r="K72" t="s">
        <v>23</v>
      </c>
      <c r="L72" t="s">
        <v>24</v>
      </c>
      <c r="M72" s="2" t="s">
        <v>2245</v>
      </c>
      <c r="N72" t="s">
        <v>420</v>
      </c>
      <c r="O72" t="s">
        <v>227</v>
      </c>
      <c r="P72" s="7" t="s">
        <v>2246</v>
      </c>
      <c r="Q72">
        <v>893</v>
      </c>
      <c r="R72" s="6">
        <v>28.7</v>
      </c>
    </row>
    <row r="73" spans="1:18">
      <c r="A73" t="s">
        <v>55</v>
      </c>
      <c r="B73" s="1">
        <v>169.9</v>
      </c>
      <c r="C73" s="2" t="s">
        <v>2247</v>
      </c>
      <c r="D73" t="s">
        <v>421</v>
      </c>
      <c r="E73" s="3">
        <v>7174.8087110064744</v>
      </c>
      <c r="F73" s="3">
        <v>1219000</v>
      </c>
      <c r="G73" t="s">
        <v>422</v>
      </c>
      <c r="H73" t="s">
        <v>423</v>
      </c>
      <c r="I73" t="s">
        <v>424</v>
      </c>
      <c r="J73" s="6">
        <v>5.44</v>
      </c>
      <c r="K73" t="s">
        <v>23</v>
      </c>
      <c r="L73" t="s">
        <v>24</v>
      </c>
      <c r="M73" s="2" t="s">
        <v>2248</v>
      </c>
      <c r="N73" t="s">
        <v>425</v>
      </c>
      <c r="O73" t="s">
        <v>49</v>
      </c>
      <c r="P73" s="7" t="s">
        <v>2249</v>
      </c>
      <c r="Q73">
        <v>3767</v>
      </c>
      <c r="R73" s="6">
        <v>1.9</v>
      </c>
    </row>
    <row r="74" spans="1:18">
      <c r="A74" t="s">
        <v>430</v>
      </c>
      <c r="B74" s="1">
        <v>261.8</v>
      </c>
      <c r="C74" s="2" t="s">
        <v>2250</v>
      </c>
      <c r="D74" t="s">
        <v>435</v>
      </c>
      <c r="E74" s="3">
        <v>19174.942704354471</v>
      </c>
      <c r="F74" s="3">
        <v>5020000</v>
      </c>
      <c r="G74" t="s">
        <v>436</v>
      </c>
      <c r="H74" t="s">
        <v>437</v>
      </c>
      <c r="J74" s="6">
        <v>5.73</v>
      </c>
      <c r="K74" t="s">
        <v>23</v>
      </c>
      <c r="L74" t="s">
        <v>24</v>
      </c>
      <c r="M74" s="2" t="s">
        <v>2251</v>
      </c>
      <c r="N74" t="s">
        <v>438</v>
      </c>
      <c r="O74" t="s">
        <v>55</v>
      </c>
      <c r="P74" s="7" t="s">
        <v>2252</v>
      </c>
      <c r="Q74">
        <v>1296</v>
      </c>
      <c r="R74" s="6">
        <v>14.8</v>
      </c>
    </row>
    <row r="75" spans="1:18">
      <c r="A75" t="s">
        <v>430</v>
      </c>
      <c r="B75" s="1">
        <v>111.9</v>
      </c>
      <c r="C75" s="2" t="s">
        <v>2253</v>
      </c>
      <c r="D75" t="s">
        <v>439</v>
      </c>
      <c r="E75" s="3">
        <v>27956.99731903485</v>
      </c>
      <c r="F75" s="3">
        <v>3128388</v>
      </c>
      <c r="G75" t="s">
        <v>440</v>
      </c>
      <c r="H75" t="s">
        <v>441</v>
      </c>
      <c r="I75" t="s">
        <v>442</v>
      </c>
      <c r="J75" s="6">
        <v>6.45</v>
      </c>
      <c r="K75" t="s">
        <v>23</v>
      </c>
      <c r="L75" t="s">
        <v>24</v>
      </c>
      <c r="M75" s="2" t="s">
        <v>2254</v>
      </c>
      <c r="N75" t="s">
        <v>443</v>
      </c>
      <c r="O75" t="s">
        <v>227</v>
      </c>
      <c r="P75" s="7" t="s">
        <v>2255</v>
      </c>
      <c r="Q75">
        <v>2016</v>
      </c>
      <c r="R75" s="6">
        <v>13.87</v>
      </c>
    </row>
    <row r="76" spans="1:18">
      <c r="A76" t="s">
        <v>430</v>
      </c>
      <c r="B76" s="1">
        <v>30.7</v>
      </c>
      <c r="C76" s="2" t="s">
        <v>2256</v>
      </c>
      <c r="D76" t="s">
        <v>448</v>
      </c>
      <c r="E76" s="3">
        <v>29635.01628664495</v>
      </c>
      <c r="F76" s="3">
        <v>909795</v>
      </c>
      <c r="G76" t="s">
        <v>449</v>
      </c>
      <c r="H76" t="s">
        <v>450</v>
      </c>
      <c r="I76" t="s">
        <v>451</v>
      </c>
      <c r="J76" s="6">
        <v>6.02</v>
      </c>
      <c r="K76" t="s">
        <v>23</v>
      </c>
      <c r="L76" t="s">
        <v>24</v>
      </c>
      <c r="M76" s="2" t="s">
        <v>2257</v>
      </c>
      <c r="N76" t="s">
        <v>452</v>
      </c>
      <c r="O76" t="s">
        <v>453</v>
      </c>
      <c r="P76" s="7" t="s">
        <v>2258</v>
      </c>
      <c r="Q76">
        <v>2612</v>
      </c>
      <c r="R76" s="6">
        <v>11.35</v>
      </c>
    </row>
    <row r="77" spans="1:18">
      <c r="A77" t="s">
        <v>454</v>
      </c>
      <c r="B77" s="1">
        <v>420.3</v>
      </c>
      <c r="C77" s="2" t="s">
        <v>2259</v>
      </c>
      <c r="D77" t="s">
        <v>455</v>
      </c>
      <c r="E77" s="3">
        <v>2879.0007137758739</v>
      </c>
      <c r="F77" s="3">
        <v>1210044</v>
      </c>
      <c r="G77" t="s">
        <v>456</v>
      </c>
      <c r="H77" t="s">
        <v>457</v>
      </c>
      <c r="I77" t="s">
        <v>458</v>
      </c>
      <c r="J77" s="6">
        <v>17.77</v>
      </c>
      <c r="K77" t="s">
        <v>23</v>
      </c>
      <c r="L77" t="s">
        <v>24</v>
      </c>
      <c r="M77" s="2" t="s">
        <v>2260</v>
      </c>
      <c r="N77" t="s">
        <v>459</v>
      </c>
      <c r="O77" t="s">
        <v>409</v>
      </c>
      <c r="P77" s="7" t="s">
        <v>2261</v>
      </c>
      <c r="Q77">
        <v>377</v>
      </c>
      <c r="R77" s="6">
        <v>7.64</v>
      </c>
    </row>
    <row r="78" spans="1:18">
      <c r="A78" t="s">
        <v>454</v>
      </c>
      <c r="B78" s="1">
        <v>70.099999999999994</v>
      </c>
      <c r="C78" s="2" t="s">
        <v>2262</v>
      </c>
      <c r="D78" t="s">
        <v>464</v>
      </c>
      <c r="E78" s="3">
        <v>50827.389443651933</v>
      </c>
      <c r="F78" s="3">
        <v>3563000</v>
      </c>
      <c r="G78" t="s">
        <v>465</v>
      </c>
      <c r="H78" t="s">
        <v>466</v>
      </c>
      <c r="I78" t="s">
        <v>467</v>
      </c>
      <c r="J78" s="6">
        <v>16.37</v>
      </c>
      <c r="K78" t="s">
        <v>23</v>
      </c>
      <c r="L78" t="s">
        <v>24</v>
      </c>
      <c r="M78" s="2" t="s">
        <v>2263</v>
      </c>
      <c r="N78" t="s">
        <v>468</v>
      </c>
      <c r="O78" t="s">
        <v>178</v>
      </c>
      <c r="P78" s="7" t="s">
        <v>2264</v>
      </c>
      <c r="Q78">
        <v>2071</v>
      </c>
      <c r="R78" s="6">
        <v>24.54</v>
      </c>
    </row>
    <row r="79" spans="1:18">
      <c r="A79" t="s">
        <v>453</v>
      </c>
      <c r="B79" s="1">
        <v>190.6</v>
      </c>
      <c r="C79" s="2" t="s">
        <v>2265</v>
      </c>
      <c r="D79" t="s">
        <v>469</v>
      </c>
      <c r="E79" s="3">
        <v>50820.566631689413</v>
      </c>
      <c r="F79" s="3">
        <v>9686400</v>
      </c>
      <c r="G79" t="s">
        <v>470</v>
      </c>
      <c r="H79" t="s">
        <v>471</v>
      </c>
      <c r="I79" t="s">
        <v>472</v>
      </c>
      <c r="J79" s="6">
        <v>10.02</v>
      </c>
      <c r="K79" t="s">
        <v>23</v>
      </c>
      <c r="L79" t="s">
        <v>24</v>
      </c>
      <c r="M79" s="2" t="s">
        <v>2266</v>
      </c>
      <c r="N79" t="s">
        <v>473</v>
      </c>
      <c r="O79" t="s">
        <v>227</v>
      </c>
      <c r="P79" s="7" t="s">
        <v>2267</v>
      </c>
      <c r="Q79">
        <v>2075</v>
      </c>
      <c r="R79" s="6">
        <v>24.49</v>
      </c>
    </row>
    <row r="80" spans="1:18">
      <c r="A80" t="s">
        <v>453</v>
      </c>
      <c r="B80" s="1">
        <v>17.399999999999999</v>
      </c>
      <c r="C80" s="2" t="s">
        <v>2268</v>
      </c>
      <c r="D80" t="s">
        <v>474</v>
      </c>
      <c r="E80" s="3">
        <v>75632.18390804599</v>
      </c>
      <c r="F80" s="3">
        <v>1316000</v>
      </c>
      <c r="G80" t="s">
        <v>475</v>
      </c>
      <c r="H80" t="s">
        <v>476</v>
      </c>
      <c r="I80" t="s">
        <v>477</v>
      </c>
      <c r="J80" s="6">
        <v>12.95</v>
      </c>
      <c r="K80" t="s">
        <v>23</v>
      </c>
      <c r="L80" t="s">
        <v>24</v>
      </c>
      <c r="M80" s="2" t="s">
        <v>2269</v>
      </c>
      <c r="N80" t="s">
        <v>478</v>
      </c>
      <c r="O80" t="s">
        <v>479</v>
      </c>
      <c r="P80" s="7" t="s">
        <v>2270</v>
      </c>
      <c r="Q80">
        <v>2764</v>
      </c>
      <c r="R80" s="6">
        <v>27.36</v>
      </c>
    </row>
    <row r="81" spans="1:18">
      <c r="A81" t="s">
        <v>453</v>
      </c>
      <c r="B81" s="1">
        <v>66.8</v>
      </c>
      <c r="C81" s="2" t="s">
        <v>2271</v>
      </c>
      <c r="D81" t="s">
        <v>483</v>
      </c>
      <c r="E81" s="3">
        <v>60970.059880239533</v>
      </c>
      <c r="F81" s="3">
        <v>4072800</v>
      </c>
      <c r="G81" t="s">
        <v>484</v>
      </c>
      <c r="H81" t="s">
        <v>485</v>
      </c>
      <c r="I81" t="s">
        <v>486</v>
      </c>
      <c r="J81" s="6">
        <v>18.89</v>
      </c>
      <c r="K81" t="s">
        <v>23</v>
      </c>
      <c r="L81" t="s">
        <v>24</v>
      </c>
      <c r="M81" s="2" t="s">
        <v>2272</v>
      </c>
      <c r="N81" t="s">
        <v>487</v>
      </c>
      <c r="O81" t="s">
        <v>488</v>
      </c>
      <c r="P81" s="7" t="s">
        <v>2273</v>
      </c>
      <c r="Q81">
        <v>3424</v>
      </c>
      <c r="R81" s="6">
        <v>17.809999999999999</v>
      </c>
    </row>
    <row r="82" spans="1:18">
      <c r="A82" t="s">
        <v>453</v>
      </c>
      <c r="B82" s="1">
        <v>295.3</v>
      </c>
      <c r="C82" s="2" t="s">
        <v>2274</v>
      </c>
      <c r="D82" t="s">
        <v>489</v>
      </c>
      <c r="E82" s="3">
        <v>20554.01286826955</v>
      </c>
      <c r="F82" s="3">
        <v>6069600</v>
      </c>
      <c r="G82" t="s">
        <v>490</v>
      </c>
      <c r="H82" t="s">
        <v>491</v>
      </c>
      <c r="I82" t="s">
        <v>492</v>
      </c>
      <c r="J82" s="6">
        <v>52.7</v>
      </c>
      <c r="K82" t="s">
        <v>23</v>
      </c>
      <c r="L82" t="s">
        <v>24</v>
      </c>
      <c r="M82" s="2" t="s">
        <v>2275</v>
      </c>
      <c r="N82" t="s">
        <v>493</v>
      </c>
      <c r="O82" t="s">
        <v>216</v>
      </c>
      <c r="P82" s="7" t="s">
        <v>2276</v>
      </c>
      <c r="Q82">
        <v>56</v>
      </c>
      <c r="R82" s="6">
        <v>367.04</v>
      </c>
    </row>
    <row r="83" spans="1:18">
      <c r="A83" t="s">
        <v>247</v>
      </c>
      <c r="B83" s="1">
        <v>36.9</v>
      </c>
      <c r="C83" s="2" t="s">
        <v>2277</v>
      </c>
      <c r="D83" t="s">
        <v>503</v>
      </c>
      <c r="E83" s="3">
        <v>48970.189701897019</v>
      </c>
      <c r="F83" s="3">
        <v>1807000</v>
      </c>
      <c r="G83" t="s">
        <v>504</v>
      </c>
      <c r="H83" t="s">
        <v>505</v>
      </c>
      <c r="I83" t="s">
        <v>506</v>
      </c>
      <c r="J83" s="6">
        <v>19.5</v>
      </c>
      <c r="K83" t="s">
        <v>23</v>
      </c>
      <c r="L83" t="s">
        <v>24</v>
      </c>
      <c r="M83" s="2" t="s">
        <v>2278</v>
      </c>
      <c r="N83" t="s">
        <v>507</v>
      </c>
      <c r="O83" t="s">
        <v>508</v>
      </c>
      <c r="P83" s="7" t="s">
        <v>2279</v>
      </c>
      <c r="Q83">
        <v>1536</v>
      </c>
      <c r="R83" s="6">
        <v>31.88</v>
      </c>
    </row>
    <row r="84" spans="1:18">
      <c r="A84" t="s">
        <v>247</v>
      </c>
      <c r="B84" s="1">
        <v>14.6</v>
      </c>
      <c r="C84" s="2" t="s">
        <v>2280</v>
      </c>
      <c r="D84" t="s">
        <v>509</v>
      </c>
      <c r="E84" s="3">
        <v>53958.904109589042</v>
      </c>
      <c r="F84" s="3">
        <v>787800</v>
      </c>
      <c r="G84" t="s">
        <v>510</v>
      </c>
      <c r="H84" t="s">
        <v>505</v>
      </c>
      <c r="I84" t="s">
        <v>511</v>
      </c>
      <c r="J84" s="6">
        <v>34.79</v>
      </c>
      <c r="K84" t="s">
        <v>23</v>
      </c>
      <c r="L84" t="s">
        <v>24</v>
      </c>
      <c r="M84" s="2" t="s">
        <v>2281</v>
      </c>
      <c r="N84" t="s">
        <v>512</v>
      </c>
      <c r="O84" t="s">
        <v>498</v>
      </c>
      <c r="P84" s="7" t="s">
        <v>2282</v>
      </c>
      <c r="Q84">
        <v>1689</v>
      </c>
      <c r="R84" s="6">
        <v>31.95</v>
      </c>
    </row>
    <row r="85" spans="1:18">
      <c r="A85" t="s">
        <v>513</v>
      </c>
      <c r="B85" s="1">
        <v>125.6</v>
      </c>
      <c r="C85" s="2" t="s">
        <v>3170</v>
      </c>
      <c r="D85" t="s">
        <v>514</v>
      </c>
      <c r="E85" s="3">
        <v>4132.1656050955417</v>
      </c>
      <c r="F85" s="3">
        <v>519000</v>
      </c>
      <c r="G85" t="s">
        <v>515</v>
      </c>
      <c r="H85" t="s">
        <v>516</v>
      </c>
      <c r="I85" t="s">
        <v>517</v>
      </c>
      <c r="J85" s="3"/>
      <c r="K85" t="s">
        <v>23</v>
      </c>
      <c r="L85" t="s">
        <v>24</v>
      </c>
      <c r="M85" s="2" t="s">
        <v>3171</v>
      </c>
      <c r="P85" s="2"/>
      <c r="Q85">
        <v>214</v>
      </c>
      <c r="R85" s="6">
        <v>19.309999999999999</v>
      </c>
    </row>
    <row r="86" spans="1:18">
      <c r="A86" t="s">
        <v>513</v>
      </c>
      <c r="B86" s="1">
        <v>37.6</v>
      </c>
      <c r="C86" s="2" t="s">
        <v>2283</v>
      </c>
      <c r="D86" t="s">
        <v>518</v>
      </c>
      <c r="E86" s="3">
        <v>26063.829787234041</v>
      </c>
      <c r="F86" s="3">
        <v>980000</v>
      </c>
      <c r="G86" t="s">
        <v>519</v>
      </c>
      <c r="H86" t="s">
        <v>520</v>
      </c>
      <c r="I86" t="s">
        <v>521</v>
      </c>
      <c r="J86" s="6">
        <v>2.68</v>
      </c>
      <c r="K86" t="s">
        <v>23</v>
      </c>
      <c r="L86" t="s">
        <v>24</v>
      </c>
      <c r="M86" s="2" t="s">
        <v>2284</v>
      </c>
      <c r="N86" t="s">
        <v>522</v>
      </c>
      <c r="O86" t="s">
        <v>313</v>
      </c>
      <c r="P86" s="7" t="s">
        <v>2285</v>
      </c>
      <c r="Q86">
        <v>958</v>
      </c>
      <c r="R86" s="6">
        <v>27.21</v>
      </c>
    </row>
    <row r="87" spans="1:18">
      <c r="A87" t="s">
        <v>513</v>
      </c>
      <c r="B87" s="1">
        <v>105.3</v>
      </c>
      <c r="C87" s="2" t="s">
        <v>2286</v>
      </c>
      <c r="D87" t="s">
        <v>523</v>
      </c>
      <c r="E87" s="3">
        <v>15669.515669515669</v>
      </c>
      <c r="F87" s="3">
        <v>1650000</v>
      </c>
      <c r="G87" t="s">
        <v>524</v>
      </c>
      <c r="H87" t="s">
        <v>525</v>
      </c>
      <c r="I87" t="s">
        <v>526</v>
      </c>
      <c r="J87" s="6">
        <v>2.27</v>
      </c>
      <c r="K87" t="s">
        <v>23</v>
      </c>
      <c r="L87" t="s">
        <v>24</v>
      </c>
      <c r="M87" s="2" t="s">
        <v>2287</v>
      </c>
      <c r="N87" t="s">
        <v>527</v>
      </c>
      <c r="O87" t="s">
        <v>178</v>
      </c>
      <c r="P87" s="7" t="s">
        <v>2288</v>
      </c>
      <c r="Q87">
        <v>958</v>
      </c>
      <c r="R87" s="6">
        <v>16.36</v>
      </c>
    </row>
    <row r="88" spans="1:18">
      <c r="A88" t="s">
        <v>513</v>
      </c>
      <c r="B88" s="1">
        <v>54</v>
      </c>
      <c r="C88" s="2" t="s">
        <v>2289</v>
      </c>
      <c r="D88" t="s">
        <v>523</v>
      </c>
      <c r="E88" s="3">
        <v>24888.888888888891</v>
      </c>
      <c r="F88" s="3">
        <v>1344000</v>
      </c>
      <c r="G88" t="s">
        <v>528</v>
      </c>
      <c r="H88" t="s">
        <v>529</v>
      </c>
      <c r="I88" t="s">
        <v>530</v>
      </c>
      <c r="J88" s="6">
        <v>6.86</v>
      </c>
      <c r="K88" t="s">
        <v>23</v>
      </c>
      <c r="L88" t="s">
        <v>24</v>
      </c>
      <c r="M88" s="2" t="s">
        <v>2290</v>
      </c>
      <c r="N88" t="s">
        <v>531</v>
      </c>
      <c r="O88" t="s">
        <v>73</v>
      </c>
      <c r="P88" s="7" t="s">
        <v>2291</v>
      </c>
      <c r="Q88">
        <v>3434</v>
      </c>
      <c r="R88" s="6">
        <v>7.25</v>
      </c>
    </row>
    <row r="89" spans="1:18">
      <c r="A89" t="s">
        <v>513</v>
      </c>
      <c r="B89" s="1">
        <v>1092.5</v>
      </c>
      <c r="C89" s="2" t="s">
        <v>2292</v>
      </c>
      <c r="D89" t="s">
        <v>532</v>
      </c>
      <c r="E89" s="3">
        <v>1043.743707093822</v>
      </c>
      <c r="F89" s="3">
        <v>1140290</v>
      </c>
      <c r="G89" t="s">
        <v>533</v>
      </c>
      <c r="H89" t="s">
        <v>534</v>
      </c>
      <c r="J89" s="6"/>
      <c r="K89" t="s">
        <v>23</v>
      </c>
      <c r="L89" t="s">
        <v>35</v>
      </c>
      <c r="M89" s="2" t="s">
        <v>2293</v>
      </c>
      <c r="N89" t="s">
        <v>79</v>
      </c>
      <c r="O89" t="s">
        <v>79</v>
      </c>
      <c r="P89" s="7" t="s">
        <v>2294</v>
      </c>
      <c r="Q89">
        <v>181</v>
      </c>
      <c r="R89" s="6">
        <v>5.77</v>
      </c>
    </row>
    <row r="90" spans="1:18">
      <c r="A90" t="s">
        <v>513</v>
      </c>
      <c r="B90" s="1">
        <v>813.2</v>
      </c>
      <c r="C90" s="2" t="s">
        <v>2295</v>
      </c>
      <c r="D90" t="s">
        <v>535</v>
      </c>
      <c r="E90" s="3">
        <v>1114.6089522872601</v>
      </c>
      <c r="F90" s="3">
        <v>906400</v>
      </c>
      <c r="G90" t="s">
        <v>536</v>
      </c>
      <c r="H90" t="s">
        <v>534</v>
      </c>
      <c r="J90" s="6"/>
      <c r="K90" t="s">
        <v>23</v>
      </c>
      <c r="L90" t="s">
        <v>35</v>
      </c>
      <c r="M90" s="2" t="s">
        <v>2296</v>
      </c>
      <c r="N90" t="s">
        <v>79</v>
      </c>
      <c r="O90" t="s">
        <v>79</v>
      </c>
      <c r="P90" s="7" t="s">
        <v>2297</v>
      </c>
      <c r="Q90">
        <v>64</v>
      </c>
      <c r="R90" s="6">
        <v>17.420000000000002</v>
      </c>
    </row>
    <row r="91" spans="1:18">
      <c r="A91" t="s">
        <v>513</v>
      </c>
      <c r="B91" s="1">
        <v>1033.7</v>
      </c>
      <c r="C91" s="2" t="s">
        <v>3172</v>
      </c>
      <c r="D91" t="s">
        <v>537</v>
      </c>
      <c r="E91" s="3">
        <v>1108.977459611106</v>
      </c>
      <c r="F91" s="3">
        <v>1146350</v>
      </c>
      <c r="G91" t="s">
        <v>538</v>
      </c>
      <c r="H91" t="s">
        <v>534</v>
      </c>
      <c r="J91" s="3"/>
      <c r="K91" t="s">
        <v>23</v>
      </c>
      <c r="L91" t="s">
        <v>35</v>
      </c>
      <c r="M91" s="2" t="s">
        <v>3173</v>
      </c>
      <c r="P91" s="2"/>
      <c r="Q91">
        <v>239</v>
      </c>
      <c r="R91" s="6">
        <v>4.6399999999999997</v>
      </c>
    </row>
    <row r="92" spans="1:18">
      <c r="A92" t="s">
        <v>513</v>
      </c>
      <c r="B92" s="1">
        <v>126.7</v>
      </c>
      <c r="C92" s="2" t="s">
        <v>2298</v>
      </c>
      <c r="D92" t="s">
        <v>539</v>
      </c>
      <c r="E92" s="3">
        <v>5130.2288871349647</v>
      </c>
      <c r="F92" s="3">
        <v>650000</v>
      </c>
      <c r="G92" t="s">
        <v>540</v>
      </c>
      <c r="H92" t="s">
        <v>541</v>
      </c>
      <c r="I92" t="s">
        <v>542</v>
      </c>
      <c r="J92" s="6"/>
      <c r="K92" t="s">
        <v>23</v>
      </c>
      <c r="L92" t="s">
        <v>24</v>
      </c>
      <c r="M92" s="2" t="s">
        <v>2299</v>
      </c>
      <c r="N92" t="s">
        <v>79</v>
      </c>
      <c r="O92" t="s">
        <v>79</v>
      </c>
      <c r="P92" s="7" t="s">
        <v>2300</v>
      </c>
      <c r="Q92">
        <v>446</v>
      </c>
      <c r="R92" s="6">
        <v>11.5</v>
      </c>
    </row>
    <row r="93" spans="1:18">
      <c r="A93" t="s">
        <v>513</v>
      </c>
      <c r="B93" s="1">
        <v>100.9</v>
      </c>
      <c r="C93" s="2" t="s">
        <v>2301</v>
      </c>
      <c r="D93" t="s">
        <v>523</v>
      </c>
      <c r="E93" s="3">
        <v>14271.55599603568</v>
      </c>
      <c r="F93" s="3">
        <v>1440000</v>
      </c>
      <c r="G93" t="s">
        <v>543</v>
      </c>
      <c r="H93" t="s">
        <v>544</v>
      </c>
      <c r="I93" t="s">
        <v>545</v>
      </c>
      <c r="J93" s="6">
        <v>6.8</v>
      </c>
      <c r="K93" t="s">
        <v>23</v>
      </c>
      <c r="L93" t="s">
        <v>24</v>
      </c>
      <c r="M93" s="2" t="s">
        <v>2302</v>
      </c>
      <c r="N93" t="s">
        <v>546</v>
      </c>
      <c r="O93" t="s">
        <v>291</v>
      </c>
      <c r="P93" s="7" t="s">
        <v>2303</v>
      </c>
      <c r="Q93">
        <v>2472</v>
      </c>
      <c r="R93" s="6">
        <v>5.77</v>
      </c>
    </row>
    <row r="94" spans="1:18">
      <c r="A94" t="s">
        <v>513</v>
      </c>
      <c r="B94" s="1">
        <v>69</v>
      </c>
      <c r="C94" s="2" t="s">
        <v>2304</v>
      </c>
      <c r="D94" t="s">
        <v>523</v>
      </c>
      <c r="E94" s="3">
        <v>37347.82608695652</v>
      </c>
      <c r="F94" s="3">
        <v>2577000</v>
      </c>
      <c r="G94" t="s">
        <v>547</v>
      </c>
      <c r="H94" t="s">
        <v>544</v>
      </c>
      <c r="I94" t="s">
        <v>548</v>
      </c>
      <c r="J94" s="6">
        <v>7.84</v>
      </c>
      <c r="K94" t="s">
        <v>23</v>
      </c>
      <c r="L94" t="s">
        <v>24</v>
      </c>
      <c r="M94" s="2" t="s">
        <v>2305</v>
      </c>
      <c r="N94" t="s">
        <v>549</v>
      </c>
      <c r="O94" t="s">
        <v>247</v>
      </c>
      <c r="P94" s="7" t="s">
        <v>2306</v>
      </c>
      <c r="Q94">
        <v>5625</v>
      </c>
      <c r="R94" s="6">
        <v>6.64</v>
      </c>
    </row>
    <row r="95" spans="1:18">
      <c r="A95" t="s">
        <v>513</v>
      </c>
      <c r="B95" s="1">
        <v>224</v>
      </c>
      <c r="C95" s="2" t="s">
        <v>3174</v>
      </c>
      <c r="D95" t="s">
        <v>550</v>
      </c>
      <c r="E95" s="3">
        <v>3995.5357142857142</v>
      </c>
      <c r="F95" s="3">
        <v>895000</v>
      </c>
      <c r="G95" t="s">
        <v>551</v>
      </c>
      <c r="H95" t="s">
        <v>552</v>
      </c>
      <c r="I95" t="s">
        <v>553</v>
      </c>
      <c r="J95" s="3"/>
      <c r="K95" t="s">
        <v>23</v>
      </c>
      <c r="L95" t="s">
        <v>24</v>
      </c>
      <c r="M95" s="2" t="s">
        <v>3175</v>
      </c>
      <c r="P95" s="2"/>
      <c r="Q95">
        <v>348</v>
      </c>
      <c r="R95" s="6">
        <v>11.48</v>
      </c>
    </row>
    <row r="96" spans="1:18">
      <c r="A96" t="s">
        <v>554</v>
      </c>
      <c r="B96" s="1">
        <v>467.8</v>
      </c>
      <c r="C96" s="2" t="s">
        <v>2307</v>
      </c>
      <c r="D96" t="s">
        <v>559</v>
      </c>
      <c r="E96" s="3">
        <v>3420.2650705429669</v>
      </c>
      <c r="F96" s="3">
        <v>1600000</v>
      </c>
      <c r="G96" t="s">
        <v>560</v>
      </c>
      <c r="H96" t="s">
        <v>250</v>
      </c>
      <c r="I96" t="s">
        <v>561</v>
      </c>
      <c r="J96" s="6">
        <v>1.65</v>
      </c>
      <c r="K96" t="s">
        <v>23</v>
      </c>
      <c r="L96" t="s">
        <v>24</v>
      </c>
      <c r="M96" s="2" t="s">
        <v>2308</v>
      </c>
      <c r="N96" t="s">
        <v>562</v>
      </c>
      <c r="O96" t="s">
        <v>216</v>
      </c>
      <c r="P96" s="7" t="s">
        <v>2309</v>
      </c>
      <c r="Q96">
        <v>3414</v>
      </c>
      <c r="R96" s="6">
        <v>1</v>
      </c>
    </row>
    <row r="97" spans="1:18">
      <c r="A97" t="s">
        <v>554</v>
      </c>
      <c r="B97" s="1">
        <v>21.3</v>
      </c>
      <c r="C97" s="2" t="s">
        <v>2310</v>
      </c>
      <c r="D97" t="s">
        <v>563</v>
      </c>
      <c r="E97" s="3">
        <v>31228.262910798119</v>
      </c>
      <c r="F97" s="3">
        <v>665162</v>
      </c>
      <c r="G97" t="s">
        <v>564</v>
      </c>
      <c r="H97" t="s">
        <v>565</v>
      </c>
      <c r="I97" t="s">
        <v>566</v>
      </c>
      <c r="J97" s="6">
        <v>8.99</v>
      </c>
      <c r="K97" t="s">
        <v>23</v>
      </c>
      <c r="L97" t="s">
        <v>35</v>
      </c>
      <c r="M97" s="2" t="s">
        <v>2311</v>
      </c>
      <c r="N97" t="s">
        <v>567</v>
      </c>
      <c r="O97" t="s">
        <v>554</v>
      </c>
      <c r="P97" s="7" t="s">
        <v>2312</v>
      </c>
      <c r="Q97">
        <v>4673</v>
      </c>
      <c r="R97" s="6">
        <v>6.68</v>
      </c>
    </row>
    <row r="98" spans="1:18">
      <c r="A98" t="s">
        <v>554</v>
      </c>
      <c r="B98" s="1">
        <v>758.4</v>
      </c>
      <c r="C98" s="2" t="s">
        <v>2313</v>
      </c>
      <c r="D98" t="s">
        <v>572</v>
      </c>
      <c r="E98" s="3">
        <v>2640.427215189874</v>
      </c>
      <c r="F98" s="3">
        <v>2002500</v>
      </c>
      <c r="G98" t="s">
        <v>573</v>
      </c>
      <c r="H98" t="s">
        <v>574</v>
      </c>
      <c r="I98" t="s">
        <v>575</v>
      </c>
      <c r="J98" s="6">
        <v>7.46</v>
      </c>
      <c r="K98" t="s">
        <v>90</v>
      </c>
      <c r="L98" t="s">
        <v>24</v>
      </c>
      <c r="M98" s="2" t="s">
        <v>2314</v>
      </c>
      <c r="N98" t="s">
        <v>576</v>
      </c>
      <c r="O98" t="s">
        <v>204</v>
      </c>
      <c r="P98" s="7" t="s">
        <v>2315</v>
      </c>
      <c r="Q98">
        <v>1377</v>
      </c>
      <c r="R98" s="6">
        <v>1.92</v>
      </c>
    </row>
    <row r="99" spans="1:18">
      <c r="A99" t="s">
        <v>577</v>
      </c>
      <c r="B99" s="1">
        <v>45.3</v>
      </c>
      <c r="C99" s="2" t="s">
        <v>2316</v>
      </c>
      <c r="D99" t="s">
        <v>578</v>
      </c>
      <c r="E99" s="3">
        <v>40846.559823399562</v>
      </c>
      <c r="F99" s="3">
        <v>1850349.16</v>
      </c>
      <c r="G99" t="s">
        <v>579</v>
      </c>
      <c r="H99" t="s">
        <v>580</v>
      </c>
      <c r="I99" t="s">
        <v>581</v>
      </c>
      <c r="J99" s="6">
        <v>12.4</v>
      </c>
      <c r="K99" t="s">
        <v>23</v>
      </c>
      <c r="L99" t="s">
        <v>24</v>
      </c>
      <c r="M99" s="2" t="s">
        <v>2317</v>
      </c>
      <c r="N99" t="s">
        <v>582</v>
      </c>
      <c r="O99" t="s">
        <v>415</v>
      </c>
      <c r="P99" s="7" t="s">
        <v>2318</v>
      </c>
      <c r="Q99">
        <v>1267</v>
      </c>
      <c r="R99" s="6">
        <v>32.24</v>
      </c>
    </row>
    <row r="100" spans="1:18">
      <c r="A100" t="s">
        <v>577</v>
      </c>
      <c r="B100" s="1">
        <v>65.400000000000006</v>
      </c>
      <c r="C100" s="2" t="s">
        <v>2319</v>
      </c>
      <c r="D100" t="s">
        <v>583</v>
      </c>
      <c r="E100" s="3">
        <v>13470.948012232409</v>
      </c>
      <c r="F100" s="3">
        <v>881000</v>
      </c>
      <c r="G100" t="s">
        <v>584</v>
      </c>
      <c r="H100" t="s">
        <v>585</v>
      </c>
      <c r="I100" t="s">
        <v>586</v>
      </c>
      <c r="J100" s="6">
        <v>10.35</v>
      </c>
      <c r="K100" t="s">
        <v>23</v>
      </c>
      <c r="L100" t="s">
        <v>24</v>
      </c>
      <c r="M100" s="2" t="s">
        <v>2320</v>
      </c>
      <c r="N100" t="s">
        <v>587</v>
      </c>
      <c r="O100" t="s">
        <v>49</v>
      </c>
      <c r="P100" s="7" t="s">
        <v>2321</v>
      </c>
      <c r="Q100">
        <v>1766</v>
      </c>
      <c r="R100" s="6">
        <v>7.63</v>
      </c>
    </row>
    <row r="101" spans="1:18">
      <c r="A101" t="s">
        <v>577</v>
      </c>
      <c r="B101" s="1">
        <v>863.72</v>
      </c>
      <c r="C101" s="2" t="s">
        <v>2322</v>
      </c>
      <c r="D101" t="s">
        <v>588</v>
      </c>
      <c r="E101" s="3">
        <v>3126.0130597878938</v>
      </c>
      <c r="F101" s="3">
        <v>2700000</v>
      </c>
      <c r="G101" t="s">
        <v>589</v>
      </c>
      <c r="H101" t="s">
        <v>590</v>
      </c>
      <c r="I101" t="s">
        <v>591</v>
      </c>
      <c r="J101" s="6">
        <v>12.36</v>
      </c>
      <c r="K101" t="s">
        <v>592</v>
      </c>
      <c r="L101" t="s">
        <v>24</v>
      </c>
      <c r="M101" s="2" t="s">
        <v>2323</v>
      </c>
      <c r="N101" t="s">
        <v>593</v>
      </c>
      <c r="O101" t="s">
        <v>67</v>
      </c>
      <c r="P101" s="7" t="s">
        <v>2324</v>
      </c>
      <c r="Q101">
        <v>711</v>
      </c>
      <c r="R101" s="6">
        <v>4.4000000000000004</v>
      </c>
    </row>
    <row r="102" spans="1:18">
      <c r="A102" t="s">
        <v>577</v>
      </c>
      <c r="B102" s="1">
        <v>10.9</v>
      </c>
      <c r="C102" s="2" t="s">
        <v>3176</v>
      </c>
      <c r="D102" t="s">
        <v>594</v>
      </c>
      <c r="E102" s="3">
        <v>56146.788990825677</v>
      </c>
      <c r="F102" s="3">
        <v>612000</v>
      </c>
      <c r="G102" t="s">
        <v>595</v>
      </c>
      <c r="H102" t="s">
        <v>596</v>
      </c>
      <c r="I102" t="s">
        <v>597</v>
      </c>
      <c r="J102" s="3"/>
      <c r="K102" t="s">
        <v>23</v>
      </c>
      <c r="L102" t="s">
        <v>24</v>
      </c>
      <c r="M102" s="2" t="s">
        <v>3177</v>
      </c>
      <c r="P102" s="2"/>
      <c r="Q102">
        <v>832</v>
      </c>
      <c r="R102" s="6">
        <v>67.48</v>
      </c>
    </row>
    <row r="103" spans="1:18">
      <c r="A103" t="s">
        <v>577</v>
      </c>
      <c r="B103" s="1">
        <v>61.6</v>
      </c>
      <c r="C103" s="2" t="s">
        <v>3178</v>
      </c>
      <c r="D103" t="s">
        <v>598</v>
      </c>
      <c r="E103" s="3">
        <v>35836.038961038961</v>
      </c>
      <c r="F103" s="3">
        <v>2207500</v>
      </c>
      <c r="G103" t="s">
        <v>599</v>
      </c>
      <c r="H103" t="s">
        <v>596</v>
      </c>
      <c r="I103" t="s">
        <v>600</v>
      </c>
      <c r="J103" s="3"/>
      <c r="K103" t="s">
        <v>23</v>
      </c>
      <c r="L103" t="s">
        <v>24</v>
      </c>
      <c r="M103" s="2" t="s">
        <v>3179</v>
      </c>
      <c r="P103" s="2"/>
      <c r="Q103">
        <v>978</v>
      </c>
      <c r="R103" s="6">
        <v>36.64</v>
      </c>
    </row>
    <row r="104" spans="1:18">
      <c r="A104" t="s">
        <v>158</v>
      </c>
      <c r="B104" s="1">
        <v>213.7</v>
      </c>
      <c r="C104" s="2" t="s">
        <v>2325</v>
      </c>
      <c r="D104" t="s">
        <v>609</v>
      </c>
      <c r="E104" s="3">
        <v>4351.895180159102</v>
      </c>
      <c r="F104" s="3">
        <v>930000</v>
      </c>
      <c r="G104" t="s">
        <v>610</v>
      </c>
      <c r="H104" t="s">
        <v>611</v>
      </c>
      <c r="I104" t="s">
        <v>612</v>
      </c>
      <c r="J104" s="6">
        <v>4.5199999999999996</v>
      </c>
      <c r="K104" t="s">
        <v>23</v>
      </c>
      <c r="L104" t="s">
        <v>24</v>
      </c>
      <c r="M104" s="2" t="s">
        <v>2326</v>
      </c>
      <c r="N104" t="s">
        <v>613</v>
      </c>
      <c r="O104" t="s">
        <v>189</v>
      </c>
      <c r="P104" s="7" t="s">
        <v>2327</v>
      </c>
      <c r="Q104">
        <v>319</v>
      </c>
      <c r="R104" s="6">
        <v>13.64</v>
      </c>
    </row>
    <row r="105" spans="1:18">
      <c r="A105" t="s">
        <v>158</v>
      </c>
      <c r="B105" s="1">
        <v>989</v>
      </c>
      <c r="C105" s="2" t="s">
        <v>2328</v>
      </c>
      <c r="D105" t="s">
        <v>614</v>
      </c>
      <c r="E105" s="3">
        <v>4620.8291203235594</v>
      </c>
      <c r="F105" s="3">
        <v>4570000</v>
      </c>
      <c r="G105" t="s">
        <v>615</v>
      </c>
      <c r="H105" t="s">
        <v>616</v>
      </c>
      <c r="I105" t="s">
        <v>617</v>
      </c>
      <c r="J105" s="6">
        <v>7.37</v>
      </c>
      <c r="K105" t="s">
        <v>23</v>
      </c>
      <c r="L105" t="s">
        <v>24</v>
      </c>
      <c r="M105" s="2" t="s">
        <v>2329</v>
      </c>
      <c r="N105" t="s">
        <v>618</v>
      </c>
      <c r="O105" t="s">
        <v>291</v>
      </c>
      <c r="P105" s="7" t="s">
        <v>2330</v>
      </c>
      <c r="Q105">
        <v>425</v>
      </c>
      <c r="R105" s="6">
        <v>10.87</v>
      </c>
    </row>
    <row r="106" spans="1:18">
      <c r="A106" t="s">
        <v>158</v>
      </c>
      <c r="B106" s="1">
        <v>32.9</v>
      </c>
      <c r="C106" s="2" t="s">
        <v>2331</v>
      </c>
      <c r="D106" t="s">
        <v>619</v>
      </c>
      <c r="E106" s="3">
        <v>56352.58358662614</v>
      </c>
      <c r="F106" s="3">
        <v>1854000</v>
      </c>
      <c r="G106" t="s">
        <v>620</v>
      </c>
      <c r="H106" t="s">
        <v>621</v>
      </c>
      <c r="I106" t="s">
        <v>622</v>
      </c>
      <c r="J106" s="6">
        <v>18.11</v>
      </c>
      <c r="K106" t="s">
        <v>23</v>
      </c>
      <c r="L106" t="s">
        <v>24</v>
      </c>
      <c r="M106" s="2" t="s">
        <v>2332</v>
      </c>
      <c r="N106" t="s">
        <v>623</v>
      </c>
      <c r="O106" t="s">
        <v>183</v>
      </c>
      <c r="P106" s="7" t="s">
        <v>2333</v>
      </c>
      <c r="Q106">
        <v>3414</v>
      </c>
      <c r="R106" s="6">
        <v>16.510000000000002</v>
      </c>
    </row>
    <row r="107" spans="1:18">
      <c r="A107" t="s">
        <v>158</v>
      </c>
      <c r="B107" s="1">
        <v>622.1</v>
      </c>
      <c r="C107" s="2" t="s">
        <v>2334</v>
      </c>
      <c r="D107" t="s">
        <v>624</v>
      </c>
      <c r="E107" s="3">
        <v>6285.1631570487061</v>
      </c>
      <c r="F107" s="3">
        <v>3910000</v>
      </c>
      <c r="G107" t="s">
        <v>625</v>
      </c>
      <c r="H107" t="s">
        <v>626</v>
      </c>
      <c r="I107" t="s">
        <v>627</v>
      </c>
      <c r="J107" s="6">
        <v>2.42</v>
      </c>
      <c r="K107" t="s">
        <v>23</v>
      </c>
      <c r="L107" t="s">
        <v>24</v>
      </c>
      <c r="M107" s="2" t="s">
        <v>2335</v>
      </c>
      <c r="N107" t="s">
        <v>628</v>
      </c>
      <c r="O107" t="s">
        <v>183</v>
      </c>
      <c r="P107" s="7" t="s">
        <v>2336</v>
      </c>
      <c r="Q107">
        <v>1447</v>
      </c>
      <c r="R107" s="6">
        <v>4.34</v>
      </c>
    </row>
    <row r="108" spans="1:18">
      <c r="A108" t="s">
        <v>158</v>
      </c>
      <c r="B108" s="1">
        <v>23.9</v>
      </c>
      <c r="C108" s="2" t="s">
        <v>2337</v>
      </c>
      <c r="D108" t="s">
        <v>629</v>
      </c>
      <c r="E108" s="3">
        <v>28443.514644351471</v>
      </c>
      <c r="F108" s="3">
        <v>679800</v>
      </c>
      <c r="G108" t="s">
        <v>630</v>
      </c>
      <c r="H108" t="s">
        <v>631</v>
      </c>
      <c r="I108" t="s">
        <v>632</v>
      </c>
      <c r="J108" s="6">
        <v>4.18</v>
      </c>
      <c r="K108" t="s">
        <v>23</v>
      </c>
      <c r="L108" t="s">
        <v>24</v>
      </c>
      <c r="M108" s="2" t="s">
        <v>2338</v>
      </c>
      <c r="N108" t="s">
        <v>633</v>
      </c>
      <c r="O108" t="s">
        <v>216</v>
      </c>
      <c r="P108" s="7" t="s">
        <v>2339</v>
      </c>
      <c r="Q108">
        <v>3702</v>
      </c>
      <c r="R108" s="6">
        <v>7.68</v>
      </c>
    </row>
    <row r="109" spans="1:18">
      <c r="A109" t="s">
        <v>634</v>
      </c>
      <c r="B109" s="1">
        <v>105.8</v>
      </c>
      <c r="C109" s="2" t="s">
        <v>2340</v>
      </c>
      <c r="D109" t="s">
        <v>509</v>
      </c>
      <c r="E109" s="3">
        <v>25603.213610586012</v>
      </c>
      <c r="F109" s="3">
        <v>2708820</v>
      </c>
      <c r="G109" t="s">
        <v>635</v>
      </c>
      <c r="H109" t="s">
        <v>636</v>
      </c>
      <c r="I109" t="s">
        <v>637</v>
      </c>
      <c r="J109" s="6">
        <v>57.28</v>
      </c>
      <c r="K109" t="s">
        <v>23</v>
      </c>
      <c r="L109" t="s">
        <v>24</v>
      </c>
      <c r="M109" s="2" t="s">
        <v>2341</v>
      </c>
      <c r="N109" t="s">
        <v>638</v>
      </c>
      <c r="O109" t="s">
        <v>67</v>
      </c>
      <c r="P109" s="7" t="s">
        <v>2342</v>
      </c>
      <c r="Q109">
        <v>1521</v>
      </c>
      <c r="R109" s="6">
        <v>16.829999999999998</v>
      </c>
    </row>
    <row r="110" spans="1:18">
      <c r="A110" t="s">
        <v>634</v>
      </c>
      <c r="B110" s="1">
        <v>28.7</v>
      </c>
      <c r="C110" s="2" t="s">
        <v>2343</v>
      </c>
      <c r="D110" t="s">
        <v>639</v>
      </c>
      <c r="E110" s="3">
        <v>26858.292682926829</v>
      </c>
      <c r="F110" s="3">
        <v>770833</v>
      </c>
      <c r="G110" t="s">
        <v>640</v>
      </c>
      <c r="H110" t="s">
        <v>641</v>
      </c>
      <c r="I110" t="s">
        <v>642</v>
      </c>
      <c r="J110" s="6">
        <v>2.85</v>
      </c>
      <c r="K110" t="s">
        <v>23</v>
      </c>
      <c r="L110" t="s">
        <v>24</v>
      </c>
      <c r="M110" s="2" t="s">
        <v>2344</v>
      </c>
      <c r="N110" t="s">
        <v>643</v>
      </c>
      <c r="O110" t="s">
        <v>644</v>
      </c>
      <c r="P110" s="7" t="s">
        <v>2345</v>
      </c>
      <c r="Q110">
        <v>5048</v>
      </c>
      <c r="R110" s="6">
        <v>5.32</v>
      </c>
    </row>
    <row r="111" spans="1:18">
      <c r="A111" t="s">
        <v>634</v>
      </c>
      <c r="B111" s="1">
        <v>30.2</v>
      </c>
      <c r="C111" s="2" t="s">
        <v>2346</v>
      </c>
      <c r="D111" t="s">
        <v>645</v>
      </c>
      <c r="E111" s="3">
        <v>16556.291390728478</v>
      </c>
      <c r="F111" s="3">
        <v>500000</v>
      </c>
      <c r="G111" t="s">
        <v>646</v>
      </c>
      <c r="H111" t="s">
        <v>647</v>
      </c>
      <c r="I111" t="s">
        <v>648</v>
      </c>
      <c r="J111" s="6">
        <v>16.23</v>
      </c>
      <c r="K111" t="s">
        <v>23</v>
      </c>
      <c r="L111" t="s">
        <v>24</v>
      </c>
      <c r="M111" s="2" t="s">
        <v>2347</v>
      </c>
      <c r="N111" t="s">
        <v>649</v>
      </c>
      <c r="O111" t="s">
        <v>130</v>
      </c>
      <c r="P111" s="7" t="s">
        <v>2348</v>
      </c>
      <c r="Q111">
        <v>1465</v>
      </c>
      <c r="R111" s="6">
        <v>11.3</v>
      </c>
    </row>
    <row r="112" spans="1:18">
      <c r="A112" t="s">
        <v>634</v>
      </c>
      <c r="B112" s="1">
        <v>34.200000000000003</v>
      </c>
      <c r="C112" s="2" t="s">
        <v>2349</v>
      </c>
      <c r="D112" t="s">
        <v>645</v>
      </c>
      <c r="E112" s="3">
        <v>17543.859649122809</v>
      </c>
      <c r="F112" s="3">
        <v>600000</v>
      </c>
      <c r="G112" t="s">
        <v>650</v>
      </c>
      <c r="H112" t="s">
        <v>647</v>
      </c>
      <c r="I112" t="s">
        <v>651</v>
      </c>
      <c r="J112" s="6">
        <v>17.2</v>
      </c>
      <c r="K112" t="s">
        <v>23</v>
      </c>
      <c r="L112" t="s">
        <v>24</v>
      </c>
      <c r="M112" s="2" t="s">
        <v>2347</v>
      </c>
      <c r="N112" t="s">
        <v>649</v>
      </c>
      <c r="O112" t="s">
        <v>130</v>
      </c>
      <c r="P112" s="7" t="s">
        <v>2348</v>
      </c>
      <c r="Q112">
        <v>1465</v>
      </c>
      <c r="R112" s="6">
        <v>11.98</v>
      </c>
    </row>
    <row r="113" spans="1:18">
      <c r="A113" t="s">
        <v>634</v>
      </c>
      <c r="B113" s="1">
        <v>43.2</v>
      </c>
      <c r="C113" s="2" t="s">
        <v>2350</v>
      </c>
      <c r="D113" t="s">
        <v>652</v>
      </c>
      <c r="E113" s="3">
        <v>70717.592592592584</v>
      </c>
      <c r="F113" s="3">
        <v>3055000</v>
      </c>
      <c r="G113" t="s">
        <v>653</v>
      </c>
      <c r="H113" t="s">
        <v>654</v>
      </c>
      <c r="I113" t="s">
        <v>655</v>
      </c>
      <c r="J113" s="6">
        <v>8.42</v>
      </c>
      <c r="K113" t="s">
        <v>23</v>
      </c>
      <c r="L113" t="s">
        <v>24</v>
      </c>
      <c r="M113" s="2" t="s">
        <v>2351</v>
      </c>
      <c r="N113" t="s">
        <v>656</v>
      </c>
      <c r="O113" t="s">
        <v>657</v>
      </c>
      <c r="P113" s="7" t="s">
        <v>2352</v>
      </c>
      <c r="Q113">
        <v>4421</v>
      </c>
      <c r="R113" s="6">
        <v>16</v>
      </c>
    </row>
    <row r="114" spans="1:18">
      <c r="A114" t="s">
        <v>634</v>
      </c>
      <c r="B114" s="1">
        <v>161.30000000000001</v>
      </c>
      <c r="C114" s="2" t="s">
        <v>2353</v>
      </c>
      <c r="D114" t="s">
        <v>658</v>
      </c>
      <c r="E114" s="3">
        <v>43319.900805951642</v>
      </c>
      <c r="F114" s="3">
        <v>6987500</v>
      </c>
      <c r="G114" t="s">
        <v>659</v>
      </c>
      <c r="H114" t="s">
        <v>660</v>
      </c>
      <c r="J114" s="6">
        <v>6.71</v>
      </c>
      <c r="K114" t="s">
        <v>23</v>
      </c>
      <c r="L114" t="s">
        <v>24</v>
      </c>
      <c r="M114" s="2" t="s">
        <v>2354</v>
      </c>
      <c r="N114" t="s">
        <v>661</v>
      </c>
      <c r="O114" t="s">
        <v>662</v>
      </c>
      <c r="P114" s="7" t="s">
        <v>2355</v>
      </c>
      <c r="Q114">
        <v>4428</v>
      </c>
      <c r="R114" s="6">
        <v>9.7799999999999994</v>
      </c>
    </row>
    <row r="115" spans="1:18">
      <c r="A115" t="s">
        <v>634</v>
      </c>
      <c r="B115" s="1">
        <v>66.5</v>
      </c>
      <c r="C115" s="2" t="s">
        <v>2356</v>
      </c>
      <c r="D115" t="s">
        <v>663</v>
      </c>
      <c r="E115" s="3">
        <v>9203.0075187969924</v>
      </c>
      <c r="F115" s="3">
        <v>612000</v>
      </c>
      <c r="G115" t="s">
        <v>664</v>
      </c>
      <c r="H115" t="s">
        <v>665</v>
      </c>
      <c r="I115" t="s">
        <v>666</v>
      </c>
      <c r="J115" s="6">
        <v>10.71</v>
      </c>
      <c r="K115" t="s">
        <v>592</v>
      </c>
      <c r="L115" t="s">
        <v>24</v>
      </c>
      <c r="M115" s="2" t="s">
        <v>2357</v>
      </c>
      <c r="N115" t="s">
        <v>667</v>
      </c>
      <c r="O115" t="s">
        <v>488</v>
      </c>
      <c r="P115" s="7" t="s">
        <v>2358</v>
      </c>
      <c r="Q115">
        <v>949</v>
      </c>
      <c r="R115" s="6">
        <v>9.6999999999999993</v>
      </c>
    </row>
    <row r="116" spans="1:18">
      <c r="A116" t="s">
        <v>634</v>
      </c>
      <c r="B116" s="1">
        <v>79.599999999999994</v>
      </c>
      <c r="C116" s="2" t="s">
        <v>2359</v>
      </c>
      <c r="D116" t="s">
        <v>668</v>
      </c>
      <c r="E116" s="3">
        <v>19459.337562814071</v>
      </c>
      <c r="F116" s="3">
        <v>1548963.27</v>
      </c>
      <c r="G116" t="s">
        <v>669</v>
      </c>
      <c r="H116" t="s">
        <v>670</v>
      </c>
      <c r="I116" t="s">
        <v>671</v>
      </c>
      <c r="J116" s="6">
        <v>5.4</v>
      </c>
      <c r="K116" t="s">
        <v>23</v>
      </c>
      <c r="L116" t="s">
        <v>24</v>
      </c>
      <c r="M116" s="2" t="s">
        <v>2360</v>
      </c>
      <c r="N116" t="s">
        <v>672</v>
      </c>
      <c r="O116" t="s">
        <v>673</v>
      </c>
      <c r="P116" s="7" t="s">
        <v>2361</v>
      </c>
      <c r="Q116">
        <v>1184</v>
      </c>
      <c r="R116" s="6">
        <v>16.440000000000001</v>
      </c>
    </row>
    <row r="117" spans="1:18">
      <c r="A117" t="s">
        <v>634</v>
      </c>
      <c r="B117" s="1">
        <v>262.10000000000002</v>
      </c>
      <c r="C117" s="2" t="s">
        <v>2362</v>
      </c>
      <c r="D117" t="s">
        <v>674</v>
      </c>
      <c r="E117" s="3">
        <v>14506.12789011827</v>
      </c>
      <c r="F117" s="3">
        <v>3802056.12</v>
      </c>
      <c r="G117" t="s">
        <v>675</v>
      </c>
      <c r="H117" t="s">
        <v>670</v>
      </c>
      <c r="I117" t="s">
        <v>676</v>
      </c>
      <c r="J117" s="6">
        <v>4.03</v>
      </c>
      <c r="K117" t="s">
        <v>23</v>
      </c>
      <c r="L117" t="s">
        <v>24</v>
      </c>
      <c r="M117" s="2" t="s">
        <v>2360</v>
      </c>
      <c r="N117" t="s">
        <v>672</v>
      </c>
      <c r="O117" t="s">
        <v>673</v>
      </c>
      <c r="P117" s="7" t="s">
        <v>2361</v>
      </c>
      <c r="Q117">
        <v>1184</v>
      </c>
      <c r="R117" s="6">
        <v>12.25</v>
      </c>
    </row>
    <row r="118" spans="1:18">
      <c r="A118" t="s">
        <v>634</v>
      </c>
      <c r="B118" s="1">
        <v>485</v>
      </c>
      <c r="C118" s="2" t="s">
        <v>2363</v>
      </c>
      <c r="D118" t="s">
        <v>677</v>
      </c>
      <c r="E118" s="3">
        <v>6597.9381443298971</v>
      </c>
      <c r="F118" s="3">
        <v>3200000</v>
      </c>
      <c r="G118" t="s">
        <v>678</v>
      </c>
      <c r="H118" t="s">
        <v>679</v>
      </c>
      <c r="I118" t="s">
        <v>680</v>
      </c>
      <c r="J118" s="6">
        <v>0.87</v>
      </c>
      <c r="K118" t="s">
        <v>592</v>
      </c>
      <c r="L118" t="s">
        <v>24</v>
      </c>
      <c r="M118" s="2" t="s">
        <v>2364</v>
      </c>
      <c r="N118" t="s">
        <v>681</v>
      </c>
      <c r="O118" t="s">
        <v>682</v>
      </c>
      <c r="P118" s="7" t="s">
        <v>2365</v>
      </c>
      <c r="Q118">
        <v>3926</v>
      </c>
      <c r="R118" s="6">
        <v>1.68</v>
      </c>
    </row>
    <row r="119" spans="1:18">
      <c r="A119" t="s">
        <v>61</v>
      </c>
      <c r="B119" s="1">
        <v>53.3</v>
      </c>
      <c r="C119" s="2" t="s">
        <v>2366</v>
      </c>
      <c r="D119" t="s">
        <v>683</v>
      </c>
      <c r="E119" s="3">
        <v>15196.99812382739</v>
      </c>
      <c r="F119" s="3">
        <v>810000</v>
      </c>
      <c r="G119" t="s">
        <v>684</v>
      </c>
      <c r="H119" t="s">
        <v>331</v>
      </c>
      <c r="I119" t="s">
        <v>685</v>
      </c>
      <c r="J119" s="6">
        <v>105.53</v>
      </c>
      <c r="K119" t="s">
        <v>23</v>
      </c>
      <c r="L119" t="s">
        <v>24</v>
      </c>
      <c r="M119" s="2" t="s">
        <v>2367</v>
      </c>
      <c r="N119" t="s">
        <v>686</v>
      </c>
      <c r="O119" t="s">
        <v>209</v>
      </c>
      <c r="P119" s="7" t="s">
        <v>2368</v>
      </c>
      <c r="Q119">
        <v>1135</v>
      </c>
      <c r="R119" s="6">
        <v>13.39</v>
      </c>
    </row>
    <row r="120" spans="1:18">
      <c r="A120" t="s">
        <v>61</v>
      </c>
      <c r="B120" s="1">
        <v>226.9</v>
      </c>
      <c r="C120" s="2" t="s">
        <v>2369</v>
      </c>
      <c r="D120" t="s">
        <v>687</v>
      </c>
      <c r="E120" s="3">
        <v>2286.0290877038342</v>
      </c>
      <c r="F120" s="3">
        <v>518700</v>
      </c>
      <c r="G120" t="s">
        <v>688</v>
      </c>
      <c r="H120" t="s">
        <v>689</v>
      </c>
      <c r="I120" t="s">
        <v>690</v>
      </c>
      <c r="J120" s="6">
        <v>1.97</v>
      </c>
      <c r="K120" t="s">
        <v>23</v>
      </c>
      <c r="L120" t="s">
        <v>24</v>
      </c>
      <c r="M120" s="2" t="s">
        <v>2370</v>
      </c>
      <c r="N120" t="s">
        <v>691</v>
      </c>
      <c r="O120" t="s">
        <v>692</v>
      </c>
      <c r="P120" s="7" t="s">
        <v>2371</v>
      </c>
      <c r="Q120">
        <v>1510</v>
      </c>
      <c r="R120" s="6">
        <v>1.51</v>
      </c>
    </row>
    <row r="121" spans="1:18">
      <c r="A121" t="s">
        <v>61</v>
      </c>
      <c r="B121" s="1">
        <v>63.1</v>
      </c>
      <c r="C121" s="2" t="s">
        <v>2372</v>
      </c>
      <c r="D121" t="s">
        <v>693</v>
      </c>
      <c r="E121" s="3">
        <v>21077.65451664025</v>
      </c>
      <c r="F121" s="3">
        <v>1330000</v>
      </c>
      <c r="G121" t="s">
        <v>694</v>
      </c>
      <c r="H121" t="s">
        <v>695</v>
      </c>
      <c r="I121" t="s">
        <v>696</v>
      </c>
      <c r="J121" s="6">
        <v>86.74</v>
      </c>
      <c r="K121" t="s">
        <v>90</v>
      </c>
      <c r="L121" t="s">
        <v>24</v>
      </c>
      <c r="M121" s="2" t="s">
        <v>2373</v>
      </c>
      <c r="N121" t="s">
        <v>697</v>
      </c>
      <c r="O121" t="s">
        <v>430</v>
      </c>
      <c r="P121" s="7" t="s">
        <v>2374</v>
      </c>
      <c r="Q121">
        <v>1816</v>
      </c>
      <c r="R121" s="6">
        <v>11.61</v>
      </c>
    </row>
    <row r="122" spans="1:18">
      <c r="A122" t="s">
        <v>61</v>
      </c>
      <c r="B122" s="1">
        <v>120.8</v>
      </c>
      <c r="C122" s="2" t="s">
        <v>2375</v>
      </c>
      <c r="D122" t="s">
        <v>698</v>
      </c>
      <c r="E122" s="3">
        <v>31622.51655629139</v>
      </c>
      <c r="F122" s="3">
        <v>3820000</v>
      </c>
      <c r="G122" t="s">
        <v>699</v>
      </c>
      <c r="H122" t="s">
        <v>700</v>
      </c>
      <c r="I122" t="s">
        <v>701</v>
      </c>
      <c r="J122" s="6">
        <v>4.9800000000000004</v>
      </c>
      <c r="K122" t="s">
        <v>23</v>
      </c>
      <c r="L122" t="s">
        <v>24</v>
      </c>
      <c r="M122" s="2" t="s">
        <v>2376</v>
      </c>
      <c r="N122" t="s">
        <v>702</v>
      </c>
      <c r="O122" t="s">
        <v>151</v>
      </c>
      <c r="P122" s="7" t="s">
        <v>2377</v>
      </c>
      <c r="Q122">
        <v>3485</v>
      </c>
      <c r="R122" s="6">
        <v>9.07</v>
      </c>
    </row>
    <row r="123" spans="1:18">
      <c r="A123" t="s">
        <v>61</v>
      </c>
      <c r="B123" s="1">
        <v>239.1</v>
      </c>
      <c r="C123" s="2" t="s">
        <v>2378</v>
      </c>
      <c r="D123" t="s">
        <v>703</v>
      </c>
      <c r="E123" s="3">
        <v>18090.33877038896</v>
      </c>
      <c r="F123" s="3">
        <v>4325400</v>
      </c>
      <c r="G123" t="s">
        <v>704</v>
      </c>
      <c r="H123" t="s">
        <v>705</v>
      </c>
      <c r="I123" t="s">
        <v>706</v>
      </c>
      <c r="J123" s="6">
        <v>31.24</v>
      </c>
      <c r="K123" t="s">
        <v>23</v>
      </c>
      <c r="L123" t="s">
        <v>24</v>
      </c>
      <c r="M123" s="2" t="s">
        <v>2379</v>
      </c>
      <c r="N123" t="s">
        <v>707</v>
      </c>
      <c r="O123" t="s">
        <v>125</v>
      </c>
      <c r="P123" s="7" t="s">
        <v>2380</v>
      </c>
      <c r="Q123">
        <v>1644</v>
      </c>
      <c r="R123" s="6">
        <v>11</v>
      </c>
    </row>
    <row r="124" spans="1:18">
      <c r="A124" t="s">
        <v>366</v>
      </c>
      <c r="B124" s="1">
        <v>52</v>
      </c>
      <c r="C124" s="2" t="s">
        <v>2381</v>
      </c>
      <c r="D124" t="s">
        <v>711</v>
      </c>
      <c r="E124" s="3">
        <v>18269.23076923077</v>
      </c>
      <c r="F124" s="3">
        <v>950000</v>
      </c>
      <c r="G124" t="s">
        <v>712</v>
      </c>
      <c r="H124" t="s">
        <v>713</v>
      </c>
      <c r="I124" t="s">
        <v>714</v>
      </c>
      <c r="J124" s="6">
        <v>2.87</v>
      </c>
      <c r="K124" t="s">
        <v>23</v>
      </c>
      <c r="L124" t="s">
        <v>24</v>
      </c>
      <c r="M124" s="2" t="s">
        <v>2382</v>
      </c>
      <c r="N124" t="s">
        <v>715</v>
      </c>
      <c r="O124" t="s">
        <v>716</v>
      </c>
      <c r="P124" s="7" t="s">
        <v>2383</v>
      </c>
      <c r="Q124">
        <v>2047</v>
      </c>
      <c r="R124" s="6">
        <v>8.92</v>
      </c>
    </row>
    <row r="125" spans="1:18">
      <c r="A125" t="s">
        <v>366</v>
      </c>
      <c r="B125" s="1">
        <v>99.2</v>
      </c>
      <c r="C125" s="2" t="s">
        <v>2384</v>
      </c>
      <c r="D125" t="s">
        <v>720</v>
      </c>
      <c r="E125" s="3">
        <v>20461.35080645161</v>
      </c>
      <c r="F125" s="3">
        <v>2029766</v>
      </c>
      <c r="G125" t="s">
        <v>721</v>
      </c>
      <c r="H125" t="s">
        <v>722</v>
      </c>
      <c r="I125" t="s">
        <v>723</v>
      </c>
      <c r="J125" s="6">
        <v>2.04</v>
      </c>
      <c r="K125" t="s">
        <v>23</v>
      </c>
      <c r="L125" t="s">
        <v>24</v>
      </c>
      <c r="M125" s="2" t="s">
        <v>2385</v>
      </c>
      <c r="N125" t="s">
        <v>724</v>
      </c>
      <c r="O125" t="s">
        <v>725</v>
      </c>
      <c r="P125" s="7" t="s">
        <v>2386</v>
      </c>
      <c r="Q125">
        <v>2335</v>
      </c>
      <c r="R125" s="6">
        <v>8.76</v>
      </c>
    </row>
    <row r="126" spans="1:18">
      <c r="A126" t="s">
        <v>366</v>
      </c>
      <c r="B126" s="1">
        <v>49.7</v>
      </c>
      <c r="C126" s="2" t="s">
        <v>2387</v>
      </c>
      <c r="D126" t="s">
        <v>726</v>
      </c>
      <c r="E126" s="3">
        <v>135815.69416498989</v>
      </c>
      <c r="F126" s="3">
        <v>6750040</v>
      </c>
      <c r="G126" t="s">
        <v>727</v>
      </c>
      <c r="H126" t="s">
        <v>121</v>
      </c>
      <c r="I126" t="s">
        <v>728</v>
      </c>
      <c r="J126" s="6">
        <v>2155.8000000000002</v>
      </c>
      <c r="K126" t="s">
        <v>23</v>
      </c>
      <c r="L126" t="s">
        <v>24</v>
      </c>
      <c r="M126" s="2" t="s">
        <v>2388</v>
      </c>
      <c r="N126" t="s">
        <v>729</v>
      </c>
      <c r="O126" t="s">
        <v>49</v>
      </c>
      <c r="P126" s="7" t="s">
        <v>2389</v>
      </c>
      <c r="Q126">
        <v>235</v>
      </c>
      <c r="R126" s="6">
        <v>577.94000000000005</v>
      </c>
    </row>
    <row r="127" spans="1:18">
      <c r="A127" t="s">
        <v>366</v>
      </c>
      <c r="B127" s="1">
        <v>128.9</v>
      </c>
      <c r="C127" s="2" t="s">
        <v>2390</v>
      </c>
      <c r="D127" t="s">
        <v>711</v>
      </c>
      <c r="E127" s="3">
        <v>20156.710628394099</v>
      </c>
      <c r="F127" s="3">
        <v>2598200</v>
      </c>
      <c r="G127" t="s">
        <v>730</v>
      </c>
      <c r="H127" t="s">
        <v>731</v>
      </c>
      <c r="I127" t="s">
        <v>732</v>
      </c>
      <c r="J127" s="6">
        <v>3.55</v>
      </c>
      <c r="K127" t="s">
        <v>23</v>
      </c>
      <c r="L127" t="s">
        <v>24</v>
      </c>
      <c r="M127" s="2" t="s">
        <v>2391</v>
      </c>
      <c r="N127" t="s">
        <v>733</v>
      </c>
      <c r="O127" t="s">
        <v>403</v>
      </c>
      <c r="P127" s="7" t="s">
        <v>2392</v>
      </c>
      <c r="Q127">
        <v>2503</v>
      </c>
      <c r="R127" s="6">
        <v>8.0500000000000007</v>
      </c>
    </row>
    <row r="128" spans="1:18">
      <c r="A128" t="s">
        <v>366</v>
      </c>
      <c r="B128" s="1">
        <v>233.5</v>
      </c>
      <c r="C128" s="2" t="s">
        <v>2393</v>
      </c>
      <c r="D128" t="s">
        <v>736</v>
      </c>
      <c r="E128" s="3">
        <v>12038.54389721627</v>
      </c>
      <c r="F128" s="3">
        <v>2811000</v>
      </c>
      <c r="G128" t="s">
        <v>737</v>
      </c>
      <c r="H128" t="s">
        <v>738</v>
      </c>
      <c r="I128" t="s">
        <v>739</v>
      </c>
      <c r="J128" s="6">
        <v>4.88</v>
      </c>
      <c r="K128" t="s">
        <v>23</v>
      </c>
      <c r="L128" t="s">
        <v>24</v>
      </c>
      <c r="M128" s="2" t="s">
        <v>2394</v>
      </c>
      <c r="N128" t="s">
        <v>740</v>
      </c>
      <c r="O128" t="s">
        <v>209</v>
      </c>
      <c r="P128" s="7" t="s">
        <v>2395</v>
      </c>
      <c r="Q128">
        <v>930</v>
      </c>
      <c r="R128" s="6">
        <v>12.94</v>
      </c>
    </row>
    <row r="129" spans="1:18">
      <c r="A129" t="s">
        <v>366</v>
      </c>
      <c r="B129" s="1">
        <v>1977.2</v>
      </c>
      <c r="C129" s="2" t="s">
        <v>2396</v>
      </c>
      <c r="D129" t="s">
        <v>741</v>
      </c>
      <c r="E129" s="3">
        <v>3295.962472182885</v>
      </c>
      <c r="F129" s="3">
        <v>6516777</v>
      </c>
      <c r="G129" t="s">
        <v>742</v>
      </c>
      <c r="H129" t="s">
        <v>743</v>
      </c>
      <c r="I129" t="s">
        <v>744</v>
      </c>
      <c r="J129" s="6">
        <v>3.5</v>
      </c>
      <c r="K129" t="s">
        <v>23</v>
      </c>
      <c r="L129" t="s">
        <v>24</v>
      </c>
      <c r="M129" s="2" t="s">
        <v>2397</v>
      </c>
      <c r="N129" t="s">
        <v>745</v>
      </c>
      <c r="O129" t="s">
        <v>73</v>
      </c>
      <c r="P129" s="7" t="s">
        <v>2398</v>
      </c>
      <c r="Q129">
        <v>2255</v>
      </c>
      <c r="R129" s="6">
        <v>1.46</v>
      </c>
    </row>
    <row r="130" spans="1:18">
      <c r="A130" t="s">
        <v>366</v>
      </c>
      <c r="B130" s="1">
        <v>40.4</v>
      </c>
      <c r="C130" s="2" t="s">
        <v>2399</v>
      </c>
      <c r="D130" t="s">
        <v>746</v>
      </c>
      <c r="E130" s="3">
        <v>18811.881188118808</v>
      </c>
      <c r="F130" s="3">
        <v>760000</v>
      </c>
      <c r="G130" t="s">
        <v>747</v>
      </c>
      <c r="H130" t="s">
        <v>748</v>
      </c>
      <c r="I130" t="s">
        <v>749</v>
      </c>
      <c r="J130" s="6">
        <v>155.47</v>
      </c>
      <c r="K130" t="s">
        <v>23</v>
      </c>
      <c r="L130" t="s">
        <v>24</v>
      </c>
      <c r="M130" s="2" t="s">
        <v>2400</v>
      </c>
      <c r="N130" t="s">
        <v>750</v>
      </c>
      <c r="O130" t="s">
        <v>151</v>
      </c>
      <c r="P130" s="7" t="s">
        <v>2401</v>
      </c>
      <c r="Q130">
        <v>2753</v>
      </c>
      <c r="R130" s="6">
        <v>6.83</v>
      </c>
    </row>
    <row r="131" spans="1:18">
      <c r="A131" t="s">
        <v>716</v>
      </c>
      <c r="B131" s="1">
        <v>194.2</v>
      </c>
      <c r="C131" s="2" t="s">
        <v>2402</v>
      </c>
      <c r="D131" t="s">
        <v>751</v>
      </c>
      <c r="E131" s="3">
        <v>4055.6127703398561</v>
      </c>
      <c r="F131" s="3">
        <v>787600</v>
      </c>
      <c r="G131" t="s">
        <v>752</v>
      </c>
      <c r="H131" t="s">
        <v>753</v>
      </c>
      <c r="I131" t="s">
        <v>754</v>
      </c>
      <c r="J131" s="6">
        <v>12.75</v>
      </c>
      <c r="K131" t="s">
        <v>23</v>
      </c>
      <c r="L131" t="s">
        <v>24</v>
      </c>
      <c r="M131" s="2" t="s">
        <v>2403</v>
      </c>
      <c r="N131" t="s">
        <v>755</v>
      </c>
      <c r="O131" t="s">
        <v>178</v>
      </c>
      <c r="P131" s="7" t="s">
        <v>2404</v>
      </c>
      <c r="Q131">
        <v>1084</v>
      </c>
      <c r="R131" s="6">
        <v>3.74</v>
      </c>
    </row>
    <row r="132" spans="1:18">
      <c r="A132" t="s">
        <v>716</v>
      </c>
      <c r="B132" s="1">
        <v>83.8</v>
      </c>
      <c r="C132" s="2" t="s">
        <v>2405</v>
      </c>
      <c r="D132" t="s">
        <v>756</v>
      </c>
      <c r="E132" s="3">
        <v>12325.77565632458</v>
      </c>
      <c r="F132" s="3">
        <v>1032900</v>
      </c>
      <c r="G132" t="s">
        <v>757</v>
      </c>
      <c r="H132" t="s">
        <v>753</v>
      </c>
      <c r="I132" t="s">
        <v>758</v>
      </c>
      <c r="J132" s="6">
        <v>41.09</v>
      </c>
      <c r="K132" t="s">
        <v>23</v>
      </c>
      <c r="L132" t="s">
        <v>24</v>
      </c>
      <c r="M132" s="2" t="s">
        <v>2406</v>
      </c>
      <c r="N132" t="s">
        <v>759</v>
      </c>
      <c r="O132" t="s">
        <v>79</v>
      </c>
      <c r="P132" s="7" t="s">
        <v>2407</v>
      </c>
      <c r="Q132">
        <v>270</v>
      </c>
      <c r="R132" s="6">
        <v>45.65</v>
      </c>
    </row>
    <row r="133" spans="1:18">
      <c r="A133" t="s">
        <v>716</v>
      </c>
      <c r="B133" s="1">
        <v>121.8</v>
      </c>
      <c r="C133" s="2" t="s">
        <v>2408</v>
      </c>
      <c r="D133" t="s">
        <v>760</v>
      </c>
      <c r="E133" s="3">
        <v>33424.400656814447</v>
      </c>
      <c r="F133" s="3">
        <v>4071092</v>
      </c>
      <c r="G133" t="s">
        <v>761</v>
      </c>
      <c r="H133" t="s">
        <v>395</v>
      </c>
      <c r="I133" t="s">
        <v>762</v>
      </c>
      <c r="J133" s="6">
        <v>5.42</v>
      </c>
      <c r="K133" t="s">
        <v>23</v>
      </c>
      <c r="L133" t="s">
        <v>35</v>
      </c>
      <c r="M133" s="2" t="s">
        <v>2409</v>
      </c>
      <c r="N133" t="s">
        <v>763</v>
      </c>
      <c r="O133" t="s">
        <v>183</v>
      </c>
      <c r="P133" s="7" t="s">
        <v>2410</v>
      </c>
      <c r="Q133">
        <v>1243</v>
      </c>
      <c r="R133" s="6">
        <v>26.89</v>
      </c>
    </row>
    <row r="134" spans="1:18">
      <c r="A134" t="s">
        <v>263</v>
      </c>
      <c r="B134" s="1">
        <v>10.199999999999999</v>
      </c>
      <c r="C134" s="2" t="s">
        <v>2411</v>
      </c>
      <c r="D134" t="s">
        <v>764</v>
      </c>
      <c r="E134" s="3">
        <v>435647.05882352951</v>
      </c>
      <c r="F134" s="3">
        <v>4443600</v>
      </c>
      <c r="G134" t="s">
        <v>765</v>
      </c>
      <c r="H134" t="s">
        <v>766</v>
      </c>
      <c r="I134" t="s">
        <v>767</v>
      </c>
      <c r="J134" s="6">
        <v>35.14</v>
      </c>
      <c r="K134" t="s">
        <v>23</v>
      </c>
      <c r="L134" t="s">
        <v>24</v>
      </c>
      <c r="M134" s="2" t="s">
        <v>2412</v>
      </c>
      <c r="N134" t="s">
        <v>768</v>
      </c>
      <c r="O134" t="s">
        <v>769</v>
      </c>
      <c r="P134" s="7" t="s">
        <v>2413</v>
      </c>
      <c r="Q134">
        <v>2775</v>
      </c>
      <c r="R134" s="6">
        <v>156.99</v>
      </c>
    </row>
    <row r="135" spans="1:18">
      <c r="A135" t="s">
        <v>263</v>
      </c>
      <c r="B135" s="1">
        <v>41.5</v>
      </c>
      <c r="C135" s="2" t="s">
        <v>2414</v>
      </c>
      <c r="D135" t="s">
        <v>770</v>
      </c>
      <c r="E135" s="3">
        <v>34940.963855421687</v>
      </c>
      <c r="F135" s="3">
        <v>1450050</v>
      </c>
      <c r="G135" t="s">
        <v>771</v>
      </c>
      <c r="H135" t="s">
        <v>772</v>
      </c>
      <c r="I135" t="s">
        <v>773</v>
      </c>
      <c r="J135" s="6">
        <v>8.32</v>
      </c>
      <c r="K135" t="s">
        <v>23</v>
      </c>
      <c r="L135" t="s">
        <v>24</v>
      </c>
      <c r="M135" s="2" t="s">
        <v>2415</v>
      </c>
      <c r="N135" t="s">
        <v>774</v>
      </c>
      <c r="O135" t="s">
        <v>291</v>
      </c>
      <c r="P135" s="7" t="s">
        <v>2416</v>
      </c>
      <c r="Q135">
        <v>2720</v>
      </c>
      <c r="R135" s="6">
        <v>12.85</v>
      </c>
    </row>
    <row r="136" spans="1:18">
      <c r="A136" t="s">
        <v>204</v>
      </c>
      <c r="B136" s="1">
        <v>334.1</v>
      </c>
      <c r="C136" s="2" t="s">
        <v>2417</v>
      </c>
      <c r="D136" t="s">
        <v>775</v>
      </c>
      <c r="E136" s="3">
        <v>5956.3005088296914</v>
      </c>
      <c r="F136" s="3">
        <v>1990000</v>
      </c>
      <c r="G136" t="s">
        <v>776</v>
      </c>
      <c r="H136" t="s">
        <v>777</v>
      </c>
      <c r="I136" t="s">
        <v>778</v>
      </c>
      <c r="J136" s="6">
        <v>661.81</v>
      </c>
      <c r="K136" t="s">
        <v>90</v>
      </c>
      <c r="L136" t="s">
        <v>24</v>
      </c>
      <c r="M136" s="2" t="s">
        <v>2418</v>
      </c>
      <c r="N136" t="s">
        <v>67</v>
      </c>
      <c r="O136" t="s">
        <v>18</v>
      </c>
      <c r="P136" s="7" t="s">
        <v>2419</v>
      </c>
      <c r="Q136">
        <v>33</v>
      </c>
      <c r="R136" s="6">
        <v>180.49</v>
      </c>
    </row>
    <row r="137" spans="1:18">
      <c r="A137" t="s">
        <v>204</v>
      </c>
      <c r="B137" s="1">
        <v>375.5</v>
      </c>
      <c r="C137" s="2" t="s">
        <v>2420</v>
      </c>
      <c r="D137" t="s">
        <v>779</v>
      </c>
      <c r="E137" s="3">
        <v>5172.5699067909454</v>
      </c>
      <c r="F137" s="3">
        <v>1942300</v>
      </c>
      <c r="G137" t="s">
        <v>780</v>
      </c>
      <c r="H137" t="s">
        <v>781</v>
      </c>
      <c r="I137" t="s">
        <v>782</v>
      </c>
      <c r="J137" s="6">
        <v>45.37</v>
      </c>
      <c r="K137" t="s">
        <v>23</v>
      </c>
      <c r="L137" t="s">
        <v>35</v>
      </c>
      <c r="M137" s="2" t="s">
        <v>2421</v>
      </c>
      <c r="N137" t="s">
        <v>783</v>
      </c>
      <c r="O137" t="s">
        <v>79</v>
      </c>
      <c r="P137" s="7" t="s">
        <v>2422</v>
      </c>
      <c r="Q137">
        <v>538</v>
      </c>
      <c r="R137" s="6">
        <v>9.61</v>
      </c>
    </row>
    <row r="138" spans="1:18">
      <c r="A138" t="s">
        <v>784</v>
      </c>
      <c r="B138" s="1">
        <v>26.3</v>
      </c>
      <c r="C138" s="2" t="s">
        <v>2423</v>
      </c>
      <c r="D138" t="s">
        <v>785</v>
      </c>
      <c r="E138" s="3">
        <v>27984.790874524719</v>
      </c>
      <c r="F138" s="3">
        <v>736000</v>
      </c>
      <c r="G138" t="s">
        <v>786</v>
      </c>
      <c r="H138" t="s">
        <v>787</v>
      </c>
      <c r="I138" t="s">
        <v>788</v>
      </c>
      <c r="J138" s="6">
        <v>5.55</v>
      </c>
      <c r="K138" t="s">
        <v>23</v>
      </c>
      <c r="L138" t="s">
        <v>24</v>
      </c>
      <c r="M138" s="2" t="s">
        <v>2424</v>
      </c>
      <c r="N138" t="s">
        <v>789</v>
      </c>
      <c r="O138" t="s">
        <v>790</v>
      </c>
      <c r="P138" s="7" t="s">
        <v>2425</v>
      </c>
      <c r="Q138">
        <v>2015</v>
      </c>
      <c r="R138" s="6">
        <v>13.89</v>
      </c>
    </row>
    <row r="139" spans="1:18">
      <c r="A139" t="s">
        <v>784</v>
      </c>
      <c r="B139" s="1">
        <v>537.5</v>
      </c>
      <c r="C139" s="2" t="s">
        <v>2426</v>
      </c>
      <c r="D139" t="s">
        <v>791</v>
      </c>
      <c r="E139" s="3">
        <v>2427.9069767441861</v>
      </c>
      <c r="F139" s="3">
        <v>1305000</v>
      </c>
      <c r="G139" t="s">
        <v>792</v>
      </c>
      <c r="H139" t="s">
        <v>793</v>
      </c>
      <c r="I139" t="s">
        <v>794</v>
      </c>
      <c r="J139" s="6">
        <v>17.59</v>
      </c>
      <c r="K139" t="s">
        <v>90</v>
      </c>
      <c r="L139" t="s">
        <v>24</v>
      </c>
      <c r="M139" s="2" t="s">
        <v>2427</v>
      </c>
      <c r="N139" t="s">
        <v>795</v>
      </c>
      <c r="O139" t="s">
        <v>67</v>
      </c>
      <c r="P139" s="7" t="s">
        <v>2428</v>
      </c>
      <c r="Q139">
        <v>2614</v>
      </c>
      <c r="R139" s="6">
        <v>0.93</v>
      </c>
    </row>
    <row r="140" spans="1:18">
      <c r="A140" t="s">
        <v>784</v>
      </c>
      <c r="B140" s="1">
        <v>104.2</v>
      </c>
      <c r="C140" s="2" t="s">
        <v>2429</v>
      </c>
      <c r="D140" t="s">
        <v>796</v>
      </c>
      <c r="E140" s="3">
        <v>21252.39923224568</v>
      </c>
      <c r="F140" s="3">
        <v>2214500</v>
      </c>
      <c r="G140" t="s">
        <v>797</v>
      </c>
      <c r="H140" t="s">
        <v>798</v>
      </c>
      <c r="I140" t="s">
        <v>799</v>
      </c>
      <c r="J140" s="6">
        <v>6.48</v>
      </c>
      <c r="K140" t="s">
        <v>23</v>
      </c>
      <c r="L140" t="s">
        <v>24</v>
      </c>
      <c r="M140" s="2" t="s">
        <v>2430</v>
      </c>
      <c r="N140" t="s">
        <v>800</v>
      </c>
      <c r="O140" t="s">
        <v>291</v>
      </c>
      <c r="P140" s="7" t="s">
        <v>2431</v>
      </c>
      <c r="Q140">
        <v>1103</v>
      </c>
      <c r="R140" s="6">
        <v>19.27</v>
      </c>
    </row>
    <row r="141" spans="1:18">
      <c r="A141" t="s">
        <v>784</v>
      </c>
      <c r="B141" s="1">
        <v>310.39999999999998</v>
      </c>
      <c r="C141" s="2" t="s">
        <v>2432</v>
      </c>
      <c r="D141" t="s">
        <v>804</v>
      </c>
      <c r="E141" s="3">
        <v>13227.126288659791</v>
      </c>
      <c r="F141" s="3">
        <v>4105700</v>
      </c>
      <c r="G141" t="s">
        <v>805</v>
      </c>
      <c r="H141" t="s">
        <v>806</v>
      </c>
      <c r="I141" t="s">
        <v>807</v>
      </c>
      <c r="J141" s="6">
        <v>4.76</v>
      </c>
      <c r="K141" t="s">
        <v>90</v>
      </c>
      <c r="L141" t="s">
        <v>24</v>
      </c>
      <c r="M141" s="2" t="s">
        <v>2433</v>
      </c>
      <c r="N141" t="s">
        <v>808</v>
      </c>
      <c r="O141" t="s">
        <v>227</v>
      </c>
      <c r="P141" s="7" t="s">
        <v>2434</v>
      </c>
      <c r="Q141">
        <v>1341</v>
      </c>
      <c r="R141" s="6">
        <v>9.86</v>
      </c>
    </row>
    <row r="142" spans="1:18">
      <c r="A142" t="s">
        <v>784</v>
      </c>
      <c r="B142" s="1">
        <v>57</v>
      </c>
      <c r="C142" s="2" t="s">
        <v>2435</v>
      </c>
      <c r="D142" t="s">
        <v>809</v>
      </c>
      <c r="E142" s="3">
        <v>41263.15789473684</v>
      </c>
      <c r="F142" s="3">
        <v>2352000</v>
      </c>
      <c r="G142" t="s">
        <v>810</v>
      </c>
      <c r="H142" t="s">
        <v>811</v>
      </c>
      <c r="I142" t="s">
        <v>812</v>
      </c>
      <c r="J142" s="6">
        <v>119.6</v>
      </c>
      <c r="K142" t="s">
        <v>23</v>
      </c>
      <c r="L142" t="s">
        <v>24</v>
      </c>
      <c r="M142" s="2" t="s">
        <v>2436</v>
      </c>
      <c r="N142" t="s">
        <v>101</v>
      </c>
      <c r="O142" t="s">
        <v>178</v>
      </c>
      <c r="P142" s="7" t="s">
        <v>2437</v>
      </c>
      <c r="Q142">
        <v>1113</v>
      </c>
      <c r="R142" s="6">
        <v>37.07</v>
      </c>
    </row>
    <row r="143" spans="1:18">
      <c r="A143" t="s">
        <v>784</v>
      </c>
      <c r="B143" s="1">
        <v>125.7</v>
      </c>
      <c r="C143" s="2" t="s">
        <v>2438</v>
      </c>
      <c r="D143" t="s">
        <v>813</v>
      </c>
      <c r="E143" s="3">
        <v>5712.0190930787594</v>
      </c>
      <c r="F143" s="3">
        <v>718000.8</v>
      </c>
      <c r="G143" t="s">
        <v>814</v>
      </c>
      <c r="H143" t="s">
        <v>815</v>
      </c>
      <c r="I143" t="s">
        <v>816</v>
      </c>
      <c r="J143" s="6">
        <v>4.95</v>
      </c>
      <c r="K143" t="s">
        <v>90</v>
      </c>
      <c r="L143" t="s">
        <v>24</v>
      </c>
      <c r="M143" s="2" t="s">
        <v>2439</v>
      </c>
      <c r="N143" t="s">
        <v>817</v>
      </c>
      <c r="O143" t="s">
        <v>189</v>
      </c>
      <c r="P143" s="7" t="s">
        <v>2440</v>
      </c>
      <c r="Q143">
        <v>1418</v>
      </c>
      <c r="R143" s="6">
        <v>4.03</v>
      </c>
    </row>
    <row r="144" spans="1:18">
      <c r="A144" t="s">
        <v>784</v>
      </c>
      <c r="B144" s="1">
        <v>67</v>
      </c>
      <c r="C144" s="2" t="s">
        <v>2441</v>
      </c>
      <c r="D144" t="s">
        <v>818</v>
      </c>
      <c r="E144" s="3">
        <v>18617.910447761191</v>
      </c>
      <c r="F144" s="3">
        <v>1247400</v>
      </c>
      <c r="G144" t="s">
        <v>819</v>
      </c>
      <c r="H144" t="s">
        <v>820</v>
      </c>
      <c r="I144" t="s">
        <v>821</v>
      </c>
      <c r="J144" s="6">
        <v>4.4800000000000004</v>
      </c>
      <c r="K144" t="s">
        <v>23</v>
      </c>
      <c r="L144" t="s">
        <v>24</v>
      </c>
      <c r="M144" s="2" t="s">
        <v>2442</v>
      </c>
      <c r="N144" t="s">
        <v>822</v>
      </c>
      <c r="O144" t="s">
        <v>118</v>
      </c>
      <c r="P144" s="7" t="s">
        <v>2443</v>
      </c>
      <c r="Q144">
        <v>1376</v>
      </c>
      <c r="R144" s="6">
        <v>13.53</v>
      </c>
    </row>
    <row r="145" spans="1:18">
      <c r="A145" t="s">
        <v>784</v>
      </c>
      <c r="B145" s="1">
        <v>493.1</v>
      </c>
      <c r="C145" s="2" t="s">
        <v>2444</v>
      </c>
      <c r="D145" t="s">
        <v>823</v>
      </c>
      <c r="E145" s="3">
        <v>14911.37700263638</v>
      </c>
      <c r="F145" s="3">
        <v>7352800</v>
      </c>
      <c r="G145" t="s">
        <v>824</v>
      </c>
      <c r="H145" t="s">
        <v>820</v>
      </c>
      <c r="I145" t="s">
        <v>825</v>
      </c>
      <c r="J145" s="6">
        <v>32.28</v>
      </c>
      <c r="K145" t="s">
        <v>23</v>
      </c>
      <c r="L145" t="s">
        <v>24</v>
      </c>
      <c r="M145" s="2" t="s">
        <v>2445</v>
      </c>
      <c r="N145" t="s">
        <v>826</v>
      </c>
      <c r="O145" t="s">
        <v>189</v>
      </c>
      <c r="P145" s="7" t="s">
        <v>2446</v>
      </c>
      <c r="Q145">
        <v>1274</v>
      </c>
      <c r="R145" s="6">
        <v>11.7</v>
      </c>
    </row>
    <row r="146" spans="1:18">
      <c r="A146" t="s">
        <v>784</v>
      </c>
      <c r="B146" s="1">
        <v>321.89999999999998</v>
      </c>
      <c r="C146" s="2" t="s">
        <v>2447</v>
      </c>
      <c r="D146" t="s">
        <v>827</v>
      </c>
      <c r="E146" s="3">
        <v>6691.2084498291397</v>
      </c>
      <c r="F146" s="3">
        <v>2153900</v>
      </c>
      <c r="G146" t="s">
        <v>828</v>
      </c>
      <c r="H146" t="s">
        <v>820</v>
      </c>
      <c r="I146" t="s">
        <v>829</v>
      </c>
      <c r="J146" s="6">
        <v>32.32</v>
      </c>
      <c r="K146" t="s">
        <v>23</v>
      </c>
      <c r="L146" t="s">
        <v>24</v>
      </c>
      <c r="M146" s="2" t="s">
        <v>2448</v>
      </c>
      <c r="N146" t="s">
        <v>830</v>
      </c>
      <c r="O146" t="s">
        <v>216</v>
      </c>
      <c r="P146" s="7" t="s">
        <v>2449</v>
      </c>
      <c r="Q146">
        <v>1072</v>
      </c>
      <c r="R146" s="6">
        <v>6.24</v>
      </c>
    </row>
    <row r="147" spans="1:18">
      <c r="A147" t="s">
        <v>784</v>
      </c>
      <c r="B147" s="1">
        <v>26</v>
      </c>
      <c r="C147" s="2" t="s">
        <v>2450</v>
      </c>
      <c r="D147" t="s">
        <v>831</v>
      </c>
      <c r="E147" s="3">
        <v>21753.846153846149</v>
      </c>
      <c r="F147" s="3">
        <v>565600</v>
      </c>
      <c r="G147" t="s">
        <v>832</v>
      </c>
      <c r="H147" t="s">
        <v>833</v>
      </c>
      <c r="I147" t="s">
        <v>834</v>
      </c>
      <c r="J147" s="6">
        <v>12.4</v>
      </c>
      <c r="K147" t="s">
        <v>23</v>
      </c>
      <c r="L147" t="s">
        <v>24</v>
      </c>
      <c r="M147" s="2" t="s">
        <v>2451</v>
      </c>
      <c r="N147" t="s">
        <v>835</v>
      </c>
      <c r="O147" t="s">
        <v>151</v>
      </c>
      <c r="P147" s="7" t="s">
        <v>2452</v>
      </c>
      <c r="Q147">
        <v>2226</v>
      </c>
      <c r="R147" s="6">
        <v>9.77</v>
      </c>
    </row>
    <row r="148" spans="1:18">
      <c r="A148" t="s">
        <v>784</v>
      </c>
      <c r="B148" s="1">
        <v>483.3</v>
      </c>
      <c r="C148" s="2" t="s">
        <v>2453</v>
      </c>
      <c r="D148" t="s">
        <v>836</v>
      </c>
      <c r="E148" s="3">
        <v>6575.6259052348432</v>
      </c>
      <c r="F148" s="3">
        <v>3178000</v>
      </c>
      <c r="G148" t="s">
        <v>837</v>
      </c>
      <c r="H148" t="s">
        <v>833</v>
      </c>
      <c r="I148" t="s">
        <v>838</v>
      </c>
      <c r="J148" s="6">
        <v>12.97</v>
      </c>
      <c r="K148" t="s">
        <v>23</v>
      </c>
      <c r="L148" t="s">
        <v>24</v>
      </c>
      <c r="M148" s="2" t="s">
        <v>2454</v>
      </c>
      <c r="N148" t="s">
        <v>839</v>
      </c>
      <c r="O148" t="s">
        <v>49</v>
      </c>
      <c r="P148" s="7" t="s">
        <v>2455</v>
      </c>
      <c r="Q148">
        <v>1927</v>
      </c>
      <c r="R148" s="6">
        <v>3.41</v>
      </c>
    </row>
    <row r="149" spans="1:18">
      <c r="A149" t="s">
        <v>784</v>
      </c>
      <c r="B149" s="1">
        <v>39.1</v>
      </c>
      <c r="C149" s="2" t="s">
        <v>2456</v>
      </c>
      <c r="D149" t="s">
        <v>840</v>
      </c>
      <c r="E149" s="3">
        <v>24797.95396419437</v>
      </c>
      <c r="F149" s="3">
        <v>969600</v>
      </c>
      <c r="G149" t="s">
        <v>841</v>
      </c>
      <c r="H149" t="s">
        <v>833</v>
      </c>
      <c r="I149" t="s">
        <v>842</v>
      </c>
      <c r="J149" s="6">
        <v>67.75</v>
      </c>
      <c r="K149" t="s">
        <v>23</v>
      </c>
      <c r="L149" t="s">
        <v>24</v>
      </c>
      <c r="M149" s="2" t="s">
        <v>2457</v>
      </c>
      <c r="N149" t="s">
        <v>843</v>
      </c>
      <c r="O149" t="s">
        <v>189</v>
      </c>
      <c r="P149" s="7" t="s">
        <v>2458</v>
      </c>
      <c r="Q149">
        <v>2692</v>
      </c>
      <c r="R149" s="6">
        <v>9.2100000000000009</v>
      </c>
    </row>
    <row r="150" spans="1:18">
      <c r="A150" t="s">
        <v>415</v>
      </c>
      <c r="B150" s="1">
        <v>273.5</v>
      </c>
      <c r="C150" s="2" t="s">
        <v>2459</v>
      </c>
      <c r="D150" t="s">
        <v>844</v>
      </c>
      <c r="E150" s="3">
        <v>2298.8336380255942</v>
      </c>
      <c r="F150" s="3">
        <v>628731</v>
      </c>
      <c r="G150" t="s">
        <v>845</v>
      </c>
      <c r="H150" t="s">
        <v>846</v>
      </c>
      <c r="I150" t="s">
        <v>847</v>
      </c>
      <c r="J150" s="6">
        <v>8.42</v>
      </c>
      <c r="K150" t="s">
        <v>23</v>
      </c>
      <c r="L150" t="s">
        <v>24</v>
      </c>
      <c r="M150" s="2" t="s">
        <v>2460</v>
      </c>
      <c r="N150" t="s">
        <v>848</v>
      </c>
      <c r="O150" t="s">
        <v>79</v>
      </c>
      <c r="P150" s="7" t="s">
        <v>2461</v>
      </c>
      <c r="Q150">
        <v>146</v>
      </c>
      <c r="R150" s="6">
        <v>15.75</v>
      </c>
    </row>
    <row r="151" spans="1:18">
      <c r="A151" t="s">
        <v>415</v>
      </c>
      <c r="B151" s="1">
        <v>291</v>
      </c>
      <c r="C151" s="2" t="s">
        <v>2462</v>
      </c>
      <c r="D151" t="s">
        <v>849</v>
      </c>
      <c r="E151" s="3">
        <v>2852.2336769759449</v>
      </c>
      <c r="F151" s="3">
        <v>830000</v>
      </c>
      <c r="G151" t="s">
        <v>850</v>
      </c>
      <c r="H151" t="s">
        <v>851</v>
      </c>
      <c r="I151" t="s">
        <v>852</v>
      </c>
      <c r="J151" s="6">
        <v>0.7</v>
      </c>
      <c r="K151" t="s">
        <v>592</v>
      </c>
      <c r="L151" t="s">
        <v>24</v>
      </c>
      <c r="M151" s="2" t="s">
        <v>2463</v>
      </c>
      <c r="N151" t="s">
        <v>853</v>
      </c>
      <c r="O151" t="s">
        <v>291</v>
      </c>
      <c r="P151" s="7" t="s">
        <v>2464</v>
      </c>
      <c r="Q151">
        <v>1108</v>
      </c>
      <c r="R151" s="6">
        <v>2.57</v>
      </c>
    </row>
    <row r="152" spans="1:18">
      <c r="A152" t="s">
        <v>415</v>
      </c>
      <c r="B152" s="1">
        <v>223</v>
      </c>
      <c r="C152" s="2" t="s">
        <v>2465</v>
      </c>
      <c r="D152" t="s">
        <v>854</v>
      </c>
      <c r="E152" s="3">
        <v>2316.1434977578469</v>
      </c>
      <c r="F152" s="3">
        <v>516500</v>
      </c>
      <c r="G152" t="s">
        <v>855</v>
      </c>
      <c r="H152" t="s">
        <v>70</v>
      </c>
      <c r="I152" t="s">
        <v>856</v>
      </c>
      <c r="J152" s="6">
        <v>1.97</v>
      </c>
      <c r="K152" t="s">
        <v>90</v>
      </c>
      <c r="L152" t="s">
        <v>24</v>
      </c>
      <c r="M152" s="2" t="s">
        <v>2466</v>
      </c>
      <c r="N152" t="s">
        <v>857</v>
      </c>
      <c r="O152" t="s">
        <v>430</v>
      </c>
      <c r="P152" s="7" t="s">
        <v>2467</v>
      </c>
      <c r="Q152">
        <v>1633</v>
      </c>
      <c r="R152" s="6">
        <v>1.42</v>
      </c>
    </row>
    <row r="153" spans="1:18">
      <c r="A153" t="s">
        <v>415</v>
      </c>
      <c r="B153" s="1">
        <v>224.2</v>
      </c>
      <c r="C153" s="2" t="s">
        <v>2468</v>
      </c>
      <c r="D153" t="s">
        <v>858</v>
      </c>
      <c r="E153" s="3">
        <v>29174.84388938448</v>
      </c>
      <c r="F153" s="3">
        <v>6541000</v>
      </c>
      <c r="G153" t="s">
        <v>859</v>
      </c>
      <c r="H153" t="s">
        <v>860</v>
      </c>
      <c r="I153" t="s">
        <v>861</v>
      </c>
      <c r="J153" s="6">
        <v>3.5</v>
      </c>
      <c r="K153" t="s">
        <v>23</v>
      </c>
      <c r="L153" t="s">
        <v>24</v>
      </c>
      <c r="M153" s="2" t="s">
        <v>2469</v>
      </c>
      <c r="N153" t="s">
        <v>862</v>
      </c>
      <c r="O153" t="s">
        <v>508</v>
      </c>
      <c r="P153" s="7" t="s">
        <v>2470</v>
      </c>
      <c r="Q153">
        <v>3690</v>
      </c>
      <c r="R153" s="6">
        <v>7.91</v>
      </c>
    </row>
    <row r="154" spans="1:18">
      <c r="A154" t="s">
        <v>415</v>
      </c>
      <c r="B154" s="1">
        <v>64.599999999999994</v>
      </c>
      <c r="C154" s="2" t="s">
        <v>2471</v>
      </c>
      <c r="D154" t="s">
        <v>863</v>
      </c>
      <c r="E154" s="3">
        <v>9643.9628482972148</v>
      </c>
      <c r="F154" s="3">
        <v>623000</v>
      </c>
      <c r="G154" t="s">
        <v>864</v>
      </c>
      <c r="H154" t="s">
        <v>865</v>
      </c>
      <c r="I154" t="s">
        <v>866</v>
      </c>
      <c r="J154" s="6">
        <v>3.51</v>
      </c>
      <c r="K154" t="s">
        <v>23</v>
      </c>
      <c r="L154" t="s">
        <v>24</v>
      </c>
      <c r="M154" s="2" t="s">
        <v>2472</v>
      </c>
      <c r="N154" t="s">
        <v>867</v>
      </c>
      <c r="O154" t="s">
        <v>784</v>
      </c>
      <c r="P154" s="7" t="s">
        <v>2473</v>
      </c>
      <c r="Q154">
        <v>1050</v>
      </c>
      <c r="R154" s="6">
        <v>9.18</v>
      </c>
    </row>
    <row r="155" spans="1:18">
      <c r="A155" t="s">
        <v>415</v>
      </c>
      <c r="B155" s="1">
        <v>70</v>
      </c>
      <c r="C155" s="2" t="s">
        <v>2474</v>
      </c>
      <c r="D155" t="s">
        <v>868</v>
      </c>
      <c r="E155" s="3">
        <v>12195</v>
      </c>
      <c r="F155" s="3">
        <v>853650</v>
      </c>
      <c r="G155" t="s">
        <v>869</v>
      </c>
      <c r="H155" t="s">
        <v>870</v>
      </c>
      <c r="I155" t="s">
        <v>871</v>
      </c>
      <c r="J155" s="6">
        <v>2.06</v>
      </c>
      <c r="K155" t="s">
        <v>23</v>
      </c>
      <c r="L155" t="s">
        <v>24</v>
      </c>
      <c r="M155" s="2" t="s">
        <v>2475</v>
      </c>
      <c r="N155" t="s">
        <v>872</v>
      </c>
      <c r="O155" t="s">
        <v>61</v>
      </c>
      <c r="P155" s="7" t="s">
        <v>2476</v>
      </c>
      <c r="Q155">
        <v>4603</v>
      </c>
      <c r="R155" s="6">
        <v>2.65</v>
      </c>
    </row>
    <row r="156" spans="1:18">
      <c r="A156" t="s">
        <v>415</v>
      </c>
      <c r="B156" s="1">
        <v>69.900000000000006</v>
      </c>
      <c r="C156" s="2" t="s">
        <v>2477</v>
      </c>
      <c r="D156" t="s">
        <v>873</v>
      </c>
      <c r="E156" s="3">
        <v>12197.424892703861</v>
      </c>
      <c r="F156" s="3">
        <v>852600</v>
      </c>
      <c r="G156" t="s">
        <v>869</v>
      </c>
      <c r="H156" t="s">
        <v>870</v>
      </c>
      <c r="I156" t="s">
        <v>874</v>
      </c>
      <c r="J156" s="6">
        <v>2.06</v>
      </c>
      <c r="K156" t="s">
        <v>23</v>
      </c>
      <c r="L156" t="s">
        <v>24</v>
      </c>
      <c r="M156" s="2" t="s">
        <v>2475</v>
      </c>
      <c r="N156" t="s">
        <v>872</v>
      </c>
      <c r="O156" t="s">
        <v>61</v>
      </c>
      <c r="P156" s="7" t="s">
        <v>2476</v>
      </c>
      <c r="Q156">
        <v>4603</v>
      </c>
      <c r="R156" s="6">
        <v>2.65</v>
      </c>
    </row>
    <row r="157" spans="1:18">
      <c r="A157" t="s">
        <v>415</v>
      </c>
      <c r="B157" s="1">
        <v>52.5</v>
      </c>
      <c r="C157" s="2" t="s">
        <v>2478</v>
      </c>
      <c r="D157" t="s">
        <v>875</v>
      </c>
      <c r="E157" s="3">
        <v>12200</v>
      </c>
      <c r="F157" s="3">
        <v>640500</v>
      </c>
      <c r="G157" t="s">
        <v>869</v>
      </c>
      <c r="H157" t="s">
        <v>870</v>
      </c>
      <c r="I157" t="s">
        <v>876</v>
      </c>
      <c r="J157" s="6">
        <v>2.06</v>
      </c>
      <c r="K157" t="s">
        <v>23</v>
      </c>
      <c r="L157" t="s">
        <v>24</v>
      </c>
      <c r="M157" s="2" t="s">
        <v>2475</v>
      </c>
      <c r="N157" t="s">
        <v>872</v>
      </c>
      <c r="O157" t="s">
        <v>61</v>
      </c>
      <c r="P157" s="7" t="s">
        <v>2476</v>
      </c>
      <c r="Q157">
        <v>4603</v>
      </c>
      <c r="R157" s="6">
        <v>2.65</v>
      </c>
    </row>
    <row r="158" spans="1:18">
      <c r="A158" t="s">
        <v>92</v>
      </c>
      <c r="B158" s="1">
        <v>630.29999999999995</v>
      </c>
      <c r="C158" s="2" t="s">
        <v>2479</v>
      </c>
      <c r="D158" t="s">
        <v>877</v>
      </c>
      <c r="E158" s="3">
        <v>5287.9581151832463</v>
      </c>
      <c r="F158" s="3">
        <v>3333000</v>
      </c>
      <c r="G158" t="s">
        <v>878</v>
      </c>
      <c r="H158" t="s">
        <v>879</v>
      </c>
      <c r="I158" t="s">
        <v>880</v>
      </c>
      <c r="J158" s="6">
        <v>2.3199999999999998</v>
      </c>
      <c r="K158" t="s">
        <v>23</v>
      </c>
      <c r="L158" t="s">
        <v>24</v>
      </c>
      <c r="M158" s="2" t="s">
        <v>2480</v>
      </c>
      <c r="N158" t="s">
        <v>881</v>
      </c>
      <c r="O158" t="s">
        <v>513</v>
      </c>
      <c r="P158" s="7" t="s">
        <v>2481</v>
      </c>
      <c r="Q158">
        <v>1237</v>
      </c>
      <c r="R158" s="6">
        <v>4.2699999999999996</v>
      </c>
    </row>
    <row r="159" spans="1:18">
      <c r="A159" t="s">
        <v>92</v>
      </c>
      <c r="B159" s="1">
        <v>32.299999999999997</v>
      </c>
      <c r="C159" s="2" t="s">
        <v>2482</v>
      </c>
      <c r="D159" t="s">
        <v>882</v>
      </c>
      <c r="E159" s="3">
        <v>36222.910216718272</v>
      </c>
      <c r="F159" s="3">
        <v>1170000</v>
      </c>
      <c r="G159" t="s">
        <v>883</v>
      </c>
      <c r="H159" t="s">
        <v>884</v>
      </c>
      <c r="I159" t="s">
        <v>885</v>
      </c>
      <c r="J159" s="6">
        <v>10.64</v>
      </c>
      <c r="K159" t="s">
        <v>23</v>
      </c>
      <c r="L159" t="s">
        <v>24</v>
      </c>
      <c r="M159" s="2" t="s">
        <v>2483</v>
      </c>
      <c r="N159" t="s">
        <v>886</v>
      </c>
      <c r="O159" t="s">
        <v>61</v>
      </c>
      <c r="P159" s="7" t="s">
        <v>2484</v>
      </c>
      <c r="Q159">
        <v>3024</v>
      </c>
      <c r="R159" s="6">
        <v>11.98</v>
      </c>
    </row>
    <row r="160" spans="1:18">
      <c r="A160" t="s">
        <v>92</v>
      </c>
      <c r="B160" s="1">
        <v>84.2</v>
      </c>
      <c r="C160" s="2" t="s">
        <v>2485</v>
      </c>
      <c r="D160" t="s">
        <v>887</v>
      </c>
      <c r="E160" s="3">
        <v>34354.829572446557</v>
      </c>
      <c r="F160" s="3">
        <v>2892676.65</v>
      </c>
      <c r="G160" t="s">
        <v>888</v>
      </c>
      <c r="H160" t="s">
        <v>889</v>
      </c>
      <c r="I160" t="s">
        <v>890</v>
      </c>
      <c r="J160" s="6">
        <v>32.659999999999997</v>
      </c>
      <c r="K160" t="s">
        <v>23</v>
      </c>
      <c r="L160" t="s">
        <v>24</v>
      </c>
      <c r="M160" s="2" t="s">
        <v>2486</v>
      </c>
      <c r="N160" t="s">
        <v>891</v>
      </c>
      <c r="O160" t="s">
        <v>241</v>
      </c>
      <c r="P160" s="7" t="s">
        <v>2487</v>
      </c>
      <c r="Q160">
        <v>1073</v>
      </c>
      <c r="R160" s="6">
        <v>32.020000000000003</v>
      </c>
    </row>
    <row r="161" spans="1:18">
      <c r="A161" t="s">
        <v>92</v>
      </c>
      <c r="B161" s="1">
        <v>30</v>
      </c>
      <c r="C161" s="2" t="s">
        <v>2488</v>
      </c>
      <c r="D161" t="s">
        <v>892</v>
      </c>
      <c r="E161" s="3">
        <v>21400</v>
      </c>
      <c r="F161" s="3">
        <v>642000</v>
      </c>
      <c r="G161" t="s">
        <v>893</v>
      </c>
      <c r="H161" t="s">
        <v>894</v>
      </c>
      <c r="I161" t="s">
        <v>895</v>
      </c>
      <c r="J161" s="6">
        <v>6.16</v>
      </c>
      <c r="K161" t="s">
        <v>23</v>
      </c>
      <c r="L161" t="s">
        <v>24</v>
      </c>
      <c r="M161" s="2" t="s">
        <v>2489</v>
      </c>
      <c r="N161" t="s">
        <v>896</v>
      </c>
      <c r="O161" t="s">
        <v>409</v>
      </c>
      <c r="P161" s="7" t="s">
        <v>2490</v>
      </c>
      <c r="Q161">
        <v>3696</v>
      </c>
      <c r="R161" s="6">
        <v>5.79</v>
      </c>
    </row>
    <row r="162" spans="1:18">
      <c r="A162" t="s">
        <v>130</v>
      </c>
      <c r="B162" s="1">
        <v>174.7</v>
      </c>
      <c r="C162" s="2" t="s">
        <v>2491</v>
      </c>
      <c r="D162" t="s">
        <v>897</v>
      </c>
      <c r="E162" s="3">
        <v>11493.989696622781</v>
      </c>
      <c r="F162" s="3">
        <v>2008000</v>
      </c>
      <c r="G162" t="s">
        <v>898</v>
      </c>
      <c r="H162" t="s">
        <v>899</v>
      </c>
      <c r="I162" t="s">
        <v>900</v>
      </c>
      <c r="J162" s="6">
        <v>6.88</v>
      </c>
      <c r="K162" t="s">
        <v>901</v>
      </c>
      <c r="L162" t="s">
        <v>24</v>
      </c>
      <c r="M162" s="2" t="s">
        <v>2492</v>
      </c>
      <c r="N162" t="s">
        <v>902</v>
      </c>
      <c r="O162" t="s">
        <v>55</v>
      </c>
      <c r="P162" s="7" t="s">
        <v>2493</v>
      </c>
      <c r="Q162">
        <v>4292</v>
      </c>
      <c r="R162" s="6">
        <v>2.68</v>
      </c>
    </row>
    <row r="163" spans="1:18">
      <c r="A163" t="s">
        <v>130</v>
      </c>
      <c r="B163" s="1">
        <v>67.400000000000006</v>
      </c>
      <c r="C163" s="2" t="s">
        <v>2494</v>
      </c>
      <c r="D163" t="s">
        <v>903</v>
      </c>
      <c r="E163" s="3">
        <v>10459.94065281899</v>
      </c>
      <c r="F163" s="3">
        <v>705000</v>
      </c>
      <c r="G163" t="s">
        <v>904</v>
      </c>
      <c r="H163" t="s">
        <v>905</v>
      </c>
      <c r="I163" t="s">
        <v>906</v>
      </c>
      <c r="J163" s="6">
        <v>8.92</v>
      </c>
      <c r="K163" t="s">
        <v>23</v>
      </c>
      <c r="L163" t="s">
        <v>24</v>
      </c>
      <c r="M163" s="2" t="s">
        <v>2495</v>
      </c>
      <c r="N163" t="s">
        <v>857</v>
      </c>
      <c r="O163" t="s">
        <v>692</v>
      </c>
      <c r="P163" s="7" t="s">
        <v>2496</v>
      </c>
      <c r="Q163">
        <v>559</v>
      </c>
      <c r="R163" s="6">
        <v>18.71</v>
      </c>
    </row>
    <row r="164" spans="1:18">
      <c r="A164" t="s">
        <v>130</v>
      </c>
      <c r="B164" s="1">
        <v>31.8</v>
      </c>
      <c r="C164" s="2" t="s">
        <v>3180</v>
      </c>
      <c r="D164" t="s">
        <v>907</v>
      </c>
      <c r="E164" s="3">
        <v>22233.993710691819</v>
      </c>
      <c r="F164" s="3">
        <v>707041</v>
      </c>
      <c r="G164" t="s">
        <v>908</v>
      </c>
      <c r="H164" t="s">
        <v>909</v>
      </c>
      <c r="I164" t="s">
        <v>910</v>
      </c>
      <c r="J164" s="3"/>
      <c r="K164" t="s">
        <v>23</v>
      </c>
      <c r="L164" t="s">
        <v>24</v>
      </c>
      <c r="M164" s="2" t="s">
        <v>3181</v>
      </c>
      <c r="P164" s="2"/>
      <c r="Q164">
        <v>5862</v>
      </c>
      <c r="R164" s="6">
        <v>3.79</v>
      </c>
    </row>
    <row r="165" spans="1:18">
      <c r="A165" t="s">
        <v>130</v>
      </c>
      <c r="B165" s="1">
        <v>1084.8</v>
      </c>
      <c r="C165" s="2" t="s">
        <v>2497</v>
      </c>
      <c r="D165" t="s">
        <v>911</v>
      </c>
      <c r="E165" s="3">
        <v>4609.1445427728613</v>
      </c>
      <c r="F165" s="3">
        <v>5000000</v>
      </c>
      <c r="G165" t="s">
        <v>912</v>
      </c>
      <c r="H165" t="s">
        <v>913</v>
      </c>
      <c r="I165" t="s">
        <v>914</v>
      </c>
      <c r="J165" s="6">
        <v>19.7</v>
      </c>
      <c r="K165" t="s">
        <v>90</v>
      </c>
      <c r="L165" t="s">
        <v>24</v>
      </c>
      <c r="M165" s="2" t="s">
        <v>2498</v>
      </c>
      <c r="N165" t="s">
        <v>915</v>
      </c>
      <c r="O165" t="s">
        <v>409</v>
      </c>
      <c r="P165" s="7" t="s">
        <v>2499</v>
      </c>
      <c r="Q165">
        <v>982</v>
      </c>
      <c r="R165" s="6">
        <v>4.6900000000000004</v>
      </c>
    </row>
    <row r="166" spans="1:18">
      <c r="A166" t="s">
        <v>164</v>
      </c>
      <c r="B166" s="1">
        <v>26.1</v>
      </c>
      <c r="C166" s="2" t="s">
        <v>2500</v>
      </c>
      <c r="D166" t="s">
        <v>923</v>
      </c>
      <c r="E166" s="3">
        <v>69731.800766283515</v>
      </c>
      <c r="F166" s="3">
        <v>1820000</v>
      </c>
      <c r="G166" t="s">
        <v>924</v>
      </c>
      <c r="H166" t="s">
        <v>925</v>
      </c>
      <c r="I166" t="s">
        <v>926</v>
      </c>
      <c r="J166" s="6">
        <v>7.06</v>
      </c>
      <c r="K166" t="s">
        <v>901</v>
      </c>
      <c r="L166" t="s">
        <v>24</v>
      </c>
      <c r="M166" s="2" t="s">
        <v>2501</v>
      </c>
      <c r="N166" t="s">
        <v>927</v>
      </c>
      <c r="O166" t="s">
        <v>928</v>
      </c>
      <c r="P166" s="7" t="s">
        <v>2502</v>
      </c>
      <c r="Q166">
        <v>2600</v>
      </c>
      <c r="R166" s="6">
        <v>26.82</v>
      </c>
    </row>
    <row r="167" spans="1:18">
      <c r="A167" t="s">
        <v>929</v>
      </c>
      <c r="B167" s="1">
        <v>122.23</v>
      </c>
      <c r="C167" s="2" t="s">
        <v>2503</v>
      </c>
      <c r="D167" t="s">
        <v>930</v>
      </c>
      <c r="E167" s="3">
        <v>42361.948785077308</v>
      </c>
      <c r="F167" s="3">
        <v>5177901</v>
      </c>
      <c r="G167" t="s">
        <v>931</v>
      </c>
      <c r="H167" t="s">
        <v>932</v>
      </c>
      <c r="I167" t="s">
        <v>933</v>
      </c>
      <c r="J167" s="6">
        <v>14.56</v>
      </c>
      <c r="K167" t="s">
        <v>23</v>
      </c>
      <c r="L167" t="s">
        <v>24</v>
      </c>
      <c r="M167" s="2" t="s">
        <v>2504</v>
      </c>
      <c r="N167" t="s">
        <v>934</v>
      </c>
      <c r="O167" t="s">
        <v>657</v>
      </c>
      <c r="P167" s="7" t="s">
        <v>2505</v>
      </c>
      <c r="Q167">
        <v>402</v>
      </c>
      <c r="R167" s="6">
        <v>105.38</v>
      </c>
    </row>
    <row r="168" spans="1:18">
      <c r="A168" t="s">
        <v>929</v>
      </c>
      <c r="B168" s="1">
        <v>19.600000000000001</v>
      </c>
      <c r="C168" s="2" t="s">
        <v>2506</v>
      </c>
      <c r="D168" t="s">
        <v>935</v>
      </c>
      <c r="E168" s="3">
        <v>38877.551020408158</v>
      </c>
      <c r="F168" s="3">
        <v>762000</v>
      </c>
      <c r="G168" t="s">
        <v>936</v>
      </c>
      <c r="H168" t="s">
        <v>937</v>
      </c>
      <c r="I168" t="s">
        <v>938</v>
      </c>
      <c r="J168" s="6">
        <v>16.899999999999999</v>
      </c>
      <c r="K168" t="s">
        <v>23</v>
      </c>
      <c r="L168" t="s">
        <v>24</v>
      </c>
      <c r="M168" s="2" t="s">
        <v>2507</v>
      </c>
      <c r="N168" t="s">
        <v>939</v>
      </c>
      <c r="O168" t="s">
        <v>85</v>
      </c>
      <c r="P168" s="7" t="s">
        <v>2508</v>
      </c>
      <c r="Q168">
        <v>155</v>
      </c>
      <c r="R168" s="6">
        <v>250.82</v>
      </c>
    </row>
    <row r="169" spans="1:18">
      <c r="A169" t="s">
        <v>929</v>
      </c>
      <c r="B169" s="1">
        <v>14.4</v>
      </c>
      <c r="C169" s="2" t="s">
        <v>2509</v>
      </c>
      <c r="D169" t="s">
        <v>935</v>
      </c>
      <c r="E169" s="3">
        <v>45833.333333333343</v>
      </c>
      <c r="F169" s="3">
        <v>660000</v>
      </c>
      <c r="G169" t="s">
        <v>940</v>
      </c>
      <c r="H169" t="s">
        <v>937</v>
      </c>
      <c r="I169" t="s">
        <v>941</v>
      </c>
      <c r="J169" s="6">
        <v>12.52</v>
      </c>
      <c r="K169" t="s">
        <v>23</v>
      </c>
      <c r="L169" t="s">
        <v>24</v>
      </c>
      <c r="M169" s="2" t="s">
        <v>2510</v>
      </c>
      <c r="N169" t="s">
        <v>942</v>
      </c>
      <c r="O169" t="s">
        <v>85</v>
      </c>
      <c r="P169" s="7" t="s">
        <v>2511</v>
      </c>
      <c r="Q169">
        <v>163</v>
      </c>
      <c r="R169" s="6">
        <v>281.19</v>
      </c>
    </row>
    <row r="170" spans="1:18">
      <c r="A170" t="s">
        <v>946</v>
      </c>
      <c r="B170" s="1">
        <v>114.9</v>
      </c>
      <c r="C170" s="2" t="s">
        <v>2512</v>
      </c>
      <c r="D170" t="s">
        <v>947</v>
      </c>
      <c r="E170" s="3">
        <v>17754.046997389029</v>
      </c>
      <c r="F170" s="3">
        <v>2039940</v>
      </c>
      <c r="G170" t="s">
        <v>948</v>
      </c>
      <c r="H170" t="s">
        <v>949</v>
      </c>
      <c r="I170" t="s">
        <v>950</v>
      </c>
      <c r="J170" s="6">
        <v>422.72</v>
      </c>
      <c r="K170" t="s">
        <v>23</v>
      </c>
      <c r="L170" t="s">
        <v>35</v>
      </c>
      <c r="M170" s="2" t="s">
        <v>2513</v>
      </c>
      <c r="N170" t="s">
        <v>784</v>
      </c>
      <c r="O170" t="s">
        <v>79</v>
      </c>
      <c r="P170" s="7" t="s">
        <v>2514</v>
      </c>
      <c r="Q170">
        <v>952</v>
      </c>
      <c r="R170" s="6">
        <v>18.649999999999999</v>
      </c>
    </row>
    <row r="171" spans="1:18">
      <c r="A171" t="s">
        <v>946</v>
      </c>
      <c r="B171" s="1">
        <v>208.6</v>
      </c>
      <c r="C171" s="2" t="s">
        <v>2515</v>
      </c>
      <c r="D171" t="s">
        <v>951</v>
      </c>
      <c r="E171" s="3">
        <v>32762.416107382549</v>
      </c>
      <c r="F171" s="3">
        <v>6834240</v>
      </c>
      <c r="G171" t="s">
        <v>952</v>
      </c>
      <c r="H171" t="s">
        <v>949</v>
      </c>
      <c r="I171" t="s">
        <v>953</v>
      </c>
      <c r="J171" s="6">
        <v>15.46</v>
      </c>
      <c r="K171" t="s">
        <v>23</v>
      </c>
      <c r="L171" t="s">
        <v>35</v>
      </c>
      <c r="M171" s="2" t="s">
        <v>2516</v>
      </c>
      <c r="N171" t="s">
        <v>954</v>
      </c>
      <c r="O171" t="s">
        <v>27</v>
      </c>
      <c r="P171" s="7" t="s">
        <v>2517</v>
      </c>
      <c r="Q171">
        <v>60</v>
      </c>
      <c r="R171" s="6">
        <v>546.04</v>
      </c>
    </row>
    <row r="172" spans="1:18">
      <c r="A172" t="s">
        <v>946</v>
      </c>
      <c r="B172" s="1">
        <v>242.6</v>
      </c>
      <c r="C172" s="2" t="s">
        <v>2518</v>
      </c>
      <c r="D172" t="s">
        <v>955</v>
      </c>
      <c r="E172" s="3">
        <v>29370.568837592749</v>
      </c>
      <c r="F172" s="3">
        <v>7125300</v>
      </c>
      <c r="G172" t="s">
        <v>956</v>
      </c>
      <c r="H172" t="s">
        <v>949</v>
      </c>
      <c r="I172" t="s">
        <v>957</v>
      </c>
      <c r="J172" s="6">
        <v>10.220000000000001</v>
      </c>
      <c r="K172" t="s">
        <v>23</v>
      </c>
      <c r="L172" t="s">
        <v>35</v>
      </c>
      <c r="M172" s="2" t="s">
        <v>2519</v>
      </c>
      <c r="N172" t="s">
        <v>958</v>
      </c>
      <c r="O172" t="s">
        <v>27</v>
      </c>
      <c r="P172" s="7" t="s">
        <v>2520</v>
      </c>
      <c r="Q172">
        <v>60</v>
      </c>
      <c r="R172" s="6">
        <v>489.51</v>
      </c>
    </row>
    <row r="173" spans="1:18">
      <c r="A173" t="s">
        <v>946</v>
      </c>
      <c r="B173" s="1">
        <v>208.1</v>
      </c>
      <c r="C173" s="2" t="s">
        <v>2521</v>
      </c>
      <c r="D173" t="s">
        <v>959</v>
      </c>
      <c r="E173" s="3">
        <v>4627.5828928399806</v>
      </c>
      <c r="F173" s="3">
        <v>963000</v>
      </c>
      <c r="G173" t="s">
        <v>960</v>
      </c>
      <c r="H173" t="s">
        <v>748</v>
      </c>
      <c r="I173" t="s">
        <v>961</v>
      </c>
      <c r="J173" s="6">
        <v>15.43</v>
      </c>
      <c r="K173" t="s">
        <v>23</v>
      </c>
      <c r="L173" t="s">
        <v>24</v>
      </c>
      <c r="M173" s="2" t="s">
        <v>2522</v>
      </c>
      <c r="N173" t="s">
        <v>759</v>
      </c>
      <c r="O173" t="s">
        <v>85</v>
      </c>
      <c r="P173" s="7" t="s">
        <v>2523</v>
      </c>
      <c r="Q173">
        <v>331</v>
      </c>
      <c r="R173" s="6">
        <v>13.98</v>
      </c>
    </row>
    <row r="174" spans="1:18">
      <c r="A174" t="s">
        <v>488</v>
      </c>
      <c r="B174" s="1">
        <v>16.600000000000001</v>
      </c>
      <c r="C174" s="2" t="s">
        <v>2524</v>
      </c>
      <c r="D174" t="s">
        <v>962</v>
      </c>
      <c r="E174" s="3">
        <v>41820</v>
      </c>
      <c r="F174" s="3">
        <v>694212</v>
      </c>
      <c r="G174" t="s">
        <v>963</v>
      </c>
      <c r="H174" t="s">
        <v>964</v>
      </c>
      <c r="I174" t="s">
        <v>965</v>
      </c>
      <c r="J174" s="6">
        <v>4.49</v>
      </c>
      <c r="K174" t="s">
        <v>23</v>
      </c>
      <c r="L174" t="s">
        <v>24</v>
      </c>
      <c r="M174" s="2" t="s">
        <v>2525</v>
      </c>
      <c r="N174" t="s">
        <v>966</v>
      </c>
      <c r="O174" t="s">
        <v>415</v>
      </c>
      <c r="P174" s="7" t="s">
        <v>2526</v>
      </c>
      <c r="Q174">
        <v>1090</v>
      </c>
      <c r="R174" s="6">
        <v>38.369999999999997</v>
      </c>
    </row>
    <row r="175" spans="1:18">
      <c r="A175" t="s">
        <v>488</v>
      </c>
      <c r="B175" s="1">
        <v>169.9</v>
      </c>
      <c r="C175" s="2" t="s">
        <v>2527</v>
      </c>
      <c r="D175" t="s">
        <v>967</v>
      </c>
      <c r="E175" s="3">
        <v>12875.809299587991</v>
      </c>
      <c r="F175" s="3">
        <v>2187600</v>
      </c>
      <c r="G175" t="s">
        <v>968</v>
      </c>
      <c r="H175" t="s">
        <v>969</v>
      </c>
      <c r="I175" t="s">
        <v>970</v>
      </c>
      <c r="J175" s="6">
        <v>1.95</v>
      </c>
      <c r="K175" t="s">
        <v>90</v>
      </c>
      <c r="L175" t="s">
        <v>24</v>
      </c>
      <c r="M175" s="2" t="s">
        <v>2528</v>
      </c>
      <c r="N175" t="s">
        <v>971</v>
      </c>
      <c r="O175" t="s">
        <v>234</v>
      </c>
      <c r="P175" s="7" t="s">
        <v>2529</v>
      </c>
      <c r="Q175">
        <v>934</v>
      </c>
      <c r="R175" s="6">
        <v>13.79</v>
      </c>
    </row>
    <row r="176" spans="1:18">
      <c r="A176" t="s">
        <v>488</v>
      </c>
      <c r="B176" s="1">
        <v>108</v>
      </c>
      <c r="C176" s="2" t="s">
        <v>2530</v>
      </c>
      <c r="D176" t="s">
        <v>972</v>
      </c>
      <c r="E176" s="3">
        <v>32741.319444444449</v>
      </c>
      <c r="F176" s="3">
        <v>3536062.5</v>
      </c>
      <c r="G176" t="s">
        <v>973</v>
      </c>
      <c r="H176" t="s">
        <v>121</v>
      </c>
      <c r="I176" t="s">
        <v>974</v>
      </c>
      <c r="J176" s="6">
        <v>37.630000000000003</v>
      </c>
      <c r="K176" t="s">
        <v>23</v>
      </c>
      <c r="L176" t="s">
        <v>24</v>
      </c>
      <c r="M176" s="2" t="s">
        <v>2531</v>
      </c>
      <c r="N176" t="s">
        <v>975</v>
      </c>
      <c r="O176" t="s">
        <v>634</v>
      </c>
      <c r="P176" s="7" t="s">
        <v>2532</v>
      </c>
      <c r="Q176">
        <v>280</v>
      </c>
      <c r="R176" s="6">
        <v>116.93</v>
      </c>
    </row>
    <row r="177" spans="1:18">
      <c r="A177" t="s">
        <v>488</v>
      </c>
      <c r="B177" s="1">
        <v>18.2</v>
      </c>
      <c r="C177" s="2" t="s">
        <v>2533</v>
      </c>
      <c r="D177" t="s">
        <v>976</v>
      </c>
      <c r="E177" s="3">
        <v>85853.956043956045</v>
      </c>
      <c r="F177" s="3">
        <v>1562542</v>
      </c>
      <c r="G177" t="s">
        <v>977</v>
      </c>
      <c r="H177" t="s">
        <v>978</v>
      </c>
      <c r="I177" t="s">
        <v>979</v>
      </c>
      <c r="J177" s="6">
        <v>30.39</v>
      </c>
      <c r="K177" t="s">
        <v>23</v>
      </c>
      <c r="L177" t="s">
        <v>24</v>
      </c>
      <c r="M177" s="2" t="s">
        <v>2534</v>
      </c>
      <c r="N177" t="s">
        <v>980</v>
      </c>
      <c r="O177" t="s">
        <v>67</v>
      </c>
      <c r="P177" s="7" t="s">
        <v>2535</v>
      </c>
      <c r="Q177">
        <v>3196</v>
      </c>
      <c r="R177" s="6">
        <v>26.86</v>
      </c>
    </row>
    <row r="178" spans="1:18">
      <c r="A178" t="s">
        <v>488</v>
      </c>
      <c r="B178" s="1">
        <v>13.7</v>
      </c>
      <c r="C178" s="2" t="s">
        <v>2536</v>
      </c>
      <c r="D178" t="s">
        <v>981</v>
      </c>
      <c r="E178" s="3">
        <v>100074.1605839416</v>
      </c>
      <c r="F178" s="3">
        <v>1371016</v>
      </c>
      <c r="G178" t="s">
        <v>982</v>
      </c>
      <c r="H178" t="s">
        <v>983</v>
      </c>
      <c r="I178" t="s">
        <v>984</v>
      </c>
      <c r="J178" s="6">
        <v>12.69</v>
      </c>
      <c r="K178" t="s">
        <v>23</v>
      </c>
      <c r="L178" t="s">
        <v>24</v>
      </c>
      <c r="M178" s="2" t="s">
        <v>2537</v>
      </c>
      <c r="N178" t="s">
        <v>985</v>
      </c>
      <c r="O178" t="s">
        <v>204</v>
      </c>
      <c r="P178" s="7" t="s">
        <v>2538</v>
      </c>
      <c r="Q178">
        <v>3273</v>
      </c>
      <c r="R178" s="6">
        <v>30.58</v>
      </c>
    </row>
    <row r="179" spans="1:18">
      <c r="A179" t="s">
        <v>488</v>
      </c>
      <c r="B179" s="1">
        <v>78.5</v>
      </c>
      <c r="C179" s="2" t="s">
        <v>2539</v>
      </c>
      <c r="D179" t="s">
        <v>986</v>
      </c>
      <c r="E179" s="3">
        <v>69399.745222929938</v>
      </c>
      <c r="F179" s="3">
        <v>5447880</v>
      </c>
      <c r="G179" t="s">
        <v>987</v>
      </c>
      <c r="H179" t="s">
        <v>988</v>
      </c>
      <c r="I179" t="s">
        <v>989</v>
      </c>
      <c r="J179" s="6">
        <v>26.29</v>
      </c>
      <c r="K179" t="s">
        <v>23</v>
      </c>
      <c r="L179" t="s">
        <v>24</v>
      </c>
      <c r="M179" s="2" t="s">
        <v>2540</v>
      </c>
      <c r="N179" t="s">
        <v>990</v>
      </c>
      <c r="O179" t="s">
        <v>554</v>
      </c>
      <c r="P179" s="7" t="s">
        <v>2541</v>
      </c>
      <c r="Q179">
        <v>4239</v>
      </c>
      <c r="R179" s="6">
        <v>16.37</v>
      </c>
    </row>
    <row r="180" spans="1:18">
      <c r="A180" t="s">
        <v>488</v>
      </c>
      <c r="B180" s="1">
        <v>20.8</v>
      </c>
      <c r="C180" s="2" t="s">
        <v>2542</v>
      </c>
      <c r="D180" t="s">
        <v>991</v>
      </c>
      <c r="E180" s="3">
        <v>125397.98076923079</v>
      </c>
      <c r="F180" s="3">
        <v>2608278</v>
      </c>
      <c r="G180" t="s">
        <v>992</v>
      </c>
      <c r="H180" t="s">
        <v>988</v>
      </c>
      <c r="I180" t="s">
        <v>993</v>
      </c>
      <c r="J180" s="6">
        <v>16.399999999999999</v>
      </c>
      <c r="K180" t="s">
        <v>23</v>
      </c>
      <c r="L180" t="s">
        <v>24</v>
      </c>
      <c r="M180" s="2" t="s">
        <v>2543</v>
      </c>
      <c r="N180" t="s">
        <v>994</v>
      </c>
      <c r="O180" t="s">
        <v>995</v>
      </c>
      <c r="P180" s="7" t="s">
        <v>2544</v>
      </c>
      <c r="Q180">
        <v>2786</v>
      </c>
      <c r="R180" s="6">
        <v>45.01</v>
      </c>
    </row>
    <row r="181" spans="1:18">
      <c r="A181" t="s">
        <v>488</v>
      </c>
      <c r="B181" s="1">
        <v>85.5</v>
      </c>
      <c r="C181" s="2" t="s">
        <v>2545</v>
      </c>
      <c r="D181" t="s">
        <v>996</v>
      </c>
      <c r="E181" s="3">
        <v>8839.9532163742697</v>
      </c>
      <c r="F181" s="3">
        <v>755816</v>
      </c>
      <c r="G181" t="s">
        <v>997</v>
      </c>
      <c r="H181" t="s">
        <v>998</v>
      </c>
      <c r="I181" t="s">
        <v>999</v>
      </c>
      <c r="J181" s="6">
        <v>17.54</v>
      </c>
      <c r="K181" t="s">
        <v>592</v>
      </c>
      <c r="L181" t="s">
        <v>24</v>
      </c>
      <c r="M181" s="2" t="s">
        <v>2546</v>
      </c>
      <c r="N181" t="s">
        <v>1000</v>
      </c>
      <c r="O181" t="s">
        <v>37</v>
      </c>
      <c r="P181" s="7" t="s">
        <v>2547</v>
      </c>
      <c r="Q181">
        <v>1281</v>
      </c>
      <c r="R181" s="6">
        <v>6.9</v>
      </c>
    </row>
    <row r="182" spans="1:18">
      <c r="A182" t="s">
        <v>488</v>
      </c>
      <c r="B182" s="1">
        <v>45.7</v>
      </c>
      <c r="C182" s="2" t="s">
        <v>2548</v>
      </c>
      <c r="D182" t="s">
        <v>1001</v>
      </c>
      <c r="E182" s="3">
        <v>115887.52735229761</v>
      </c>
      <c r="F182" s="3">
        <v>5296060</v>
      </c>
      <c r="G182" t="s">
        <v>1002</v>
      </c>
      <c r="H182" t="s">
        <v>1003</v>
      </c>
      <c r="I182" t="s">
        <v>1004</v>
      </c>
      <c r="J182" s="6">
        <v>15.32</v>
      </c>
      <c r="K182" t="s">
        <v>23</v>
      </c>
      <c r="L182" t="s">
        <v>24</v>
      </c>
      <c r="M182" s="2" t="s">
        <v>2549</v>
      </c>
      <c r="N182" t="s">
        <v>1005</v>
      </c>
      <c r="O182" t="s">
        <v>1006</v>
      </c>
      <c r="P182" s="7" t="s">
        <v>2550</v>
      </c>
      <c r="Q182">
        <v>8201</v>
      </c>
      <c r="R182" s="6">
        <v>14.13</v>
      </c>
    </row>
    <row r="183" spans="1:18">
      <c r="A183" t="s">
        <v>488</v>
      </c>
      <c r="B183" s="1">
        <v>39.5</v>
      </c>
      <c r="C183" s="2" t="s">
        <v>2551</v>
      </c>
      <c r="D183" t="s">
        <v>1007</v>
      </c>
      <c r="E183" s="3">
        <v>90191.746835443031</v>
      </c>
      <c r="F183" s="3">
        <v>3562574</v>
      </c>
      <c r="G183" t="s">
        <v>1008</v>
      </c>
      <c r="H183" t="s">
        <v>1009</v>
      </c>
      <c r="I183" t="s">
        <v>1010</v>
      </c>
      <c r="J183" s="6">
        <v>59.18</v>
      </c>
      <c r="K183" t="s">
        <v>23</v>
      </c>
      <c r="L183" t="s">
        <v>24</v>
      </c>
      <c r="M183" s="2" t="s">
        <v>2552</v>
      </c>
      <c r="N183" t="s">
        <v>1011</v>
      </c>
      <c r="O183" t="s">
        <v>67</v>
      </c>
      <c r="P183" s="7" t="s">
        <v>2553</v>
      </c>
      <c r="Q183">
        <v>5567</v>
      </c>
      <c r="R183" s="6">
        <v>16.2</v>
      </c>
    </row>
    <row r="184" spans="1:18">
      <c r="A184" t="s">
        <v>488</v>
      </c>
      <c r="B184" s="1">
        <v>46.3</v>
      </c>
      <c r="C184" s="2" t="s">
        <v>2554</v>
      </c>
      <c r="D184" t="s">
        <v>1012</v>
      </c>
      <c r="E184" s="3">
        <v>46900</v>
      </c>
      <c r="F184" s="3">
        <v>2171470</v>
      </c>
      <c r="G184" t="s">
        <v>1013</v>
      </c>
      <c r="H184" t="s">
        <v>1014</v>
      </c>
      <c r="I184" t="s">
        <v>1015</v>
      </c>
      <c r="J184" s="6">
        <v>52.99</v>
      </c>
      <c r="K184" t="s">
        <v>23</v>
      </c>
      <c r="L184" t="s">
        <v>24</v>
      </c>
      <c r="M184" s="2" t="s">
        <v>2555</v>
      </c>
      <c r="N184" t="s">
        <v>1016</v>
      </c>
      <c r="O184" t="s">
        <v>513</v>
      </c>
      <c r="P184" s="7" t="s">
        <v>2556</v>
      </c>
      <c r="Q184">
        <v>228</v>
      </c>
      <c r="R184" s="6">
        <v>205.7</v>
      </c>
    </row>
    <row r="185" spans="1:18">
      <c r="A185" t="s">
        <v>790</v>
      </c>
      <c r="B185" s="1">
        <v>642.6</v>
      </c>
      <c r="C185" s="2" t="s">
        <v>2557</v>
      </c>
      <c r="D185" t="s">
        <v>1021</v>
      </c>
      <c r="E185" s="3">
        <v>4979.7696856520388</v>
      </c>
      <c r="F185" s="3">
        <v>3200000</v>
      </c>
      <c r="G185" t="s">
        <v>1022</v>
      </c>
      <c r="H185" t="s">
        <v>1023</v>
      </c>
      <c r="I185" t="s">
        <v>1024</v>
      </c>
      <c r="J185" s="6">
        <v>2.23</v>
      </c>
      <c r="K185" t="s">
        <v>23</v>
      </c>
      <c r="L185" t="s">
        <v>24</v>
      </c>
      <c r="M185" s="2" t="s">
        <v>2558</v>
      </c>
      <c r="N185" t="s">
        <v>1025</v>
      </c>
      <c r="O185" t="s">
        <v>152</v>
      </c>
      <c r="P185" s="7" t="s">
        <v>2559</v>
      </c>
      <c r="Q185">
        <v>337</v>
      </c>
      <c r="R185" s="6">
        <v>14.78</v>
      </c>
    </row>
    <row r="186" spans="1:18">
      <c r="A186" t="s">
        <v>790</v>
      </c>
      <c r="B186" s="1">
        <v>36.1</v>
      </c>
      <c r="C186" s="2" t="s">
        <v>2560</v>
      </c>
      <c r="D186" t="s">
        <v>1030</v>
      </c>
      <c r="E186" s="3">
        <v>22783.933518005539</v>
      </c>
      <c r="F186" s="3">
        <v>822500</v>
      </c>
      <c r="G186" t="s">
        <v>1031</v>
      </c>
      <c r="H186" t="s">
        <v>1032</v>
      </c>
      <c r="I186" t="s">
        <v>1033</v>
      </c>
      <c r="J186" s="6">
        <v>5.6</v>
      </c>
      <c r="K186" t="s">
        <v>23</v>
      </c>
      <c r="L186" t="s">
        <v>24</v>
      </c>
      <c r="M186" s="2" t="s">
        <v>2561</v>
      </c>
      <c r="N186" t="s">
        <v>1034</v>
      </c>
      <c r="O186" t="s">
        <v>118</v>
      </c>
      <c r="P186" s="7" t="s">
        <v>2562</v>
      </c>
      <c r="Q186">
        <v>2662</v>
      </c>
      <c r="R186" s="6">
        <v>8.56</v>
      </c>
    </row>
    <row r="187" spans="1:18">
      <c r="A187" t="s">
        <v>790</v>
      </c>
      <c r="B187" s="1">
        <v>78.599999999999994</v>
      </c>
      <c r="C187" s="2" t="s">
        <v>2563</v>
      </c>
      <c r="D187" t="s">
        <v>1039</v>
      </c>
      <c r="E187" s="3">
        <v>35480.916030534347</v>
      </c>
      <c r="F187" s="3">
        <v>2788800</v>
      </c>
      <c r="G187" t="s">
        <v>1040</v>
      </c>
      <c r="H187" t="s">
        <v>1041</v>
      </c>
      <c r="I187" t="s">
        <v>1042</v>
      </c>
      <c r="J187" s="6">
        <v>13.61</v>
      </c>
      <c r="K187" t="s">
        <v>23</v>
      </c>
      <c r="L187" t="s">
        <v>24</v>
      </c>
      <c r="M187" s="2" t="s">
        <v>2564</v>
      </c>
      <c r="N187" t="s">
        <v>1043</v>
      </c>
      <c r="O187" t="s">
        <v>152</v>
      </c>
      <c r="P187" s="7" t="s">
        <v>2565</v>
      </c>
      <c r="Q187">
        <v>1814</v>
      </c>
      <c r="R187" s="6">
        <v>19.559999999999999</v>
      </c>
    </row>
    <row r="188" spans="1:18">
      <c r="A188" t="s">
        <v>1044</v>
      </c>
      <c r="B188" s="1">
        <v>22.1</v>
      </c>
      <c r="C188" s="2" t="s">
        <v>2566</v>
      </c>
      <c r="D188" t="s">
        <v>1045</v>
      </c>
      <c r="E188" s="3">
        <v>25983.009049773751</v>
      </c>
      <c r="F188" s="3">
        <v>574224.5</v>
      </c>
      <c r="G188" t="s">
        <v>1046</v>
      </c>
      <c r="H188" t="s">
        <v>1047</v>
      </c>
      <c r="I188" t="s">
        <v>1048</v>
      </c>
      <c r="J188" s="6">
        <v>42.18</v>
      </c>
      <c r="K188" t="s">
        <v>90</v>
      </c>
      <c r="L188" t="s">
        <v>24</v>
      </c>
      <c r="M188" s="2" t="s">
        <v>2567</v>
      </c>
      <c r="N188" t="s">
        <v>1049</v>
      </c>
      <c r="O188" t="s">
        <v>692</v>
      </c>
      <c r="P188" s="7" t="s">
        <v>2568</v>
      </c>
      <c r="Q188">
        <v>2123</v>
      </c>
      <c r="R188" s="6">
        <v>12.24</v>
      </c>
    </row>
    <row r="189" spans="1:18">
      <c r="A189" t="s">
        <v>1044</v>
      </c>
      <c r="B189" s="1">
        <v>536.29999999999995</v>
      </c>
      <c r="C189" s="2" t="s">
        <v>2569</v>
      </c>
      <c r="D189" t="s">
        <v>1050</v>
      </c>
      <c r="E189" s="3">
        <v>9734.9990676859979</v>
      </c>
      <c r="F189" s="3">
        <v>5220880</v>
      </c>
      <c r="G189" t="s">
        <v>1051</v>
      </c>
      <c r="H189" t="s">
        <v>1052</v>
      </c>
      <c r="I189" t="s">
        <v>1053</v>
      </c>
      <c r="J189" s="6">
        <v>2.96</v>
      </c>
      <c r="K189" t="s">
        <v>90</v>
      </c>
      <c r="L189" t="s">
        <v>24</v>
      </c>
      <c r="M189" s="2" t="s">
        <v>2570</v>
      </c>
      <c r="N189" t="s">
        <v>1054</v>
      </c>
      <c r="O189" t="s">
        <v>37</v>
      </c>
      <c r="P189" s="7" t="s">
        <v>2571</v>
      </c>
      <c r="Q189">
        <v>4522</v>
      </c>
      <c r="R189" s="6">
        <v>2.15</v>
      </c>
    </row>
    <row r="190" spans="1:18">
      <c r="A190" t="s">
        <v>1044</v>
      </c>
      <c r="B190" s="1">
        <v>150.80000000000001</v>
      </c>
      <c r="C190" s="2" t="s">
        <v>2572</v>
      </c>
      <c r="D190" t="s">
        <v>1055</v>
      </c>
      <c r="E190" s="3">
        <v>3448.2758620689651</v>
      </c>
      <c r="F190" s="3">
        <v>520000</v>
      </c>
      <c r="G190" t="s">
        <v>1056</v>
      </c>
      <c r="H190" t="s">
        <v>1057</v>
      </c>
      <c r="I190" t="s">
        <v>1058</v>
      </c>
      <c r="J190" s="6">
        <v>0.22</v>
      </c>
      <c r="K190" t="s">
        <v>592</v>
      </c>
      <c r="L190" t="s">
        <v>24</v>
      </c>
      <c r="M190" s="2" t="s">
        <v>2573</v>
      </c>
      <c r="N190" t="s">
        <v>1059</v>
      </c>
      <c r="O190" t="s">
        <v>125</v>
      </c>
      <c r="P190" s="7" t="s">
        <v>2574</v>
      </c>
      <c r="Q190">
        <v>1469</v>
      </c>
      <c r="R190" s="6">
        <v>2.35</v>
      </c>
    </row>
    <row r="191" spans="1:18">
      <c r="A191" t="s">
        <v>1044</v>
      </c>
      <c r="B191" s="1">
        <v>151.4</v>
      </c>
      <c r="C191" s="2" t="s">
        <v>2575</v>
      </c>
      <c r="D191" t="s">
        <v>1063</v>
      </c>
      <c r="E191" s="3">
        <v>64832.265521796573</v>
      </c>
      <c r="F191" s="3">
        <v>9815605</v>
      </c>
      <c r="G191" t="s">
        <v>1064</v>
      </c>
      <c r="H191" t="s">
        <v>1065</v>
      </c>
      <c r="I191" t="s">
        <v>1066</v>
      </c>
      <c r="J191" s="6">
        <v>23.57</v>
      </c>
      <c r="K191" t="s">
        <v>23</v>
      </c>
      <c r="L191" t="s">
        <v>24</v>
      </c>
      <c r="M191" s="2" t="s">
        <v>2576</v>
      </c>
      <c r="N191" t="s">
        <v>1067</v>
      </c>
      <c r="O191" t="s">
        <v>107</v>
      </c>
      <c r="P191" s="7" t="s">
        <v>2577</v>
      </c>
      <c r="Q191">
        <v>822</v>
      </c>
      <c r="R191" s="6">
        <v>78.87</v>
      </c>
    </row>
    <row r="192" spans="1:18">
      <c r="A192" t="s">
        <v>1044</v>
      </c>
      <c r="B192" s="1">
        <v>116.8</v>
      </c>
      <c r="C192" s="2" t="s">
        <v>2578</v>
      </c>
      <c r="D192" t="s">
        <v>1068</v>
      </c>
      <c r="E192" s="3">
        <v>42260.273972602743</v>
      </c>
      <c r="F192" s="3">
        <v>4936000</v>
      </c>
      <c r="G192" t="s">
        <v>1069</v>
      </c>
      <c r="H192" t="s">
        <v>1070</v>
      </c>
      <c r="J192" s="6">
        <v>5.89</v>
      </c>
      <c r="K192" t="s">
        <v>23</v>
      </c>
      <c r="L192" t="s">
        <v>24</v>
      </c>
      <c r="M192" s="2" t="s">
        <v>2579</v>
      </c>
      <c r="N192" t="s">
        <v>1071</v>
      </c>
      <c r="O192" t="s">
        <v>1072</v>
      </c>
      <c r="P192" s="7" t="s">
        <v>2580</v>
      </c>
      <c r="Q192">
        <v>3056</v>
      </c>
      <c r="R192" s="6">
        <v>13.83</v>
      </c>
    </row>
    <row r="193" spans="1:18">
      <c r="A193" t="s">
        <v>1044</v>
      </c>
      <c r="B193" s="1">
        <v>42.9</v>
      </c>
      <c r="C193" s="2" t="s">
        <v>2581</v>
      </c>
      <c r="D193" t="s">
        <v>1076</v>
      </c>
      <c r="E193" s="3">
        <v>25329.83682983683</v>
      </c>
      <c r="F193" s="3">
        <v>1086650</v>
      </c>
      <c r="G193" t="s">
        <v>1077</v>
      </c>
      <c r="H193" t="s">
        <v>1078</v>
      </c>
      <c r="I193" t="s">
        <v>1079</v>
      </c>
      <c r="J193" s="6">
        <v>19.440000000000001</v>
      </c>
      <c r="K193" t="s">
        <v>23</v>
      </c>
      <c r="L193" t="s">
        <v>24</v>
      </c>
      <c r="M193" s="2" t="s">
        <v>2582</v>
      </c>
      <c r="N193" t="s">
        <v>1080</v>
      </c>
      <c r="O193" t="s">
        <v>209</v>
      </c>
      <c r="P193" s="7" t="s">
        <v>2583</v>
      </c>
      <c r="Q193">
        <v>380</v>
      </c>
      <c r="R193" s="6">
        <v>66.66</v>
      </c>
    </row>
    <row r="194" spans="1:18">
      <c r="A194" t="s">
        <v>1044</v>
      </c>
      <c r="B194" s="1">
        <v>81.900000000000006</v>
      </c>
      <c r="C194" s="2" t="s">
        <v>2584</v>
      </c>
      <c r="D194" t="s">
        <v>1089</v>
      </c>
      <c r="E194" s="3">
        <v>22307.692307692301</v>
      </c>
      <c r="F194" s="3">
        <v>1827000</v>
      </c>
      <c r="G194" t="s">
        <v>1090</v>
      </c>
      <c r="H194" t="s">
        <v>1091</v>
      </c>
      <c r="I194" t="s">
        <v>1092</v>
      </c>
      <c r="J194" s="6">
        <v>41.31</v>
      </c>
      <c r="K194" t="s">
        <v>23</v>
      </c>
      <c r="L194" t="s">
        <v>24</v>
      </c>
      <c r="M194" s="2" t="s">
        <v>2585</v>
      </c>
      <c r="N194" t="s">
        <v>1093</v>
      </c>
      <c r="O194" t="s">
        <v>49</v>
      </c>
      <c r="P194" s="7" t="s">
        <v>2586</v>
      </c>
      <c r="Q194">
        <v>484</v>
      </c>
      <c r="R194" s="6">
        <v>46.09</v>
      </c>
    </row>
    <row r="195" spans="1:18">
      <c r="A195" t="s">
        <v>1044</v>
      </c>
      <c r="B195" s="1">
        <v>22.8</v>
      </c>
      <c r="C195" s="2" t="s">
        <v>2587</v>
      </c>
      <c r="D195" t="s">
        <v>1098</v>
      </c>
      <c r="E195" s="3">
        <v>30710.087719298241</v>
      </c>
      <c r="F195" s="3">
        <v>700190</v>
      </c>
      <c r="G195" t="s">
        <v>1099</v>
      </c>
      <c r="H195" t="s">
        <v>1100</v>
      </c>
      <c r="I195" t="s">
        <v>1101</v>
      </c>
      <c r="J195" s="6">
        <v>9.9</v>
      </c>
      <c r="K195" t="s">
        <v>23</v>
      </c>
      <c r="L195" t="s">
        <v>24</v>
      </c>
      <c r="M195" s="2" t="s">
        <v>2588</v>
      </c>
      <c r="N195" t="s">
        <v>1102</v>
      </c>
      <c r="O195" t="s">
        <v>1103</v>
      </c>
      <c r="P195" s="7" t="s">
        <v>2589</v>
      </c>
      <c r="Q195">
        <v>3751</v>
      </c>
      <c r="R195" s="6">
        <v>8.19</v>
      </c>
    </row>
    <row r="196" spans="1:18">
      <c r="A196" t="s">
        <v>290</v>
      </c>
      <c r="B196" s="1">
        <v>212.6</v>
      </c>
      <c r="C196" s="2" t="s">
        <v>2590</v>
      </c>
      <c r="D196" t="s">
        <v>1104</v>
      </c>
      <c r="E196" s="3">
        <v>2953.1044214487301</v>
      </c>
      <c r="F196" s="3">
        <v>627830</v>
      </c>
      <c r="G196" t="s">
        <v>1105</v>
      </c>
      <c r="H196" t="s">
        <v>1106</v>
      </c>
      <c r="I196" t="s">
        <v>1107</v>
      </c>
      <c r="J196" s="6">
        <v>2.8</v>
      </c>
      <c r="K196" t="s">
        <v>592</v>
      </c>
      <c r="L196" t="s">
        <v>24</v>
      </c>
      <c r="M196" s="2" t="s">
        <v>2591</v>
      </c>
      <c r="N196" t="s">
        <v>1108</v>
      </c>
      <c r="O196" t="s">
        <v>1109</v>
      </c>
      <c r="P196" s="7" t="s">
        <v>2592</v>
      </c>
      <c r="Q196">
        <v>2737</v>
      </c>
      <c r="R196" s="6">
        <v>1.08</v>
      </c>
    </row>
    <row r="197" spans="1:18">
      <c r="A197" t="s">
        <v>290</v>
      </c>
      <c r="B197" s="1">
        <v>30.3</v>
      </c>
      <c r="C197" s="2" t="s">
        <v>2593</v>
      </c>
      <c r="D197" t="s">
        <v>1110</v>
      </c>
      <c r="E197" s="3">
        <v>71242.574257425746</v>
      </c>
      <c r="F197" s="3">
        <v>2158650</v>
      </c>
      <c r="G197" t="s">
        <v>1111</v>
      </c>
      <c r="H197" t="s">
        <v>1112</v>
      </c>
      <c r="I197" t="s">
        <v>1113</v>
      </c>
      <c r="J197" s="6">
        <v>12.92</v>
      </c>
      <c r="K197" t="s">
        <v>23</v>
      </c>
      <c r="L197" t="s">
        <v>24</v>
      </c>
      <c r="M197" s="2" t="s">
        <v>2594</v>
      </c>
      <c r="N197" t="s">
        <v>1114</v>
      </c>
      <c r="O197" t="s">
        <v>682</v>
      </c>
      <c r="P197" s="7" t="s">
        <v>2595</v>
      </c>
      <c r="Q197">
        <v>298</v>
      </c>
      <c r="R197" s="6">
        <v>239.07</v>
      </c>
    </row>
    <row r="198" spans="1:18">
      <c r="A198" t="s">
        <v>1115</v>
      </c>
      <c r="B198" s="1">
        <v>293.39999999999998</v>
      </c>
      <c r="C198" s="2" t="s">
        <v>2596</v>
      </c>
      <c r="D198" t="s">
        <v>1116</v>
      </c>
      <c r="E198" s="3">
        <v>11711.997273346969</v>
      </c>
      <c r="F198" s="3">
        <v>3436300</v>
      </c>
      <c r="G198" t="s">
        <v>1117</v>
      </c>
      <c r="H198" t="s">
        <v>1118</v>
      </c>
      <c r="I198" t="s">
        <v>1119</v>
      </c>
      <c r="J198" s="6">
        <v>3.74</v>
      </c>
      <c r="K198" t="s">
        <v>23</v>
      </c>
      <c r="L198" t="s">
        <v>24</v>
      </c>
      <c r="M198" s="2" t="s">
        <v>2597</v>
      </c>
      <c r="N198" t="s">
        <v>1120</v>
      </c>
      <c r="O198" t="s">
        <v>430</v>
      </c>
      <c r="P198" s="7" t="s">
        <v>2598</v>
      </c>
      <c r="Q198">
        <v>4339</v>
      </c>
      <c r="R198" s="6">
        <v>2.7</v>
      </c>
    </row>
    <row r="199" spans="1:18">
      <c r="A199" t="s">
        <v>1115</v>
      </c>
      <c r="B199" s="1">
        <v>515.5</v>
      </c>
      <c r="C199" s="2" t="s">
        <v>2599</v>
      </c>
      <c r="D199" t="s">
        <v>1121</v>
      </c>
      <c r="E199" s="3">
        <v>1180.3491755577111</v>
      </c>
      <c r="F199" s="3">
        <v>608470</v>
      </c>
      <c r="G199" t="s">
        <v>1122</v>
      </c>
      <c r="H199" t="s">
        <v>1123</v>
      </c>
      <c r="I199" t="s">
        <v>1124</v>
      </c>
      <c r="J199" s="6">
        <v>2.2599999999999998</v>
      </c>
      <c r="K199" t="s">
        <v>23</v>
      </c>
      <c r="L199" t="s">
        <v>24</v>
      </c>
      <c r="M199" s="2" t="s">
        <v>2600</v>
      </c>
      <c r="N199" t="s">
        <v>1125</v>
      </c>
      <c r="O199" t="s">
        <v>67</v>
      </c>
      <c r="P199" s="7" t="s">
        <v>2601</v>
      </c>
      <c r="Q199">
        <v>983</v>
      </c>
      <c r="R199" s="6">
        <v>1.2</v>
      </c>
    </row>
    <row r="200" spans="1:18">
      <c r="A200" t="s">
        <v>1115</v>
      </c>
      <c r="B200" s="1">
        <v>140.5</v>
      </c>
      <c r="C200" s="2" t="s">
        <v>2602</v>
      </c>
      <c r="D200" t="s">
        <v>1126</v>
      </c>
      <c r="E200" s="3">
        <v>13928.825622775799</v>
      </c>
      <c r="F200" s="3">
        <v>1957000</v>
      </c>
      <c r="G200" t="s">
        <v>1127</v>
      </c>
      <c r="H200" t="s">
        <v>1128</v>
      </c>
      <c r="I200" t="s">
        <v>1129</v>
      </c>
      <c r="J200" s="6">
        <v>211.04</v>
      </c>
      <c r="K200" t="s">
        <v>23</v>
      </c>
      <c r="L200" t="s">
        <v>24</v>
      </c>
      <c r="M200" s="2" t="s">
        <v>2603</v>
      </c>
      <c r="N200" t="s">
        <v>1130</v>
      </c>
      <c r="O200" t="s">
        <v>79</v>
      </c>
      <c r="P200" s="7" t="s">
        <v>2604</v>
      </c>
      <c r="Q200">
        <v>4728</v>
      </c>
      <c r="R200" s="6">
        <v>2.95</v>
      </c>
    </row>
    <row r="201" spans="1:18">
      <c r="A201" t="s">
        <v>1115</v>
      </c>
      <c r="B201" s="1">
        <v>72.099999999999994</v>
      </c>
      <c r="C201" s="2" t="s">
        <v>2605</v>
      </c>
      <c r="D201" t="s">
        <v>1131</v>
      </c>
      <c r="E201" s="3">
        <v>21317.614424410542</v>
      </c>
      <c r="F201" s="3">
        <v>1537000</v>
      </c>
      <c r="G201" t="s">
        <v>1132</v>
      </c>
      <c r="H201" t="s">
        <v>1128</v>
      </c>
      <c r="I201" t="s">
        <v>1133</v>
      </c>
      <c r="J201" s="6">
        <v>15.86</v>
      </c>
      <c r="K201" t="s">
        <v>23</v>
      </c>
      <c r="L201" t="s">
        <v>24</v>
      </c>
      <c r="M201" s="2" t="s">
        <v>2606</v>
      </c>
      <c r="N201" t="s">
        <v>1134</v>
      </c>
      <c r="O201" t="s">
        <v>37</v>
      </c>
      <c r="P201" s="7" t="s">
        <v>2607</v>
      </c>
      <c r="Q201">
        <v>4398</v>
      </c>
      <c r="R201" s="6">
        <v>4.8499999999999996</v>
      </c>
    </row>
    <row r="202" spans="1:18">
      <c r="A202" t="s">
        <v>403</v>
      </c>
      <c r="B202" s="1">
        <v>449.7</v>
      </c>
      <c r="C202" s="2" t="s">
        <v>2608</v>
      </c>
      <c r="D202" t="s">
        <v>1135</v>
      </c>
      <c r="E202" s="3">
        <v>7827.4405158994887</v>
      </c>
      <c r="F202" s="3">
        <v>3520000</v>
      </c>
      <c r="G202" t="s">
        <v>1136</v>
      </c>
      <c r="H202" t="s">
        <v>1137</v>
      </c>
      <c r="I202" t="s">
        <v>1138</v>
      </c>
      <c r="J202" s="6">
        <v>2.61</v>
      </c>
      <c r="K202" t="s">
        <v>23</v>
      </c>
      <c r="L202" t="s">
        <v>24</v>
      </c>
      <c r="M202" s="2" t="s">
        <v>2609</v>
      </c>
      <c r="N202" t="s">
        <v>1139</v>
      </c>
      <c r="O202" t="s">
        <v>178</v>
      </c>
      <c r="P202" s="7" t="s">
        <v>2610</v>
      </c>
      <c r="Q202">
        <v>578</v>
      </c>
      <c r="R202" s="6">
        <v>13.54</v>
      </c>
    </row>
    <row r="203" spans="1:18">
      <c r="A203" t="s">
        <v>403</v>
      </c>
      <c r="B203" s="1">
        <v>73.2</v>
      </c>
      <c r="C203" s="2" t="s">
        <v>2611</v>
      </c>
      <c r="D203" t="s">
        <v>1144</v>
      </c>
      <c r="E203" s="3">
        <v>26369.945355191259</v>
      </c>
      <c r="F203" s="3">
        <v>1930280</v>
      </c>
      <c r="G203" t="s">
        <v>1145</v>
      </c>
      <c r="H203" t="s">
        <v>1146</v>
      </c>
      <c r="I203" t="s">
        <v>1147</v>
      </c>
      <c r="J203" s="6">
        <v>5.89</v>
      </c>
      <c r="K203" t="s">
        <v>23</v>
      </c>
      <c r="L203" t="s">
        <v>24</v>
      </c>
      <c r="M203" s="2" t="s">
        <v>2612</v>
      </c>
      <c r="N203" t="s">
        <v>1148</v>
      </c>
      <c r="O203" t="s">
        <v>234</v>
      </c>
      <c r="P203" s="7" t="s">
        <v>2613</v>
      </c>
      <c r="Q203">
        <v>3647</v>
      </c>
      <c r="R203" s="6">
        <v>7.23</v>
      </c>
    </row>
    <row r="204" spans="1:18">
      <c r="A204" t="s">
        <v>1149</v>
      </c>
      <c r="B204" s="1">
        <v>179.7</v>
      </c>
      <c r="C204" s="2" t="s">
        <v>2614</v>
      </c>
      <c r="D204" t="s">
        <v>1150</v>
      </c>
      <c r="E204" s="3">
        <v>3338.8981636060098</v>
      </c>
      <c r="F204" s="3">
        <v>600000</v>
      </c>
      <c r="G204" t="s">
        <v>1151</v>
      </c>
      <c r="H204" t="s">
        <v>1152</v>
      </c>
      <c r="I204" t="s">
        <v>1153</v>
      </c>
      <c r="J204" s="6">
        <v>13.74</v>
      </c>
      <c r="K204" t="s">
        <v>23</v>
      </c>
      <c r="L204" t="s">
        <v>24</v>
      </c>
      <c r="M204" s="2" t="s">
        <v>2615</v>
      </c>
      <c r="N204" t="s">
        <v>697</v>
      </c>
      <c r="O204" t="s">
        <v>49</v>
      </c>
      <c r="P204" s="7" t="s">
        <v>2616</v>
      </c>
      <c r="Q204">
        <v>233</v>
      </c>
      <c r="R204" s="6">
        <v>14.33</v>
      </c>
    </row>
    <row r="205" spans="1:18">
      <c r="A205" t="s">
        <v>1149</v>
      </c>
      <c r="B205" s="1">
        <v>69.8</v>
      </c>
      <c r="C205" s="2" t="s">
        <v>2617</v>
      </c>
      <c r="D205" t="s">
        <v>1158</v>
      </c>
      <c r="E205" s="3">
        <v>22592.76504297994</v>
      </c>
      <c r="F205" s="3">
        <v>1576975</v>
      </c>
      <c r="G205" t="s">
        <v>1159</v>
      </c>
      <c r="H205" t="s">
        <v>1160</v>
      </c>
      <c r="I205" t="s">
        <v>1161</v>
      </c>
      <c r="J205" s="6">
        <v>21.83</v>
      </c>
      <c r="K205" t="s">
        <v>23</v>
      </c>
      <c r="L205" t="s">
        <v>24</v>
      </c>
      <c r="M205" s="2" t="s">
        <v>2618</v>
      </c>
      <c r="N205" t="s">
        <v>1162</v>
      </c>
      <c r="O205" t="s">
        <v>291</v>
      </c>
      <c r="P205" s="7" t="s">
        <v>2619</v>
      </c>
      <c r="Q205">
        <v>1939</v>
      </c>
      <c r="R205" s="6">
        <v>11.65</v>
      </c>
    </row>
    <row r="206" spans="1:18">
      <c r="A206" t="s">
        <v>1163</v>
      </c>
      <c r="B206" s="1">
        <v>90.6</v>
      </c>
      <c r="C206" s="2" t="s">
        <v>2620</v>
      </c>
      <c r="D206" t="s">
        <v>1164</v>
      </c>
      <c r="E206" s="3">
        <v>11389.152869757179</v>
      </c>
      <c r="F206" s="3">
        <v>1031857.25</v>
      </c>
      <c r="G206" t="s">
        <v>1165</v>
      </c>
      <c r="H206" t="s">
        <v>1166</v>
      </c>
      <c r="I206" t="s">
        <v>1167</v>
      </c>
      <c r="J206" s="6">
        <v>84.36</v>
      </c>
      <c r="K206" t="s">
        <v>90</v>
      </c>
      <c r="L206" t="s">
        <v>24</v>
      </c>
      <c r="M206" s="2" t="s">
        <v>2621</v>
      </c>
      <c r="N206" t="s">
        <v>328</v>
      </c>
      <c r="O206" t="s">
        <v>79</v>
      </c>
      <c r="P206" s="7" t="s">
        <v>2622</v>
      </c>
      <c r="Q206">
        <v>1561</v>
      </c>
      <c r="R206" s="6">
        <v>7.3</v>
      </c>
    </row>
    <row r="207" spans="1:18">
      <c r="A207" t="s">
        <v>1163</v>
      </c>
      <c r="B207" s="1">
        <v>89.5</v>
      </c>
      <c r="C207" s="2" t="s">
        <v>2623</v>
      </c>
      <c r="D207" t="s">
        <v>1168</v>
      </c>
      <c r="E207" s="3">
        <v>16502.793296089381</v>
      </c>
      <c r="F207" s="3">
        <v>1477000</v>
      </c>
      <c r="G207" t="s">
        <v>1169</v>
      </c>
      <c r="H207" t="s">
        <v>1170</v>
      </c>
      <c r="I207" t="s">
        <v>1171</v>
      </c>
      <c r="J207" s="6">
        <v>45.46</v>
      </c>
      <c r="K207" t="s">
        <v>23</v>
      </c>
      <c r="L207" t="s">
        <v>24</v>
      </c>
      <c r="M207" s="2" t="s">
        <v>2624</v>
      </c>
      <c r="N207" t="s">
        <v>1172</v>
      </c>
      <c r="O207" t="s">
        <v>152</v>
      </c>
      <c r="P207" s="7" t="s">
        <v>2625</v>
      </c>
      <c r="Q207">
        <v>1947</v>
      </c>
      <c r="R207" s="6">
        <v>8.48</v>
      </c>
    </row>
    <row r="208" spans="1:18">
      <c r="A208" t="s">
        <v>1163</v>
      </c>
      <c r="B208" s="1">
        <v>101</v>
      </c>
      <c r="C208" s="2" t="s">
        <v>2626</v>
      </c>
      <c r="D208" t="s">
        <v>1173</v>
      </c>
      <c r="E208" s="3">
        <v>13630</v>
      </c>
      <c r="F208" s="3">
        <v>1376630</v>
      </c>
      <c r="G208" t="s">
        <v>1174</v>
      </c>
      <c r="H208" t="s">
        <v>1175</v>
      </c>
      <c r="J208" s="6">
        <v>13.48</v>
      </c>
      <c r="K208" t="s">
        <v>23</v>
      </c>
      <c r="L208" t="s">
        <v>24</v>
      </c>
      <c r="M208" s="2" t="s">
        <v>2627</v>
      </c>
      <c r="N208" t="s">
        <v>1176</v>
      </c>
      <c r="O208" t="s">
        <v>18</v>
      </c>
      <c r="P208" s="7" t="s">
        <v>2628</v>
      </c>
      <c r="Q208">
        <v>689</v>
      </c>
      <c r="R208" s="6">
        <v>19.78</v>
      </c>
    </row>
    <row r="209" spans="1:18">
      <c r="A209" t="s">
        <v>1177</v>
      </c>
      <c r="B209" s="1">
        <v>137.6</v>
      </c>
      <c r="C209" s="2" t="s">
        <v>2629</v>
      </c>
      <c r="D209" t="s">
        <v>1178</v>
      </c>
      <c r="E209" s="3">
        <v>8997.0930232558148</v>
      </c>
      <c r="F209" s="3">
        <v>1238000</v>
      </c>
      <c r="G209" t="s">
        <v>1179</v>
      </c>
      <c r="H209" t="s">
        <v>1180</v>
      </c>
      <c r="I209" t="s">
        <v>1181</v>
      </c>
      <c r="J209" s="6">
        <v>5.21</v>
      </c>
      <c r="K209" t="s">
        <v>23</v>
      </c>
      <c r="L209" t="s">
        <v>24</v>
      </c>
      <c r="M209" s="2" t="s">
        <v>2630</v>
      </c>
      <c r="N209" t="s">
        <v>1182</v>
      </c>
      <c r="O209" t="s">
        <v>18</v>
      </c>
      <c r="P209" s="7" t="s">
        <v>2631</v>
      </c>
      <c r="Q209">
        <v>1175</v>
      </c>
      <c r="R209" s="6">
        <v>7.66</v>
      </c>
    </row>
    <row r="210" spans="1:18">
      <c r="A210" t="s">
        <v>1177</v>
      </c>
      <c r="B210" s="1">
        <v>90.1</v>
      </c>
      <c r="C210" s="2" t="s">
        <v>2632</v>
      </c>
      <c r="D210" t="s">
        <v>1183</v>
      </c>
      <c r="E210" s="3">
        <v>23985.049167591569</v>
      </c>
      <c r="F210" s="3">
        <v>2161052.9300000002</v>
      </c>
      <c r="G210" t="s">
        <v>1184</v>
      </c>
      <c r="H210" t="s">
        <v>1185</v>
      </c>
      <c r="I210" t="s">
        <v>1186</v>
      </c>
      <c r="J210" s="6">
        <v>5.9</v>
      </c>
      <c r="K210" t="s">
        <v>23</v>
      </c>
      <c r="L210" t="s">
        <v>35</v>
      </c>
      <c r="M210" s="2" t="s">
        <v>2633</v>
      </c>
      <c r="N210" t="s">
        <v>1187</v>
      </c>
      <c r="O210" t="s">
        <v>508</v>
      </c>
      <c r="P210" s="7" t="s">
        <v>2634</v>
      </c>
      <c r="Q210">
        <v>1381</v>
      </c>
      <c r="R210" s="6">
        <v>17.37</v>
      </c>
    </row>
    <row r="211" spans="1:18">
      <c r="A211" t="s">
        <v>1177</v>
      </c>
      <c r="B211" s="1">
        <v>308</v>
      </c>
      <c r="C211" s="2" t="s">
        <v>2635</v>
      </c>
      <c r="D211" t="s">
        <v>1188</v>
      </c>
      <c r="E211" s="3">
        <v>2344.1558441558441</v>
      </c>
      <c r="F211" s="3">
        <v>722000</v>
      </c>
      <c r="G211" t="s">
        <v>1189</v>
      </c>
      <c r="H211" t="s">
        <v>1190</v>
      </c>
      <c r="I211" t="s">
        <v>1191</v>
      </c>
      <c r="J211" s="6">
        <v>4.32</v>
      </c>
      <c r="K211" t="s">
        <v>90</v>
      </c>
      <c r="L211" t="s">
        <v>24</v>
      </c>
      <c r="M211" s="2" t="s">
        <v>2636</v>
      </c>
      <c r="N211" t="s">
        <v>333</v>
      </c>
      <c r="O211" t="s">
        <v>18</v>
      </c>
      <c r="P211" s="7" t="s">
        <v>2637</v>
      </c>
      <c r="Q211">
        <v>414</v>
      </c>
      <c r="R211" s="6">
        <v>5.66</v>
      </c>
    </row>
    <row r="212" spans="1:18">
      <c r="A212" t="s">
        <v>1177</v>
      </c>
      <c r="B212" s="1">
        <v>144.69999999999999</v>
      </c>
      <c r="C212" s="2" t="s">
        <v>2638</v>
      </c>
      <c r="D212" t="s">
        <v>1192</v>
      </c>
      <c r="E212" s="3">
        <v>11610.22805805114</v>
      </c>
      <c r="F212" s="3">
        <v>1680000</v>
      </c>
      <c r="G212" t="s">
        <v>1193</v>
      </c>
      <c r="H212" t="s">
        <v>1194</v>
      </c>
      <c r="I212" t="s">
        <v>1195</v>
      </c>
      <c r="J212" s="6">
        <v>11.24</v>
      </c>
      <c r="K212" t="s">
        <v>23</v>
      </c>
      <c r="L212" t="s">
        <v>24</v>
      </c>
      <c r="M212" s="2" t="s">
        <v>2639</v>
      </c>
      <c r="N212" t="s">
        <v>1196</v>
      </c>
      <c r="O212" t="s">
        <v>118</v>
      </c>
      <c r="P212" s="7" t="s">
        <v>2640</v>
      </c>
      <c r="Q212">
        <v>2817</v>
      </c>
      <c r="R212" s="6">
        <v>4.12</v>
      </c>
    </row>
    <row r="213" spans="1:18">
      <c r="A213" t="s">
        <v>508</v>
      </c>
      <c r="B213" s="1">
        <v>141.19999999999999</v>
      </c>
      <c r="C213" s="2" t="s">
        <v>2641</v>
      </c>
      <c r="D213" t="s">
        <v>1197</v>
      </c>
      <c r="E213" s="3">
        <v>7790.368271954675</v>
      </c>
      <c r="F213" s="3">
        <v>1100000</v>
      </c>
      <c r="G213" t="s">
        <v>1198</v>
      </c>
      <c r="H213" t="s">
        <v>1199</v>
      </c>
      <c r="I213" t="s">
        <v>1200</v>
      </c>
      <c r="J213" s="6">
        <v>21.11</v>
      </c>
      <c r="K213" t="s">
        <v>90</v>
      </c>
      <c r="L213" t="s">
        <v>24</v>
      </c>
      <c r="M213" s="2" t="s">
        <v>2642</v>
      </c>
      <c r="N213" t="s">
        <v>1201</v>
      </c>
      <c r="O213" t="s">
        <v>55</v>
      </c>
      <c r="P213" s="7" t="s">
        <v>2643</v>
      </c>
      <c r="Q213">
        <v>508</v>
      </c>
      <c r="R213" s="6">
        <v>15.34</v>
      </c>
    </row>
    <row r="214" spans="1:18">
      <c r="A214" t="s">
        <v>508</v>
      </c>
      <c r="B214" s="1">
        <v>662.3</v>
      </c>
      <c r="C214" s="2" t="s">
        <v>2644</v>
      </c>
      <c r="D214" t="s">
        <v>1202</v>
      </c>
      <c r="E214" s="3">
        <v>3774.724445115507</v>
      </c>
      <c r="F214" s="3">
        <v>2500000</v>
      </c>
      <c r="G214" t="s">
        <v>1203</v>
      </c>
      <c r="H214" t="s">
        <v>1204</v>
      </c>
      <c r="I214" t="s">
        <v>1205</v>
      </c>
      <c r="J214" s="6">
        <v>3</v>
      </c>
      <c r="K214" t="s">
        <v>90</v>
      </c>
      <c r="L214" t="s">
        <v>24</v>
      </c>
      <c r="M214" s="2" t="s">
        <v>2645</v>
      </c>
      <c r="N214" t="s">
        <v>1206</v>
      </c>
      <c r="O214" t="s">
        <v>498</v>
      </c>
      <c r="P214" s="7" t="s">
        <v>2646</v>
      </c>
      <c r="Q214">
        <v>2162</v>
      </c>
      <c r="R214" s="6">
        <v>1.75</v>
      </c>
    </row>
    <row r="215" spans="1:18">
      <c r="A215" t="s">
        <v>508</v>
      </c>
      <c r="B215" s="1">
        <v>91.4</v>
      </c>
      <c r="C215" s="2" t="s">
        <v>2647</v>
      </c>
      <c r="D215" t="s">
        <v>1207</v>
      </c>
      <c r="E215" s="3">
        <v>10503.282275711161</v>
      </c>
      <c r="F215" s="3">
        <v>960000</v>
      </c>
      <c r="G215" t="s">
        <v>1208</v>
      </c>
      <c r="H215" t="s">
        <v>1209</v>
      </c>
      <c r="I215" t="s">
        <v>1210</v>
      </c>
      <c r="J215" s="6">
        <v>2.95</v>
      </c>
      <c r="K215" t="s">
        <v>23</v>
      </c>
      <c r="L215" t="s">
        <v>24</v>
      </c>
      <c r="M215" s="2" t="s">
        <v>2648</v>
      </c>
      <c r="N215" t="s">
        <v>1211</v>
      </c>
      <c r="O215" t="s">
        <v>67</v>
      </c>
      <c r="P215" s="7" t="s">
        <v>2649</v>
      </c>
      <c r="Q215">
        <v>1316</v>
      </c>
      <c r="R215" s="6">
        <v>7.98</v>
      </c>
    </row>
    <row r="216" spans="1:18">
      <c r="A216" t="s">
        <v>508</v>
      </c>
      <c r="B216" s="1">
        <v>205.3</v>
      </c>
      <c r="C216" s="2" t="s">
        <v>2650</v>
      </c>
      <c r="D216" t="s">
        <v>1212</v>
      </c>
      <c r="E216" s="3">
        <v>7837.3112518265943</v>
      </c>
      <c r="F216" s="3">
        <v>1609000</v>
      </c>
      <c r="G216" t="s">
        <v>1213</v>
      </c>
      <c r="H216" t="s">
        <v>1214</v>
      </c>
      <c r="I216" t="s">
        <v>1215</v>
      </c>
      <c r="J216" s="6">
        <v>2.68</v>
      </c>
      <c r="K216" t="s">
        <v>23</v>
      </c>
      <c r="L216" t="s">
        <v>24</v>
      </c>
      <c r="M216" s="2" t="s">
        <v>2651</v>
      </c>
      <c r="N216" t="s">
        <v>1216</v>
      </c>
      <c r="O216" t="s">
        <v>291</v>
      </c>
      <c r="P216" s="7" t="s">
        <v>2652</v>
      </c>
      <c r="Q216">
        <v>928</v>
      </c>
      <c r="R216" s="6">
        <v>8.4499999999999993</v>
      </c>
    </row>
    <row r="217" spans="1:18">
      <c r="A217" t="s">
        <v>508</v>
      </c>
      <c r="B217" s="1">
        <v>128.9</v>
      </c>
      <c r="C217" s="2" t="s">
        <v>2653</v>
      </c>
      <c r="D217" t="s">
        <v>1217</v>
      </c>
      <c r="E217" s="3">
        <v>6749.4181536074466</v>
      </c>
      <c r="F217" s="3">
        <v>870000</v>
      </c>
      <c r="G217" t="s">
        <v>1218</v>
      </c>
      <c r="H217" t="s">
        <v>1219</v>
      </c>
      <c r="I217" t="s">
        <v>1220</v>
      </c>
      <c r="J217" s="6">
        <v>1.93</v>
      </c>
      <c r="K217" t="s">
        <v>23</v>
      </c>
      <c r="L217" t="s">
        <v>24</v>
      </c>
      <c r="M217" s="2" t="s">
        <v>2654</v>
      </c>
      <c r="N217" t="s">
        <v>1221</v>
      </c>
      <c r="O217" t="s">
        <v>73</v>
      </c>
      <c r="P217" s="7" t="s">
        <v>2655</v>
      </c>
      <c r="Q217">
        <v>3423</v>
      </c>
      <c r="R217" s="6">
        <v>1.97</v>
      </c>
    </row>
    <row r="218" spans="1:18">
      <c r="A218" t="s">
        <v>508</v>
      </c>
      <c r="B218" s="1">
        <v>319.3</v>
      </c>
      <c r="C218" s="2" t="s">
        <v>2656</v>
      </c>
      <c r="D218" t="s">
        <v>1222</v>
      </c>
      <c r="E218" s="3">
        <v>5693.7049796429692</v>
      </c>
      <c r="F218" s="3">
        <v>1818000</v>
      </c>
      <c r="G218" t="s">
        <v>1223</v>
      </c>
      <c r="H218" t="s">
        <v>1224</v>
      </c>
      <c r="I218" t="s">
        <v>1225</v>
      </c>
      <c r="J218" s="6">
        <v>1.83</v>
      </c>
      <c r="K218" t="s">
        <v>23</v>
      </c>
      <c r="L218" t="s">
        <v>24</v>
      </c>
      <c r="M218" s="2" t="s">
        <v>2657</v>
      </c>
      <c r="N218" t="s">
        <v>1226</v>
      </c>
      <c r="O218" t="s">
        <v>55</v>
      </c>
      <c r="P218" s="7" t="s">
        <v>2658</v>
      </c>
      <c r="Q218">
        <v>1064</v>
      </c>
      <c r="R218" s="6">
        <v>5.35</v>
      </c>
    </row>
    <row r="219" spans="1:18">
      <c r="A219" t="s">
        <v>508</v>
      </c>
      <c r="B219" s="1">
        <v>110.2</v>
      </c>
      <c r="C219" s="2" t="s">
        <v>2659</v>
      </c>
      <c r="D219" t="s">
        <v>1227</v>
      </c>
      <c r="E219" s="3">
        <v>16243.194192377499</v>
      </c>
      <c r="F219" s="3">
        <v>1790000</v>
      </c>
      <c r="G219" t="s">
        <v>1228</v>
      </c>
      <c r="H219" t="s">
        <v>1229</v>
      </c>
      <c r="I219" t="s">
        <v>1230</v>
      </c>
      <c r="J219" s="6">
        <v>3.03</v>
      </c>
      <c r="K219" t="s">
        <v>23</v>
      </c>
      <c r="L219" t="s">
        <v>24</v>
      </c>
      <c r="M219" s="2" t="s">
        <v>2660</v>
      </c>
      <c r="N219" t="s">
        <v>1231</v>
      </c>
      <c r="O219" t="s">
        <v>716</v>
      </c>
      <c r="P219" s="7" t="s">
        <v>2661</v>
      </c>
      <c r="Q219">
        <v>727</v>
      </c>
      <c r="R219" s="6">
        <v>22.34</v>
      </c>
    </row>
    <row r="220" spans="1:18">
      <c r="A220" t="s">
        <v>508</v>
      </c>
      <c r="B220" s="1">
        <v>48.5</v>
      </c>
      <c r="C220" s="2" t="s">
        <v>2662</v>
      </c>
      <c r="D220" t="s">
        <v>1232</v>
      </c>
      <c r="E220" s="3">
        <v>16494.84536082474</v>
      </c>
      <c r="F220" s="3">
        <v>800000</v>
      </c>
      <c r="G220" t="s">
        <v>1233</v>
      </c>
      <c r="H220" t="s">
        <v>1234</v>
      </c>
      <c r="I220" t="s">
        <v>1235</v>
      </c>
      <c r="J220" s="6">
        <v>2.4500000000000002</v>
      </c>
      <c r="K220" t="s">
        <v>23</v>
      </c>
      <c r="L220" t="s">
        <v>24</v>
      </c>
      <c r="M220" s="2" t="s">
        <v>2663</v>
      </c>
      <c r="N220" t="s">
        <v>1236</v>
      </c>
      <c r="O220" t="s">
        <v>107</v>
      </c>
      <c r="P220" s="7" t="s">
        <v>2664</v>
      </c>
      <c r="Q220">
        <v>1812</v>
      </c>
      <c r="R220" s="6">
        <v>9.1</v>
      </c>
    </row>
    <row r="221" spans="1:18">
      <c r="A221" t="s">
        <v>508</v>
      </c>
      <c r="B221" s="1">
        <v>78.2</v>
      </c>
      <c r="C221" s="2" t="s">
        <v>2665</v>
      </c>
      <c r="D221" t="s">
        <v>1237</v>
      </c>
      <c r="E221" s="3">
        <v>8343.9897698209716</v>
      </c>
      <c r="F221" s="3">
        <v>652500</v>
      </c>
      <c r="G221" t="s">
        <v>1238</v>
      </c>
      <c r="H221" t="s">
        <v>1234</v>
      </c>
      <c r="I221" t="s">
        <v>1239</v>
      </c>
      <c r="J221" s="6">
        <v>2.38</v>
      </c>
      <c r="K221" t="s">
        <v>23</v>
      </c>
      <c r="L221" t="s">
        <v>24</v>
      </c>
      <c r="M221" s="2" t="s">
        <v>2666</v>
      </c>
      <c r="N221" t="s">
        <v>1240</v>
      </c>
      <c r="O221" t="s">
        <v>118</v>
      </c>
      <c r="P221" s="7" t="s">
        <v>2667</v>
      </c>
      <c r="Q221">
        <v>1653</v>
      </c>
      <c r="R221" s="6">
        <v>5.05</v>
      </c>
    </row>
    <row r="222" spans="1:18">
      <c r="A222" t="s">
        <v>508</v>
      </c>
      <c r="B222" s="1">
        <v>199.6</v>
      </c>
      <c r="C222" s="2" t="s">
        <v>2668</v>
      </c>
      <c r="D222" t="s">
        <v>1241</v>
      </c>
      <c r="E222" s="3">
        <v>32089.17835671343</v>
      </c>
      <c r="F222" s="3">
        <v>6405000</v>
      </c>
      <c r="G222" t="s">
        <v>1242</v>
      </c>
      <c r="H222" t="s">
        <v>1234</v>
      </c>
      <c r="I222" t="s">
        <v>1243</v>
      </c>
      <c r="J222" s="6">
        <v>3.55</v>
      </c>
      <c r="K222" t="s">
        <v>23</v>
      </c>
      <c r="L222" t="s">
        <v>24</v>
      </c>
      <c r="M222" s="2" t="s">
        <v>2669</v>
      </c>
      <c r="N222" t="s">
        <v>1244</v>
      </c>
      <c r="O222" t="s">
        <v>498</v>
      </c>
      <c r="P222" s="7" t="s">
        <v>2670</v>
      </c>
      <c r="Q222">
        <v>1456</v>
      </c>
      <c r="R222" s="6">
        <v>22.04</v>
      </c>
    </row>
    <row r="223" spans="1:18">
      <c r="A223" t="s">
        <v>508</v>
      </c>
      <c r="B223" s="1">
        <v>11.5</v>
      </c>
      <c r="C223" s="2" t="s">
        <v>2671</v>
      </c>
      <c r="D223" t="s">
        <v>1245</v>
      </c>
      <c r="E223" s="3">
        <v>176956.5217391304</v>
      </c>
      <c r="F223" s="3">
        <v>2035000</v>
      </c>
      <c r="G223" t="s">
        <v>1246</v>
      </c>
      <c r="H223" t="s">
        <v>1234</v>
      </c>
      <c r="I223" t="s">
        <v>1247</v>
      </c>
      <c r="J223" s="6">
        <v>26.95</v>
      </c>
      <c r="K223" t="s">
        <v>23</v>
      </c>
      <c r="L223" t="s">
        <v>24</v>
      </c>
      <c r="M223" s="2" t="s">
        <v>2672</v>
      </c>
      <c r="N223" t="s">
        <v>1248</v>
      </c>
      <c r="O223" t="s">
        <v>92</v>
      </c>
      <c r="P223" s="7" t="s">
        <v>2673</v>
      </c>
      <c r="Q223">
        <v>551</v>
      </c>
      <c r="R223" s="6">
        <v>321.16000000000003</v>
      </c>
    </row>
    <row r="224" spans="1:18">
      <c r="A224" t="s">
        <v>508</v>
      </c>
      <c r="B224" s="1">
        <v>12.8</v>
      </c>
      <c r="C224" s="2" t="s">
        <v>2674</v>
      </c>
      <c r="D224" t="s">
        <v>1249</v>
      </c>
      <c r="E224" s="3">
        <v>185156.25</v>
      </c>
      <c r="F224" s="3">
        <v>2370000</v>
      </c>
      <c r="G224" t="s">
        <v>1250</v>
      </c>
      <c r="H224" t="s">
        <v>709</v>
      </c>
      <c r="I224" t="s">
        <v>1251</v>
      </c>
      <c r="J224" s="6">
        <v>21.14</v>
      </c>
      <c r="K224" t="s">
        <v>23</v>
      </c>
      <c r="L224" t="s">
        <v>24</v>
      </c>
      <c r="M224" s="2" t="s">
        <v>2675</v>
      </c>
      <c r="N224" t="s">
        <v>1252</v>
      </c>
      <c r="O224" t="s">
        <v>1044</v>
      </c>
      <c r="P224" s="7" t="s">
        <v>2676</v>
      </c>
      <c r="Q224">
        <v>3496</v>
      </c>
      <c r="R224" s="6">
        <v>52.96</v>
      </c>
    </row>
    <row r="225" spans="1:18">
      <c r="A225" t="s">
        <v>222</v>
      </c>
      <c r="B225" s="1">
        <v>219</v>
      </c>
      <c r="C225" s="2" t="s">
        <v>2677</v>
      </c>
      <c r="D225" t="s">
        <v>1255</v>
      </c>
      <c r="E225" s="3">
        <v>8245.2054794520554</v>
      </c>
      <c r="F225" s="3">
        <v>1805700</v>
      </c>
      <c r="G225" t="s">
        <v>1256</v>
      </c>
      <c r="H225" t="s">
        <v>1257</v>
      </c>
      <c r="I225" t="s">
        <v>1258</v>
      </c>
      <c r="J225" s="6">
        <v>4.1100000000000003</v>
      </c>
      <c r="K225" t="s">
        <v>23</v>
      </c>
      <c r="L225" t="s">
        <v>24</v>
      </c>
      <c r="M225" s="2" t="s">
        <v>2678</v>
      </c>
      <c r="N225" t="s">
        <v>1259</v>
      </c>
      <c r="O225" t="s">
        <v>1109</v>
      </c>
      <c r="P225" s="7" t="s">
        <v>2679</v>
      </c>
      <c r="Q225">
        <v>238</v>
      </c>
      <c r="R225" s="6">
        <v>34.64</v>
      </c>
    </row>
    <row r="226" spans="1:18">
      <c r="A226" t="s">
        <v>222</v>
      </c>
      <c r="B226" s="1">
        <v>190.8</v>
      </c>
      <c r="C226" s="2" t="s">
        <v>2680</v>
      </c>
      <c r="D226" t="s">
        <v>1260</v>
      </c>
      <c r="E226" s="3">
        <v>10980.06289308176</v>
      </c>
      <c r="F226" s="3">
        <v>2094996</v>
      </c>
      <c r="G226" t="s">
        <v>1261</v>
      </c>
      <c r="H226" t="s">
        <v>1262</v>
      </c>
      <c r="I226" t="s">
        <v>1263</v>
      </c>
      <c r="J226" s="6">
        <v>9.89</v>
      </c>
      <c r="K226" t="s">
        <v>901</v>
      </c>
      <c r="L226" t="s">
        <v>24</v>
      </c>
      <c r="M226" s="2" t="s">
        <v>2681</v>
      </c>
      <c r="N226" t="s">
        <v>420</v>
      </c>
      <c r="O226" t="s">
        <v>222</v>
      </c>
      <c r="P226" s="7" t="s">
        <v>2682</v>
      </c>
      <c r="Q226">
        <v>266</v>
      </c>
      <c r="R226" s="6">
        <v>41.28</v>
      </c>
    </row>
    <row r="227" spans="1:18">
      <c r="A227" t="s">
        <v>387</v>
      </c>
      <c r="B227" s="1">
        <v>419</v>
      </c>
      <c r="C227" s="2" t="s">
        <v>2683</v>
      </c>
      <c r="D227" t="s">
        <v>1267</v>
      </c>
      <c r="E227" s="3">
        <v>1789.976133651551</v>
      </c>
      <c r="F227" s="3">
        <v>750000</v>
      </c>
      <c r="G227" t="s">
        <v>1268</v>
      </c>
      <c r="H227" t="s">
        <v>1269</v>
      </c>
      <c r="I227" t="s">
        <v>1270</v>
      </c>
      <c r="J227" s="6">
        <v>4.3899999999999997</v>
      </c>
      <c r="K227" t="s">
        <v>592</v>
      </c>
      <c r="L227" t="s">
        <v>24</v>
      </c>
      <c r="M227" s="2" t="s">
        <v>2684</v>
      </c>
      <c r="N227" t="s">
        <v>1271</v>
      </c>
      <c r="O227" t="s">
        <v>85</v>
      </c>
      <c r="P227" s="7" t="s">
        <v>2685</v>
      </c>
      <c r="Q227">
        <v>2480</v>
      </c>
      <c r="R227" s="6">
        <v>0.72</v>
      </c>
    </row>
    <row r="228" spans="1:18">
      <c r="A228" t="s">
        <v>729</v>
      </c>
      <c r="B228" s="1">
        <v>70.8</v>
      </c>
      <c r="C228" s="2" t="s">
        <v>2686</v>
      </c>
      <c r="D228" t="s">
        <v>1276</v>
      </c>
      <c r="E228" s="3">
        <v>23771.186440677971</v>
      </c>
      <c r="F228" s="3">
        <v>1683000</v>
      </c>
      <c r="G228" t="s">
        <v>1277</v>
      </c>
      <c r="H228" t="s">
        <v>1278</v>
      </c>
      <c r="I228" t="s">
        <v>1279</v>
      </c>
      <c r="J228" s="6">
        <v>3.68</v>
      </c>
      <c r="K228" t="s">
        <v>90</v>
      </c>
      <c r="L228" t="s">
        <v>24</v>
      </c>
      <c r="M228" s="2" t="s">
        <v>2687</v>
      </c>
      <c r="N228" t="s">
        <v>1280</v>
      </c>
      <c r="O228" t="s">
        <v>92</v>
      </c>
      <c r="P228" s="7" t="s">
        <v>2688</v>
      </c>
      <c r="Q228">
        <v>5670</v>
      </c>
      <c r="R228" s="6">
        <v>4.1900000000000004</v>
      </c>
    </row>
    <row r="229" spans="1:18">
      <c r="A229" t="s">
        <v>729</v>
      </c>
      <c r="B229" s="1">
        <v>25.6</v>
      </c>
      <c r="C229" s="2" t="s">
        <v>2689</v>
      </c>
      <c r="D229" t="s">
        <v>1281</v>
      </c>
      <c r="E229" s="3">
        <v>19628.90625</v>
      </c>
      <c r="F229" s="3">
        <v>502500</v>
      </c>
      <c r="G229" t="s">
        <v>1282</v>
      </c>
      <c r="H229" t="s">
        <v>1278</v>
      </c>
      <c r="I229" t="s">
        <v>1283</v>
      </c>
      <c r="J229" s="6">
        <v>5.65</v>
      </c>
      <c r="K229" t="s">
        <v>90</v>
      </c>
      <c r="L229" t="s">
        <v>24</v>
      </c>
      <c r="M229" s="2" t="s">
        <v>2690</v>
      </c>
      <c r="N229" t="s">
        <v>896</v>
      </c>
      <c r="O229" t="s">
        <v>183</v>
      </c>
      <c r="P229" s="7" t="s">
        <v>2691</v>
      </c>
      <c r="Q229">
        <v>781</v>
      </c>
      <c r="R229" s="6">
        <v>25.13</v>
      </c>
    </row>
    <row r="230" spans="1:18">
      <c r="A230" t="s">
        <v>729</v>
      </c>
      <c r="B230" s="1">
        <v>1527.9</v>
      </c>
      <c r="C230" s="2" t="s">
        <v>2692</v>
      </c>
      <c r="D230" t="s">
        <v>1284</v>
      </c>
      <c r="E230" s="3">
        <v>2195.0003272465469</v>
      </c>
      <c r="F230" s="3">
        <v>3353741</v>
      </c>
      <c r="G230" t="s">
        <v>1285</v>
      </c>
      <c r="H230" t="s">
        <v>1286</v>
      </c>
      <c r="I230" t="s">
        <v>1287</v>
      </c>
      <c r="J230" s="6">
        <v>1.01</v>
      </c>
      <c r="K230" t="s">
        <v>23</v>
      </c>
      <c r="L230" t="s">
        <v>24</v>
      </c>
      <c r="M230" s="2" t="s">
        <v>2693</v>
      </c>
      <c r="N230" t="s">
        <v>1288</v>
      </c>
      <c r="O230" t="s">
        <v>216</v>
      </c>
      <c r="P230" s="7" t="s">
        <v>2694</v>
      </c>
      <c r="Q230">
        <v>3650</v>
      </c>
      <c r="R230" s="6">
        <v>0.6</v>
      </c>
    </row>
    <row r="231" spans="1:18">
      <c r="A231" t="s">
        <v>729</v>
      </c>
      <c r="B231" s="1">
        <v>64.3</v>
      </c>
      <c r="C231" s="2" t="s">
        <v>2695</v>
      </c>
      <c r="D231" t="s">
        <v>1289</v>
      </c>
      <c r="E231" s="3">
        <v>23405.909797822711</v>
      </c>
      <c r="F231" s="3">
        <v>1505000</v>
      </c>
      <c r="G231" t="s">
        <v>1290</v>
      </c>
      <c r="H231" t="s">
        <v>1291</v>
      </c>
      <c r="I231" t="s">
        <v>1292</v>
      </c>
      <c r="J231" s="6">
        <v>17.77</v>
      </c>
      <c r="K231" t="s">
        <v>23</v>
      </c>
      <c r="L231" t="s">
        <v>24</v>
      </c>
      <c r="M231" s="2" t="s">
        <v>2696</v>
      </c>
      <c r="N231" t="s">
        <v>1293</v>
      </c>
      <c r="O231" t="s">
        <v>37</v>
      </c>
      <c r="P231" s="7" t="s">
        <v>2697</v>
      </c>
      <c r="Q231">
        <v>1240</v>
      </c>
      <c r="R231" s="6">
        <v>18.88</v>
      </c>
    </row>
    <row r="232" spans="1:18">
      <c r="A232" t="s">
        <v>729</v>
      </c>
      <c r="B232" s="1">
        <v>35.9</v>
      </c>
      <c r="C232" s="2" t="s">
        <v>2698</v>
      </c>
      <c r="D232" t="s">
        <v>1294</v>
      </c>
      <c r="E232" s="3">
        <v>39917.130919220057</v>
      </c>
      <c r="F232" s="3">
        <v>1433025</v>
      </c>
      <c r="G232" t="s">
        <v>1295</v>
      </c>
      <c r="H232" t="s">
        <v>1296</v>
      </c>
      <c r="J232" s="6">
        <v>4.54</v>
      </c>
      <c r="K232" t="s">
        <v>23</v>
      </c>
      <c r="L232" t="s">
        <v>24</v>
      </c>
      <c r="M232" s="2" t="s">
        <v>2699</v>
      </c>
      <c r="N232" t="s">
        <v>1297</v>
      </c>
      <c r="O232" t="s">
        <v>189</v>
      </c>
      <c r="P232" s="7" t="s">
        <v>2700</v>
      </c>
      <c r="Q232">
        <v>2667</v>
      </c>
      <c r="R232" s="6">
        <v>14.97</v>
      </c>
    </row>
    <row r="233" spans="1:18">
      <c r="A233" t="s">
        <v>729</v>
      </c>
      <c r="B233" s="1">
        <v>35</v>
      </c>
      <c r="C233" s="2" t="s">
        <v>2701</v>
      </c>
      <c r="D233" t="s">
        <v>1294</v>
      </c>
      <c r="E233" s="3">
        <v>31047</v>
      </c>
      <c r="F233" s="3">
        <v>1086645</v>
      </c>
      <c r="G233" t="s">
        <v>1298</v>
      </c>
      <c r="H233" t="s">
        <v>1296</v>
      </c>
      <c r="J233" s="6">
        <v>3.71</v>
      </c>
      <c r="K233" t="s">
        <v>23</v>
      </c>
      <c r="L233" t="s">
        <v>24</v>
      </c>
      <c r="M233" s="2" t="s">
        <v>2702</v>
      </c>
      <c r="N233" t="s">
        <v>1299</v>
      </c>
      <c r="O233" t="s">
        <v>216</v>
      </c>
      <c r="P233" s="7" t="s">
        <v>2703</v>
      </c>
      <c r="Q233">
        <v>2469</v>
      </c>
      <c r="R233" s="6">
        <v>12.57</v>
      </c>
    </row>
    <row r="234" spans="1:18">
      <c r="A234" t="s">
        <v>729</v>
      </c>
      <c r="B234" s="1">
        <v>19.399999999999999</v>
      </c>
      <c r="C234" s="2" t="s">
        <v>2704</v>
      </c>
      <c r="D234" t="s">
        <v>1300</v>
      </c>
      <c r="E234" s="3">
        <v>31546.391752577321</v>
      </c>
      <c r="F234" s="3">
        <v>612000</v>
      </c>
      <c r="G234" t="s">
        <v>1301</v>
      </c>
      <c r="H234" t="s">
        <v>1302</v>
      </c>
      <c r="I234" t="s">
        <v>1303</v>
      </c>
      <c r="J234" s="6">
        <v>6.59</v>
      </c>
      <c r="K234" t="s">
        <v>23</v>
      </c>
      <c r="L234" t="s">
        <v>24</v>
      </c>
      <c r="M234" s="2" t="s">
        <v>2705</v>
      </c>
      <c r="N234" t="s">
        <v>1304</v>
      </c>
      <c r="O234" t="s">
        <v>634</v>
      </c>
      <c r="P234" s="7" t="s">
        <v>2706</v>
      </c>
      <c r="Q234">
        <v>4122</v>
      </c>
      <c r="R234" s="6">
        <v>7.65</v>
      </c>
    </row>
    <row r="235" spans="1:18">
      <c r="A235" t="s">
        <v>729</v>
      </c>
      <c r="B235" s="1">
        <v>19.5</v>
      </c>
      <c r="C235" s="2" t="s">
        <v>2707</v>
      </c>
      <c r="D235" t="s">
        <v>1300</v>
      </c>
      <c r="E235" s="3">
        <v>32000</v>
      </c>
      <c r="F235" s="3">
        <v>624000</v>
      </c>
      <c r="G235" t="s">
        <v>1301</v>
      </c>
      <c r="H235" t="s">
        <v>1302</v>
      </c>
      <c r="I235" t="s">
        <v>1305</v>
      </c>
      <c r="J235" s="6">
        <v>6.68</v>
      </c>
      <c r="K235" t="s">
        <v>23</v>
      </c>
      <c r="L235" t="s">
        <v>24</v>
      </c>
      <c r="M235" s="2" t="s">
        <v>2705</v>
      </c>
      <c r="N235" t="s">
        <v>1304</v>
      </c>
      <c r="O235" t="s">
        <v>634</v>
      </c>
      <c r="P235" s="7" t="s">
        <v>2706</v>
      </c>
      <c r="Q235">
        <v>4122</v>
      </c>
      <c r="R235" s="6">
        <v>7.76</v>
      </c>
    </row>
    <row r="236" spans="1:18">
      <c r="A236" t="s">
        <v>729</v>
      </c>
      <c r="B236" s="1">
        <v>127.1</v>
      </c>
      <c r="C236" s="2" t="s">
        <v>2708</v>
      </c>
      <c r="D236" t="s">
        <v>1306</v>
      </c>
      <c r="E236" s="3">
        <v>25180.959874114869</v>
      </c>
      <c r="F236" s="3">
        <v>3200500</v>
      </c>
      <c r="G236" t="s">
        <v>1307</v>
      </c>
      <c r="H236" t="s">
        <v>1302</v>
      </c>
      <c r="I236" t="s">
        <v>1308</v>
      </c>
      <c r="J236" s="6">
        <v>3.34</v>
      </c>
      <c r="K236" t="s">
        <v>23</v>
      </c>
      <c r="L236" t="s">
        <v>24</v>
      </c>
      <c r="M236" s="2" t="s">
        <v>2709</v>
      </c>
      <c r="N236" t="s">
        <v>1309</v>
      </c>
      <c r="O236" t="s">
        <v>784</v>
      </c>
      <c r="P236" s="7" t="s">
        <v>2710</v>
      </c>
      <c r="Q236">
        <v>5352</v>
      </c>
      <c r="R236" s="6">
        <v>4.7</v>
      </c>
    </row>
    <row r="237" spans="1:18">
      <c r="A237" t="s">
        <v>729</v>
      </c>
      <c r="B237" s="1">
        <v>15.1</v>
      </c>
      <c r="C237" s="2" t="s">
        <v>2711</v>
      </c>
      <c r="D237" t="s">
        <v>1300</v>
      </c>
      <c r="E237" s="3">
        <v>42781.456953642388</v>
      </c>
      <c r="F237" s="3">
        <v>646000</v>
      </c>
      <c r="G237" t="s">
        <v>1310</v>
      </c>
      <c r="H237" t="s">
        <v>1302</v>
      </c>
      <c r="I237" t="s">
        <v>1311</v>
      </c>
      <c r="J237" s="6">
        <v>7.14</v>
      </c>
      <c r="K237" t="s">
        <v>23</v>
      </c>
      <c r="L237" t="s">
        <v>24</v>
      </c>
      <c r="M237" s="2" t="s">
        <v>2712</v>
      </c>
      <c r="N237" t="s">
        <v>1312</v>
      </c>
      <c r="O237" t="s">
        <v>37</v>
      </c>
      <c r="P237" s="7" t="s">
        <v>2713</v>
      </c>
      <c r="Q237">
        <v>4933</v>
      </c>
      <c r="R237" s="6">
        <v>8.67</v>
      </c>
    </row>
    <row r="238" spans="1:18">
      <c r="A238" t="s">
        <v>729</v>
      </c>
      <c r="B238" s="1">
        <v>29.3</v>
      </c>
      <c r="C238" s="2" t="s">
        <v>2714</v>
      </c>
      <c r="D238" t="s">
        <v>1313</v>
      </c>
      <c r="E238" s="3">
        <v>34641.638225255971</v>
      </c>
      <c r="F238" s="3">
        <v>1015000</v>
      </c>
      <c r="G238" t="s">
        <v>1314</v>
      </c>
      <c r="H238" t="s">
        <v>1302</v>
      </c>
      <c r="I238" t="s">
        <v>1315</v>
      </c>
      <c r="J238" s="6">
        <v>3.69</v>
      </c>
      <c r="K238" t="s">
        <v>23</v>
      </c>
      <c r="L238" t="s">
        <v>24</v>
      </c>
      <c r="M238" s="2" t="s">
        <v>2715</v>
      </c>
      <c r="N238" t="s">
        <v>1316</v>
      </c>
      <c r="O238" t="s">
        <v>291</v>
      </c>
      <c r="P238" s="7" t="s">
        <v>2716</v>
      </c>
      <c r="Q238">
        <v>6112</v>
      </c>
      <c r="R238" s="6">
        <v>5.67</v>
      </c>
    </row>
    <row r="239" spans="1:18">
      <c r="A239" t="s">
        <v>729</v>
      </c>
      <c r="B239" s="1">
        <v>29.8</v>
      </c>
      <c r="C239" s="2" t="s">
        <v>2717</v>
      </c>
      <c r="D239" t="s">
        <v>1317</v>
      </c>
      <c r="E239" s="3">
        <v>19463.08724832215</v>
      </c>
      <c r="F239" s="3">
        <v>580000</v>
      </c>
      <c r="G239" t="s">
        <v>1318</v>
      </c>
      <c r="H239" t="s">
        <v>1302</v>
      </c>
      <c r="I239" t="s">
        <v>1319</v>
      </c>
      <c r="J239" s="6">
        <v>3.56</v>
      </c>
      <c r="K239" t="s">
        <v>23</v>
      </c>
      <c r="L239" t="s">
        <v>24</v>
      </c>
      <c r="M239" s="2" t="s">
        <v>2718</v>
      </c>
      <c r="N239" t="s">
        <v>1320</v>
      </c>
      <c r="O239" t="s">
        <v>152</v>
      </c>
      <c r="P239" s="7" t="s">
        <v>2719</v>
      </c>
      <c r="Q239">
        <v>5733</v>
      </c>
      <c r="R239" s="6">
        <v>3.39</v>
      </c>
    </row>
    <row r="240" spans="1:18">
      <c r="A240" t="s">
        <v>657</v>
      </c>
      <c r="B240" s="1">
        <v>74.400000000000006</v>
      </c>
      <c r="C240" s="2" t="s">
        <v>2720</v>
      </c>
      <c r="D240" t="s">
        <v>469</v>
      </c>
      <c r="E240" s="3">
        <v>10845.220430107531</v>
      </c>
      <c r="F240" s="3">
        <v>806884.4</v>
      </c>
      <c r="G240" t="s">
        <v>1321</v>
      </c>
      <c r="H240" t="s">
        <v>1322</v>
      </c>
      <c r="I240" t="s">
        <v>1323</v>
      </c>
      <c r="J240" s="6">
        <v>3.99</v>
      </c>
      <c r="K240" t="s">
        <v>23</v>
      </c>
      <c r="L240" t="s">
        <v>24</v>
      </c>
      <c r="M240" s="2" t="s">
        <v>2721</v>
      </c>
      <c r="N240" t="s">
        <v>1324</v>
      </c>
      <c r="O240" t="s">
        <v>227</v>
      </c>
      <c r="P240" s="7" t="s">
        <v>2722</v>
      </c>
      <c r="Q240">
        <v>2554</v>
      </c>
      <c r="R240" s="6">
        <v>4.25</v>
      </c>
    </row>
    <row r="241" spans="1:18">
      <c r="A241" t="s">
        <v>1130</v>
      </c>
      <c r="B241" s="1">
        <v>125.3</v>
      </c>
      <c r="C241" s="2" t="s">
        <v>2723</v>
      </c>
      <c r="D241" t="s">
        <v>1325</v>
      </c>
      <c r="E241" s="3">
        <v>5754.1899441340784</v>
      </c>
      <c r="F241" s="3">
        <v>721000</v>
      </c>
      <c r="G241" t="s">
        <v>1326</v>
      </c>
      <c r="H241" t="s">
        <v>1327</v>
      </c>
      <c r="I241" t="s">
        <v>1328</v>
      </c>
      <c r="J241" s="6">
        <v>0.98</v>
      </c>
      <c r="K241" t="s">
        <v>23</v>
      </c>
      <c r="L241" t="s">
        <v>24</v>
      </c>
      <c r="M241" s="2" t="s">
        <v>2724</v>
      </c>
      <c r="N241" t="s">
        <v>1329</v>
      </c>
      <c r="O241" t="s">
        <v>291</v>
      </c>
      <c r="P241" s="7" t="s">
        <v>2725</v>
      </c>
      <c r="Q241">
        <v>2282</v>
      </c>
      <c r="R241" s="6">
        <v>2.52</v>
      </c>
    </row>
    <row r="242" spans="1:18">
      <c r="A242" t="s">
        <v>1130</v>
      </c>
      <c r="B242" s="1">
        <v>123.3</v>
      </c>
      <c r="C242" s="2" t="s">
        <v>2726</v>
      </c>
      <c r="D242" t="s">
        <v>1330</v>
      </c>
      <c r="E242" s="3">
        <v>13285.79375506894</v>
      </c>
      <c r="F242" s="3">
        <v>1638138.37</v>
      </c>
      <c r="G242" t="s">
        <v>1331</v>
      </c>
      <c r="H242" t="s">
        <v>1332</v>
      </c>
      <c r="I242" t="s">
        <v>1333</v>
      </c>
      <c r="J242" s="6">
        <v>26.84</v>
      </c>
      <c r="K242" t="s">
        <v>23</v>
      </c>
      <c r="L242" t="s">
        <v>24</v>
      </c>
      <c r="M242" s="2" t="s">
        <v>2727</v>
      </c>
      <c r="N242" t="s">
        <v>1334</v>
      </c>
      <c r="O242" t="s">
        <v>216</v>
      </c>
      <c r="P242" s="7" t="s">
        <v>2728</v>
      </c>
      <c r="Q242">
        <v>3115</v>
      </c>
      <c r="R242" s="6">
        <v>4.2699999999999996</v>
      </c>
    </row>
    <row r="243" spans="1:18">
      <c r="A243" t="s">
        <v>1130</v>
      </c>
      <c r="B243" s="1">
        <v>205.7</v>
      </c>
      <c r="C243" s="2" t="s">
        <v>2729</v>
      </c>
      <c r="D243" t="s">
        <v>1338</v>
      </c>
      <c r="E243" s="3">
        <v>15611.3271754983</v>
      </c>
      <c r="F243" s="3">
        <v>3211250</v>
      </c>
      <c r="G243" t="s">
        <v>1339</v>
      </c>
      <c r="H243" t="s">
        <v>1340</v>
      </c>
      <c r="I243" t="s">
        <v>1341</v>
      </c>
      <c r="J243" s="6">
        <v>4.2</v>
      </c>
      <c r="K243" t="s">
        <v>23</v>
      </c>
      <c r="L243" t="s">
        <v>24</v>
      </c>
      <c r="M243" s="2" t="s">
        <v>2730</v>
      </c>
      <c r="N243" t="s">
        <v>1342</v>
      </c>
      <c r="O243" t="s">
        <v>85</v>
      </c>
      <c r="P243" s="7" t="s">
        <v>2731</v>
      </c>
      <c r="Q243">
        <v>1487</v>
      </c>
      <c r="R243" s="6">
        <v>10.5</v>
      </c>
    </row>
    <row r="244" spans="1:18">
      <c r="A244" t="s">
        <v>1130</v>
      </c>
      <c r="B244" s="1">
        <v>201.1</v>
      </c>
      <c r="C244" s="2" t="s">
        <v>2732</v>
      </c>
      <c r="D244" t="s">
        <v>1347</v>
      </c>
      <c r="E244" s="3">
        <v>31859.77125808056</v>
      </c>
      <c r="F244" s="3">
        <v>6407000</v>
      </c>
      <c r="G244" t="s">
        <v>1348</v>
      </c>
      <c r="H244" t="s">
        <v>1349</v>
      </c>
      <c r="I244" t="s">
        <v>1350</v>
      </c>
      <c r="J244" s="6">
        <v>3.51</v>
      </c>
      <c r="K244" t="s">
        <v>901</v>
      </c>
      <c r="L244" t="s">
        <v>24</v>
      </c>
      <c r="M244" s="2" t="s">
        <v>2733</v>
      </c>
      <c r="N244" t="s">
        <v>1351</v>
      </c>
      <c r="O244" t="s">
        <v>1352</v>
      </c>
      <c r="P244" s="7" t="s">
        <v>2734</v>
      </c>
      <c r="Q244">
        <v>4492</v>
      </c>
      <c r="R244" s="6">
        <v>7.09</v>
      </c>
    </row>
    <row r="245" spans="1:18">
      <c r="A245" t="s">
        <v>1130</v>
      </c>
      <c r="B245" s="1">
        <v>96.4</v>
      </c>
      <c r="C245" s="2" t="s">
        <v>2735</v>
      </c>
      <c r="D245" t="s">
        <v>1353</v>
      </c>
      <c r="E245" s="3">
        <v>11929.460580912861</v>
      </c>
      <c r="F245" s="3">
        <v>1150000</v>
      </c>
      <c r="G245" t="s">
        <v>1354</v>
      </c>
      <c r="H245" t="s">
        <v>1355</v>
      </c>
      <c r="I245" t="s">
        <v>1356</v>
      </c>
      <c r="J245" s="6">
        <v>16.78</v>
      </c>
      <c r="K245" t="s">
        <v>23</v>
      </c>
      <c r="L245" t="s">
        <v>24</v>
      </c>
      <c r="M245" s="2" t="s">
        <v>2736</v>
      </c>
      <c r="N245" t="s">
        <v>1357</v>
      </c>
      <c r="O245" t="s">
        <v>178</v>
      </c>
      <c r="P245" s="7" t="s">
        <v>2737</v>
      </c>
      <c r="Q245">
        <v>810</v>
      </c>
      <c r="R245" s="6">
        <v>14.73</v>
      </c>
    </row>
    <row r="246" spans="1:18">
      <c r="A246" t="s">
        <v>1358</v>
      </c>
      <c r="B246" s="1">
        <v>95.6</v>
      </c>
      <c r="C246" s="2" t="s">
        <v>2738</v>
      </c>
      <c r="D246" t="s">
        <v>1359</v>
      </c>
      <c r="E246" s="3">
        <v>11998.74476987448</v>
      </c>
      <c r="F246" s="3">
        <v>1147080</v>
      </c>
      <c r="G246" t="s">
        <v>1360</v>
      </c>
      <c r="H246" t="s">
        <v>1361</v>
      </c>
      <c r="I246" t="s">
        <v>1362</v>
      </c>
      <c r="J246" s="6">
        <v>19.420000000000002</v>
      </c>
      <c r="K246" t="s">
        <v>23</v>
      </c>
      <c r="L246" t="s">
        <v>24</v>
      </c>
      <c r="M246" s="2" t="s">
        <v>2739</v>
      </c>
      <c r="N246" t="s">
        <v>1363</v>
      </c>
      <c r="O246" t="s">
        <v>1115</v>
      </c>
      <c r="P246" s="7" t="s">
        <v>2740</v>
      </c>
      <c r="Q246">
        <v>2231</v>
      </c>
      <c r="R246" s="6">
        <v>5.38</v>
      </c>
    </row>
    <row r="247" spans="1:18">
      <c r="A247" t="s">
        <v>1358</v>
      </c>
      <c r="B247" s="1">
        <v>467.8</v>
      </c>
      <c r="C247" s="2" t="s">
        <v>2741</v>
      </c>
      <c r="D247" t="s">
        <v>1364</v>
      </c>
      <c r="E247" s="3">
        <v>3743.629756306113</v>
      </c>
      <c r="F247" s="3">
        <v>1751270</v>
      </c>
      <c r="G247" t="s">
        <v>1365</v>
      </c>
      <c r="H247" t="s">
        <v>1194</v>
      </c>
      <c r="I247" t="s">
        <v>1366</v>
      </c>
      <c r="J247" s="6">
        <v>0.86</v>
      </c>
      <c r="K247" t="s">
        <v>23</v>
      </c>
      <c r="L247" t="s">
        <v>24</v>
      </c>
      <c r="M247" s="2" t="s">
        <v>2742</v>
      </c>
      <c r="N247" t="s">
        <v>1367</v>
      </c>
      <c r="O247" t="s">
        <v>1368</v>
      </c>
      <c r="P247" s="7" t="s">
        <v>2743</v>
      </c>
      <c r="Q247">
        <v>3345</v>
      </c>
      <c r="R247" s="6">
        <v>1.1200000000000001</v>
      </c>
    </row>
    <row r="248" spans="1:18">
      <c r="A248" t="s">
        <v>1358</v>
      </c>
      <c r="B248" s="1">
        <v>137.30000000000001</v>
      </c>
      <c r="C248" s="2" t="s">
        <v>2744</v>
      </c>
      <c r="D248" t="s">
        <v>1369</v>
      </c>
      <c r="E248" s="3">
        <v>8341.5877640203926</v>
      </c>
      <c r="F248" s="3">
        <v>1145300</v>
      </c>
      <c r="G248" t="s">
        <v>1370</v>
      </c>
      <c r="H248" t="s">
        <v>1371</v>
      </c>
      <c r="I248" t="s">
        <v>1372</v>
      </c>
      <c r="J248" s="6">
        <v>6.54</v>
      </c>
      <c r="K248" t="s">
        <v>23</v>
      </c>
      <c r="L248" t="s">
        <v>24</v>
      </c>
      <c r="M248" s="2" t="s">
        <v>2745</v>
      </c>
      <c r="N248" t="s">
        <v>1373</v>
      </c>
      <c r="O248" t="s">
        <v>178</v>
      </c>
      <c r="P248" s="7" t="s">
        <v>2746</v>
      </c>
      <c r="Q248">
        <v>2098</v>
      </c>
      <c r="R248" s="6">
        <v>3.98</v>
      </c>
    </row>
    <row r="249" spans="1:18">
      <c r="A249" t="s">
        <v>318</v>
      </c>
      <c r="B249" s="1">
        <v>89.8</v>
      </c>
      <c r="C249" s="2" t="s">
        <v>2747</v>
      </c>
      <c r="D249" t="s">
        <v>1374</v>
      </c>
      <c r="E249" s="3">
        <v>41406.002227171492</v>
      </c>
      <c r="F249" s="3">
        <v>3718259</v>
      </c>
      <c r="G249" t="s">
        <v>1375</v>
      </c>
      <c r="H249" t="s">
        <v>1376</v>
      </c>
      <c r="I249" t="s">
        <v>1377</v>
      </c>
      <c r="J249" s="6">
        <v>5.35</v>
      </c>
      <c r="K249" t="s">
        <v>23</v>
      </c>
      <c r="L249" t="s">
        <v>24</v>
      </c>
      <c r="M249" s="2" t="s">
        <v>2748</v>
      </c>
      <c r="N249" t="s">
        <v>1378</v>
      </c>
      <c r="O249" t="s">
        <v>164</v>
      </c>
      <c r="P249" s="7" t="s">
        <v>2749</v>
      </c>
      <c r="Q249">
        <v>2478</v>
      </c>
      <c r="R249" s="6">
        <v>16.71</v>
      </c>
    </row>
    <row r="250" spans="1:18">
      <c r="A250" t="s">
        <v>318</v>
      </c>
      <c r="B250" s="1">
        <v>64.599999999999994</v>
      </c>
      <c r="C250" s="2" t="s">
        <v>2750</v>
      </c>
      <c r="D250" t="s">
        <v>1379</v>
      </c>
      <c r="E250" s="3">
        <v>45213.622291021667</v>
      </c>
      <c r="F250" s="3">
        <v>2920800</v>
      </c>
      <c r="G250" t="s">
        <v>1380</v>
      </c>
      <c r="H250" t="s">
        <v>1381</v>
      </c>
      <c r="I250" t="s">
        <v>1382</v>
      </c>
      <c r="J250" s="6"/>
      <c r="K250" t="s">
        <v>23</v>
      </c>
      <c r="L250" t="s">
        <v>24</v>
      </c>
      <c r="M250" s="2" t="s">
        <v>2751</v>
      </c>
      <c r="N250" t="s">
        <v>79</v>
      </c>
      <c r="O250" t="s">
        <v>18</v>
      </c>
      <c r="P250" s="7" t="s">
        <v>2752</v>
      </c>
      <c r="Q250">
        <v>58</v>
      </c>
      <c r="R250" s="6">
        <v>779.55</v>
      </c>
    </row>
    <row r="251" spans="1:18">
      <c r="A251" t="s">
        <v>318</v>
      </c>
      <c r="B251" s="1">
        <v>72.8</v>
      </c>
      <c r="C251" s="2" t="s">
        <v>2753</v>
      </c>
      <c r="D251" t="s">
        <v>1383</v>
      </c>
      <c r="E251" s="3">
        <v>39987.980769230773</v>
      </c>
      <c r="F251" s="3">
        <v>2911125</v>
      </c>
      <c r="G251" t="s">
        <v>1384</v>
      </c>
      <c r="H251" t="s">
        <v>585</v>
      </c>
      <c r="I251" t="s">
        <v>1385</v>
      </c>
      <c r="J251" s="6">
        <v>9.5399999999999991</v>
      </c>
      <c r="K251" t="s">
        <v>23</v>
      </c>
      <c r="L251" t="s">
        <v>24</v>
      </c>
      <c r="M251" s="2" t="s">
        <v>2754</v>
      </c>
      <c r="N251" t="s">
        <v>1386</v>
      </c>
      <c r="O251" t="s">
        <v>453</v>
      </c>
      <c r="P251" s="7" t="s">
        <v>2755</v>
      </c>
      <c r="Q251">
        <v>1723</v>
      </c>
      <c r="R251" s="6">
        <v>23.21</v>
      </c>
    </row>
    <row r="252" spans="1:18">
      <c r="A252" t="s">
        <v>318</v>
      </c>
      <c r="B252" s="1">
        <v>71.5</v>
      </c>
      <c r="C252" s="2" t="s">
        <v>2756</v>
      </c>
      <c r="D252" t="s">
        <v>1387</v>
      </c>
      <c r="E252" s="3">
        <v>31487.4</v>
      </c>
      <c r="F252" s="3">
        <v>2251349.1</v>
      </c>
      <c r="G252" t="s">
        <v>1388</v>
      </c>
      <c r="H252" t="s">
        <v>282</v>
      </c>
      <c r="I252" t="s">
        <v>1389</v>
      </c>
      <c r="J252" s="6">
        <v>3.51</v>
      </c>
      <c r="K252" t="s">
        <v>23</v>
      </c>
      <c r="L252" t="s">
        <v>24</v>
      </c>
      <c r="M252" s="2" t="s">
        <v>2757</v>
      </c>
      <c r="N252" t="s">
        <v>1390</v>
      </c>
      <c r="O252" t="s">
        <v>158</v>
      </c>
      <c r="P252" s="7" t="s">
        <v>2758</v>
      </c>
      <c r="Q252">
        <v>3327</v>
      </c>
      <c r="R252" s="6">
        <v>9.4600000000000009</v>
      </c>
    </row>
    <row r="253" spans="1:18">
      <c r="A253" t="s">
        <v>318</v>
      </c>
      <c r="B253" s="1">
        <v>33.700000000000003</v>
      </c>
      <c r="C253" s="2" t="s">
        <v>2759</v>
      </c>
      <c r="D253" t="s">
        <v>1391</v>
      </c>
      <c r="E253" s="3">
        <v>17431.988130563801</v>
      </c>
      <c r="F253" s="3">
        <v>587458</v>
      </c>
      <c r="G253" t="s">
        <v>1069</v>
      </c>
      <c r="H253" t="s">
        <v>282</v>
      </c>
      <c r="I253" t="s">
        <v>1392</v>
      </c>
      <c r="J253" s="6">
        <v>2.4300000000000002</v>
      </c>
      <c r="K253" t="s">
        <v>23</v>
      </c>
      <c r="L253" t="s">
        <v>24</v>
      </c>
      <c r="M253" s="2" t="s">
        <v>2579</v>
      </c>
      <c r="N253" t="s">
        <v>1071</v>
      </c>
      <c r="O253" t="s">
        <v>1072</v>
      </c>
      <c r="P253" s="7" t="s">
        <v>2580</v>
      </c>
      <c r="Q253">
        <v>3056</v>
      </c>
      <c r="R253" s="6">
        <v>5.7</v>
      </c>
    </row>
    <row r="254" spans="1:18">
      <c r="A254" t="s">
        <v>318</v>
      </c>
      <c r="B254" s="1">
        <v>73.2</v>
      </c>
      <c r="C254" s="2" t="s">
        <v>2760</v>
      </c>
      <c r="D254" t="s">
        <v>1110</v>
      </c>
      <c r="E254" s="3">
        <v>21516.99453551913</v>
      </c>
      <c r="F254" s="3">
        <v>1575044</v>
      </c>
      <c r="G254" t="s">
        <v>368</v>
      </c>
      <c r="H254" t="s">
        <v>1396</v>
      </c>
      <c r="J254" s="6">
        <v>5.26</v>
      </c>
      <c r="K254" t="s">
        <v>23</v>
      </c>
      <c r="L254" t="s">
        <v>24</v>
      </c>
      <c r="M254" s="2" t="s">
        <v>2218</v>
      </c>
      <c r="N254" t="s">
        <v>370</v>
      </c>
      <c r="O254" t="s">
        <v>209</v>
      </c>
      <c r="P254" s="7" t="s">
        <v>2219</v>
      </c>
      <c r="Q254">
        <v>4937</v>
      </c>
      <c r="R254" s="6">
        <v>4.3600000000000003</v>
      </c>
    </row>
    <row r="255" spans="1:18">
      <c r="A255" t="s">
        <v>318</v>
      </c>
      <c r="B255" s="1">
        <v>84.8</v>
      </c>
      <c r="C255" s="2" t="s">
        <v>2761</v>
      </c>
      <c r="D255" t="s">
        <v>1397</v>
      </c>
      <c r="E255" s="3">
        <v>30306.60377358491</v>
      </c>
      <c r="F255" s="3">
        <v>2570000</v>
      </c>
      <c r="G255" t="s">
        <v>1398</v>
      </c>
      <c r="H255" t="s">
        <v>1399</v>
      </c>
      <c r="I255" t="s">
        <v>1400</v>
      </c>
      <c r="J255" s="6">
        <v>14.75</v>
      </c>
      <c r="K255" t="s">
        <v>23</v>
      </c>
      <c r="L255" t="s">
        <v>24</v>
      </c>
      <c r="M255" s="2" t="s">
        <v>2762</v>
      </c>
      <c r="N255" t="s">
        <v>188</v>
      </c>
      <c r="O255" t="s">
        <v>85</v>
      </c>
      <c r="P255" s="7" t="s">
        <v>2763</v>
      </c>
      <c r="Q255">
        <v>195</v>
      </c>
      <c r="R255" s="6">
        <v>155.41999999999999</v>
      </c>
    </row>
    <row r="256" spans="1:18">
      <c r="A256" t="s">
        <v>1406</v>
      </c>
      <c r="B256" s="1">
        <v>47</v>
      </c>
      <c r="C256" s="2" t="s">
        <v>2764</v>
      </c>
      <c r="D256" t="s">
        <v>1411</v>
      </c>
      <c r="E256" s="3">
        <v>18468.08510638298</v>
      </c>
      <c r="F256" s="3">
        <v>868000</v>
      </c>
      <c r="G256" t="s">
        <v>1412</v>
      </c>
      <c r="H256" t="s">
        <v>1413</v>
      </c>
      <c r="I256" t="s">
        <v>1414</v>
      </c>
      <c r="J256" s="6">
        <v>13.86</v>
      </c>
      <c r="K256" t="s">
        <v>901</v>
      </c>
      <c r="L256" t="s">
        <v>24</v>
      </c>
      <c r="M256" s="2" t="s">
        <v>2765</v>
      </c>
      <c r="N256" t="s">
        <v>1415</v>
      </c>
      <c r="O256" t="s">
        <v>233</v>
      </c>
      <c r="P256" s="7" t="s">
        <v>2766</v>
      </c>
      <c r="Q256">
        <v>3666</v>
      </c>
      <c r="R256" s="6">
        <v>5.04</v>
      </c>
    </row>
    <row r="257" spans="1:18">
      <c r="A257" t="s">
        <v>1406</v>
      </c>
      <c r="B257" s="1">
        <v>256.10000000000002</v>
      </c>
      <c r="C257" s="2" t="s">
        <v>2767</v>
      </c>
      <c r="D257" t="s">
        <v>1416</v>
      </c>
      <c r="E257" s="3">
        <v>4295.1971885982039</v>
      </c>
      <c r="F257" s="3">
        <v>1100000</v>
      </c>
      <c r="G257" t="s">
        <v>1417</v>
      </c>
      <c r="H257" t="s">
        <v>207</v>
      </c>
      <c r="I257" t="s">
        <v>1418</v>
      </c>
      <c r="J257" s="6">
        <v>0.62</v>
      </c>
      <c r="K257" t="s">
        <v>90</v>
      </c>
      <c r="L257" t="s">
        <v>24</v>
      </c>
      <c r="M257" s="2" t="s">
        <v>2768</v>
      </c>
      <c r="N257" t="s">
        <v>1419</v>
      </c>
      <c r="O257" t="s">
        <v>1406</v>
      </c>
      <c r="P257" s="7" t="s">
        <v>2769</v>
      </c>
      <c r="Q257">
        <v>2902</v>
      </c>
      <c r="R257" s="6">
        <v>1.48</v>
      </c>
    </row>
    <row r="258" spans="1:18">
      <c r="A258" t="s">
        <v>1420</v>
      </c>
      <c r="B258" s="1">
        <v>38.700000000000003</v>
      </c>
      <c r="C258" s="2" t="s">
        <v>2770</v>
      </c>
      <c r="D258" t="s">
        <v>1421</v>
      </c>
      <c r="E258" s="3">
        <v>24293.049095607232</v>
      </c>
      <c r="F258" s="3">
        <v>940141</v>
      </c>
      <c r="G258" t="s">
        <v>1422</v>
      </c>
      <c r="H258" t="s">
        <v>1423</v>
      </c>
      <c r="I258" t="s">
        <v>1424</v>
      </c>
      <c r="J258" s="6">
        <v>16.16</v>
      </c>
      <c r="K258" t="s">
        <v>23</v>
      </c>
      <c r="L258" t="s">
        <v>24</v>
      </c>
      <c r="M258" s="2" t="s">
        <v>2771</v>
      </c>
      <c r="N258" t="s">
        <v>1425</v>
      </c>
      <c r="O258" t="s">
        <v>1109</v>
      </c>
      <c r="P258" s="7" t="s">
        <v>2772</v>
      </c>
      <c r="Q258">
        <v>693</v>
      </c>
      <c r="R258" s="6">
        <v>35.049999999999997</v>
      </c>
    </row>
    <row r="259" spans="1:18">
      <c r="A259" t="s">
        <v>1426</v>
      </c>
      <c r="B259" s="1">
        <v>327.60000000000002</v>
      </c>
      <c r="C259" s="2" t="s">
        <v>2773</v>
      </c>
      <c r="D259" t="s">
        <v>1434</v>
      </c>
      <c r="E259" s="3">
        <v>2478.6657509157508</v>
      </c>
      <c r="F259" s="3">
        <v>812010.9</v>
      </c>
      <c r="G259" t="s">
        <v>1435</v>
      </c>
      <c r="H259" t="s">
        <v>1436</v>
      </c>
      <c r="J259" s="6">
        <v>0.49</v>
      </c>
      <c r="K259" t="s">
        <v>23</v>
      </c>
      <c r="L259" t="s">
        <v>24</v>
      </c>
      <c r="M259" s="2" t="s">
        <v>2774</v>
      </c>
      <c r="N259" t="s">
        <v>1437</v>
      </c>
      <c r="O259" t="s">
        <v>61</v>
      </c>
      <c r="P259" s="7" t="s">
        <v>2775</v>
      </c>
      <c r="Q259">
        <v>4129</v>
      </c>
      <c r="R259" s="6">
        <v>0.6</v>
      </c>
    </row>
    <row r="260" spans="1:18">
      <c r="A260" t="s">
        <v>1438</v>
      </c>
      <c r="B260" s="1">
        <v>632.4</v>
      </c>
      <c r="C260" s="2" t="s">
        <v>2776</v>
      </c>
      <c r="D260" t="s">
        <v>1439</v>
      </c>
      <c r="E260" s="3">
        <v>15039.53194180898</v>
      </c>
      <c r="F260" s="3">
        <v>9511000</v>
      </c>
      <c r="G260" t="s">
        <v>1440</v>
      </c>
      <c r="H260" t="s">
        <v>1166</v>
      </c>
      <c r="I260" t="s">
        <v>1441</v>
      </c>
      <c r="J260" s="6">
        <v>501.32</v>
      </c>
      <c r="K260" t="s">
        <v>90</v>
      </c>
      <c r="L260" t="s">
        <v>24</v>
      </c>
      <c r="M260" s="2" t="s">
        <v>2777</v>
      </c>
      <c r="N260" t="s">
        <v>498</v>
      </c>
      <c r="O260" t="s">
        <v>79</v>
      </c>
      <c r="P260" s="7" t="s">
        <v>2778</v>
      </c>
      <c r="Q260">
        <v>459</v>
      </c>
      <c r="R260" s="6">
        <v>32.770000000000003</v>
      </c>
    </row>
    <row r="261" spans="1:18">
      <c r="A261" t="s">
        <v>1438</v>
      </c>
      <c r="B261" s="1">
        <v>129.9</v>
      </c>
      <c r="C261" s="2" t="s">
        <v>2779</v>
      </c>
      <c r="D261" t="s">
        <v>1446</v>
      </c>
      <c r="E261" s="3">
        <v>5025.2270977675134</v>
      </c>
      <c r="F261" s="3">
        <v>652777</v>
      </c>
      <c r="G261" t="s">
        <v>1447</v>
      </c>
      <c r="H261" t="s">
        <v>1444</v>
      </c>
      <c r="I261" t="s">
        <v>1448</v>
      </c>
      <c r="J261" s="6">
        <v>0.8</v>
      </c>
      <c r="K261" t="s">
        <v>592</v>
      </c>
      <c r="L261" t="s">
        <v>24</v>
      </c>
      <c r="M261" s="2" t="s">
        <v>2780</v>
      </c>
      <c r="N261" t="s">
        <v>1449</v>
      </c>
      <c r="O261" t="s">
        <v>216</v>
      </c>
      <c r="P261" s="7" t="s">
        <v>2781</v>
      </c>
      <c r="Q261">
        <v>1902</v>
      </c>
      <c r="R261" s="6">
        <v>2.64</v>
      </c>
    </row>
    <row r="262" spans="1:18">
      <c r="A262" t="s">
        <v>1438</v>
      </c>
      <c r="B262" s="1">
        <v>904</v>
      </c>
      <c r="C262" s="2" t="s">
        <v>2782</v>
      </c>
      <c r="D262" t="s">
        <v>1461</v>
      </c>
      <c r="E262" s="3">
        <v>10607.30088495575</v>
      </c>
      <c r="F262" s="3">
        <v>9589000</v>
      </c>
      <c r="G262" t="s">
        <v>1462</v>
      </c>
      <c r="H262" t="s">
        <v>1463</v>
      </c>
      <c r="I262" t="s">
        <v>1464</v>
      </c>
      <c r="J262" s="6">
        <v>1.54</v>
      </c>
      <c r="K262" t="s">
        <v>23</v>
      </c>
      <c r="L262" t="s">
        <v>24</v>
      </c>
      <c r="M262" s="2" t="s">
        <v>2783</v>
      </c>
      <c r="N262" t="s">
        <v>1465</v>
      </c>
      <c r="O262" t="s">
        <v>498</v>
      </c>
      <c r="P262" s="7" t="s">
        <v>2784</v>
      </c>
      <c r="Q262">
        <v>1862</v>
      </c>
      <c r="R262" s="6">
        <v>5.7</v>
      </c>
    </row>
    <row r="263" spans="1:18">
      <c r="A263" t="s">
        <v>1438</v>
      </c>
      <c r="B263" s="1">
        <v>845.2</v>
      </c>
      <c r="C263" s="2" t="s">
        <v>2785</v>
      </c>
      <c r="D263" t="s">
        <v>1466</v>
      </c>
      <c r="E263" s="3">
        <v>2638.4287742546139</v>
      </c>
      <c r="F263" s="3">
        <v>2230000</v>
      </c>
      <c r="G263" t="s">
        <v>1467</v>
      </c>
      <c r="H263" t="s">
        <v>1468</v>
      </c>
      <c r="I263" t="s">
        <v>1469</v>
      </c>
      <c r="J263" s="6">
        <v>1.05</v>
      </c>
      <c r="K263" t="s">
        <v>592</v>
      </c>
      <c r="L263" t="s">
        <v>24</v>
      </c>
      <c r="M263" s="2" t="s">
        <v>2786</v>
      </c>
      <c r="N263" t="s">
        <v>507</v>
      </c>
      <c r="O263" t="s">
        <v>67</v>
      </c>
      <c r="P263" s="7" t="s">
        <v>2787</v>
      </c>
      <c r="Q263">
        <v>4681</v>
      </c>
      <c r="R263" s="6">
        <v>0.56000000000000005</v>
      </c>
    </row>
    <row r="264" spans="1:18">
      <c r="A264" t="s">
        <v>1438</v>
      </c>
      <c r="B264" s="1">
        <v>116.1</v>
      </c>
      <c r="C264" s="2" t="s">
        <v>2788</v>
      </c>
      <c r="D264" t="s">
        <v>1470</v>
      </c>
      <c r="E264" s="3">
        <v>5628.9147286821708</v>
      </c>
      <c r="F264" s="3">
        <v>653517</v>
      </c>
      <c r="G264" t="s">
        <v>1474</v>
      </c>
      <c r="H264" t="s">
        <v>1475</v>
      </c>
      <c r="I264" t="s">
        <v>1476</v>
      </c>
      <c r="J264" s="6">
        <v>1.07</v>
      </c>
      <c r="K264" t="s">
        <v>23</v>
      </c>
      <c r="L264" t="s">
        <v>24</v>
      </c>
      <c r="M264" s="2" t="s">
        <v>2789</v>
      </c>
      <c r="N264" t="s">
        <v>1477</v>
      </c>
      <c r="O264" t="s">
        <v>1478</v>
      </c>
      <c r="P264" s="7" t="s">
        <v>2790</v>
      </c>
      <c r="Q264">
        <v>869</v>
      </c>
      <c r="R264" s="6">
        <v>6.48</v>
      </c>
    </row>
    <row r="265" spans="1:18">
      <c r="A265" t="s">
        <v>1438</v>
      </c>
      <c r="B265" s="1">
        <v>91.5</v>
      </c>
      <c r="C265" s="2" t="s">
        <v>2791</v>
      </c>
      <c r="D265" t="s">
        <v>1479</v>
      </c>
      <c r="E265" s="3">
        <v>21836.065573770491</v>
      </c>
      <c r="F265" s="3">
        <v>1998000</v>
      </c>
      <c r="G265" t="s">
        <v>1480</v>
      </c>
      <c r="H265" t="s">
        <v>1481</v>
      </c>
      <c r="I265" t="s">
        <v>1482</v>
      </c>
      <c r="J265" s="6">
        <v>5.18</v>
      </c>
      <c r="K265" t="s">
        <v>23</v>
      </c>
      <c r="L265" t="s">
        <v>24</v>
      </c>
      <c r="M265" s="2" t="s">
        <v>2792</v>
      </c>
      <c r="N265" t="s">
        <v>1483</v>
      </c>
      <c r="O265" t="s">
        <v>130</v>
      </c>
      <c r="P265" s="7" t="s">
        <v>2793</v>
      </c>
      <c r="Q265">
        <v>2413</v>
      </c>
      <c r="R265" s="6">
        <v>9.0500000000000007</v>
      </c>
    </row>
    <row r="266" spans="1:18">
      <c r="A266" t="s">
        <v>1438</v>
      </c>
      <c r="B266" s="1">
        <v>169.1</v>
      </c>
      <c r="C266" s="2" t="s">
        <v>2794</v>
      </c>
      <c r="D266" t="s">
        <v>1484</v>
      </c>
      <c r="E266" s="3">
        <v>6513.3057362507398</v>
      </c>
      <c r="F266" s="3">
        <v>1101400</v>
      </c>
      <c r="G266" t="s">
        <v>1485</v>
      </c>
      <c r="H266" t="s">
        <v>1486</v>
      </c>
      <c r="I266" t="s">
        <v>1487</v>
      </c>
      <c r="J266" s="6">
        <v>0.63</v>
      </c>
      <c r="K266" t="s">
        <v>23</v>
      </c>
      <c r="L266" t="s">
        <v>24</v>
      </c>
      <c r="M266" s="2" t="s">
        <v>2795</v>
      </c>
      <c r="N266" t="s">
        <v>1488</v>
      </c>
      <c r="O266" t="s">
        <v>125</v>
      </c>
      <c r="P266" s="7" t="s">
        <v>2796</v>
      </c>
      <c r="Q266">
        <v>3523</v>
      </c>
      <c r="R266" s="6">
        <v>1.85</v>
      </c>
    </row>
    <row r="267" spans="1:18">
      <c r="A267" t="s">
        <v>1438</v>
      </c>
      <c r="B267" s="1">
        <v>122.8</v>
      </c>
      <c r="C267" s="2" t="s">
        <v>2797</v>
      </c>
      <c r="D267" t="s">
        <v>1489</v>
      </c>
      <c r="E267" s="3">
        <v>4175.8957654723126</v>
      </c>
      <c r="F267" s="3">
        <v>512800</v>
      </c>
      <c r="G267" t="s">
        <v>1490</v>
      </c>
      <c r="H267" t="s">
        <v>1491</v>
      </c>
      <c r="J267" s="6">
        <v>2.72</v>
      </c>
      <c r="K267" t="s">
        <v>90</v>
      </c>
      <c r="L267" t="s">
        <v>24</v>
      </c>
      <c r="M267" s="2" t="s">
        <v>2798</v>
      </c>
      <c r="N267" t="s">
        <v>1492</v>
      </c>
      <c r="O267" t="s">
        <v>151</v>
      </c>
      <c r="P267" s="7" t="s">
        <v>2799</v>
      </c>
      <c r="Q267">
        <v>672</v>
      </c>
      <c r="R267" s="6">
        <v>6.21</v>
      </c>
    </row>
    <row r="268" spans="1:18">
      <c r="A268" t="s">
        <v>1438</v>
      </c>
      <c r="B268" s="1">
        <v>632.4</v>
      </c>
      <c r="C268" s="2" t="s">
        <v>2800</v>
      </c>
      <c r="D268" t="s">
        <v>1493</v>
      </c>
      <c r="E268" s="3">
        <v>4269.4497153700186</v>
      </c>
      <c r="F268" s="3">
        <v>2700000</v>
      </c>
      <c r="G268" t="s">
        <v>1440</v>
      </c>
      <c r="H268" t="s">
        <v>1494</v>
      </c>
      <c r="I268" t="s">
        <v>1441</v>
      </c>
      <c r="J268" s="6">
        <v>142.31</v>
      </c>
      <c r="K268" t="s">
        <v>592</v>
      </c>
      <c r="L268" t="s">
        <v>24</v>
      </c>
      <c r="M268" s="2" t="s">
        <v>2777</v>
      </c>
      <c r="N268" t="s">
        <v>498</v>
      </c>
      <c r="O268" t="s">
        <v>79</v>
      </c>
      <c r="P268" s="7" t="s">
        <v>2778</v>
      </c>
      <c r="Q268">
        <v>459</v>
      </c>
      <c r="R268" s="6">
        <v>9.3000000000000007</v>
      </c>
    </row>
    <row r="269" spans="1:18">
      <c r="A269" t="s">
        <v>1495</v>
      </c>
      <c r="B269" s="1">
        <v>187.1</v>
      </c>
      <c r="C269" s="2" t="s">
        <v>2801</v>
      </c>
      <c r="D269" t="s">
        <v>1496</v>
      </c>
      <c r="E269" s="3">
        <v>9599.1448423303045</v>
      </c>
      <c r="F269" s="3">
        <v>1796000</v>
      </c>
      <c r="G269" t="s">
        <v>1497</v>
      </c>
      <c r="H269" t="s">
        <v>1498</v>
      </c>
      <c r="J269" s="6">
        <v>1.88</v>
      </c>
      <c r="K269" t="s">
        <v>90</v>
      </c>
      <c r="L269" t="s">
        <v>24</v>
      </c>
      <c r="M269" s="2" t="s">
        <v>2802</v>
      </c>
      <c r="N269" t="s">
        <v>1499</v>
      </c>
      <c r="O269" t="s">
        <v>107</v>
      </c>
      <c r="P269" s="7" t="s">
        <v>2803</v>
      </c>
      <c r="Q269">
        <v>743</v>
      </c>
      <c r="R269" s="6">
        <v>12.92</v>
      </c>
    </row>
    <row r="270" spans="1:18">
      <c r="A270" t="s">
        <v>1495</v>
      </c>
      <c r="B270" s="1">
        <v>30.6</v>
      </c>
      <c r="C270" s="2" t="s">
        <v>2804</v>
      </c>
      <c r="D270" t="s">
        <v>1500</v>
      </c>
      <c r="E270" s="3">
        <v>71699.34640522876</v>
      </c>
      <c r="F270" s="3">
        <v>2194000</v>
      </c>
      <c r="G270" t="s">
        <v>1501</v>
      </c>
      <c r="H270" t="s">
        <v>1502</v>
      </c>
      <c r="J270" s="6">
        <v>6.79</v>
      </c>
      <c r="K270" t="s">
        <v>23</v>
      </c>
      <c r="L270" t="s">
        <v>24</v>
      </c>
      <c r="M270" s="2" t="s">
        <v>2805</v>
      </c>
      <c r="N270" t="s">
        <v>1503</v>
      </c>
      <c r="O270" t="s">
        <v>554</v>
      </c>
      <c r="P270" s="7" t="s">
        <v>2806</v>
      </c>
      <c r="Q270">
        <v>3194</v>
      </c>
      <c r="R270" s="6">
        <v>22.45</v>
      </c>
    </row>
    <row r="271" spans="1:18">
      <c r="A271" t="s">
        <v>1495</v>
      </c>
      <c r="B271" s="1">
        <v>94.8</v>
      </c>
      <c r="C271" s="2" t="s">
        <v>2807</v>
      </c>
      <c r="D271" t="s">
        <v>1504</v>
      </c>
      <c r="E271" s="3">
        <v>56645.569620253169</v>
      </c>
      <c r="F271" s="3">
        <v>5370000</v>
      </c>
      <c r="G271" t="s">
        <v>1505</v>
      </c>
      <c r="H271" t="s">
        <v>1506</v>
      </c>
      <c r="J271" s="6">
        <v>9.2799999999999994</v>
      </c>
      <c r="K271" t="s">
        <v>901</v>
      </c>
      <c r="L271" t="s">
        <v>24</v>
      </c>
      <c r="M271" s="2" t="s">
        <v>2808</v>
      </c>
      <c r="N271" t="s">
        <v>1507</v>
      </c>
      <c r="O271" t="s">
        <v>1508</v>
      </c>
      <c r="P271" s="7" t="s">
        <v>2809</v>
      </c>
      <c r="Q271">
        <v>3734</v>
      </c>
      <c r="R271" s="6">
        <v>15.17</v>
      </c>
    </row>
    <row r="272" spans="1:18">
      <c r="A272" t="s">
        <v>1495</v>
      </c>
      <c r="B272" s="1">
        <v>1031.4000000000001</v>
      </c>
      <c r="C272" s="2" t="s">
        <v>2810</v>
      </c>
      <c r="D272" t="s">
        <v>1509</v>
      </c>
      <c r="E272" s="3">
        <v>2443.7200019391121</v>
      </c>
      <c r="F272" s="3">
        <v>2520452.81</v>
      </c>
      <c r="G272" t="s">
        <v>1510</v>
      </c>
      <c r="H272" t="s">
        <v>1511</v>
      </c>
      <c r="I272" t="s">
        <v>1512</v>
      </c>
      <c r="J272" s="6">
        <v>0.33</v>
      </c>
      <c r="K272" t="s">
        <v>23</v>
      </c>
      <c r="L272" t="s">
        <v>24</v>
      </c>
      <c r="M272" s="2" t="s">
        <v>2811</v>
      </c>
      <c r="N272" t="s">
        <v>1513</v>
      </c>
      <c r="O272" t="s">
        <v>130</v>
      </c>
      <c r="P272" s="7" t="s">
        <v>2812</v>
      </c>
      <c r="Q272">
        <v>106</v>
      </c>
      <c r="R272" s="6">
        <v>23.05</v>
      </c>
    </row>
    <row r="273" spans="1:18">
      <c r="A273" t="s">
        <v>1495</v>
      </c>
      <c r="B273" s="1">
        <v>217.4</v>
      </c>
      <c r="C273" s="2" t="s">
        <v>2813</v>
      </c>
      <c r="D273" t="s">
        <v>343</v>
      </c>
      <c r="E273" s="3">
        <v>39788.40846366145</v>
      </c>
      <c r="F273" s="3">
        <v>8650000</v>
      </c>
      <c r="G273" t="s">
        <v>1514</v>
      </c>
      <c r="H273" t="s">
        <v>1336</v>
      </c>
      <c r="I273" t="s">
        <v>1515</v>
      </c>
      <c r="J273" s="6">
        <v>9.15</v>
      </c>
      <c r="K273" t="s">
        <v>901</v>
      </c>
      <c r="L273" t="s">
        <v>24</v>
      </c>
      <c r="M273" s="2" t="s">
        <v>2814</v>
      </c>
      <c r="N273" t="s">
        <v>1516</v>
      </c>
      <c r="O273" t="s">
        <v>1044</v>
      </c>
      <c r="P273" s="7" t="s">
        <v>2815</v>
      </c>
      <c r="Q273">
        <v>4524</v>
      </c>
      <c r="R273" s="6">
        <v>8.7899999999999991</v>
      </c>
    </row>
    <row r="274" spans="1:18">
      <c r="A274" t="s">
        <v>1495</v>
      </c>
      <c r="B274" s="1">
        <v>270.3</v>
      </c>
      <c r="C274" s="2" t="s">
        <v>2816</v>
      </c>
      <c r="D274" t="s">
        <v>1517</v>
      </c>
      <c r="E274" s="3">
        <v>20292.267850536438</v>
      </c>
      <c r="F274" s="3">
        <v>5485000</v>
      </c>
      <c r="G274" t="s">
        <v>1518</v>
      </c>
      <c r="H274" t="s">
        <v>1519</v>
      </c>
      <c r="I274" t="s">
        <v>1520</v>
      </c>
      <c r="J274" s="6">
        <v>12.25</v>
      </c>
      <c r="K274" t="s">
        <v>23</v>
      </c>
      <c r="L274" t="s">
        <v>24</v>
      </c>
      <c r="M274" s="2" t="s">
        <v>2817</v>
      </c>
      <c r="N274" t="s">
        <v>1521</v>
      </c>
      <c r="O274" t="s">
        <v>216</v>
      </c>
      <c r="P274" s="7" t="s">
        <v>2818</v>
      </c>
      <c r="Q274">
        <v>1729</v>
      </c>
      <c r="R274" s="6">
        <v>11.74</v>
      </c>
    </row>
    <row r="275" spans="1:18">
      <c r="A275" t="s">
        <v>1495</v>
      </c>
      <c r="B275" s="1">
        <v>66.599999999999994</v>
      </c>
      <c r="C275" s="2" t="s">
        <v>2819</v>
      </c>
      <c r="D275" t="s">
        <v>1522</v>
      </c>
      <c r="E275" s="3">
        <v>18085.585585585592</v>
      </c>
      <c r="F275" s="3">
        <v>1204500</v>
      </c>
      <c r="G275" t="s">
        <v>1523</v>
      </c>
      <c r="H275" t="s">
        <v>1096</v>
      </c>
      <c r="J275" s="6">
        <v>1.98</v>
      </c>
      <c r="K275" t="s">
        <v>90</v>
      </c>
      <c r="L275" t="s">
        <v>24</v>
      </c>
      <c r="M275" s="2" t="s">
        <v>2820</v>
      </c>
      <c r="N275" t="s">
        <v>1524</v>
      </c>
      <c r="O275" t="s">
        <v>234</v>
      </c>
      <c r="P275" s="7" t="s">
        <v>2821</v>
      </c>
      <c r="Q275">
        <v>2832</v>
      </c>
      <c r="R275" s="6">
        <v>6.39</v>
      </c>
    </row>
    <row r="276" spans="1:18">
      <c r="A276" t="s">
        <v>1495</v>
      </c>
      <c r="B276" s="1">
        <v>16.3</v>
      </c>
      <c r="C276" s="2" t="s">
        <v>2822</v>
      </c>
      <c r="D276" t="s">
        <v>1525</v>
      </c>
      <c r="E276" s="3">
        <v>31886.50306748466</v>
      </c>
      <c r="F276" s="3">
        <v>519750</v>
      </c>
      <c r="G276" t="s">
        <v>1523</v>
      </c>
      <c r="H276" t="s">
        <v>1096</v>
      </c>
      <c r="J276" s="6">
        <v>3.49</v>
      </c>
      <c r="K276" t="s">
        <v>90</v>
      </c>
      <c r="L276" t="s">
        <v>24</v>
      </c>
      <c r="M276" s="2" t="s">
        <v>2820</v>
      </c>
      <c r="N276" t="s">
        <v>1524</v>
      </c>
      <c r="O276" t="s">
        <v>234</v>
      </c>
      <c r="P276" s="7" t="s">
        <v>2821</v>
      </c>
      <c r="Q276">
        <v>2832</v>
      </c>
      <c r="R276" s="6">
        <v>11.26</v>
      </c>
    </row>
    <row r="277" spans="1:18">
      <c r="A277" t="s">
        <v>1526</v>
      </c>
      <c r="B277" s="1">
        <v>99.3</v>
      </c>
      <c r="C277" s="2" t="s">
        <v>2823</v>
      </c>
      <c r="D277" t="s">
        <v>1527</v>
      </c>
      <c r="E277" s="3">
        <v>52366.565961732129</v>
      </c>
      <c r="F277" s="3">
        <v>5200000</v>
      </c>
      <c r="G277" t="s">
        <v>1528</v>
      </c>
      <c r="H277" t="s">
        <v>1529</v>
      </c>
      <c r="I277" t="s">
        <v>1530</v>
      </c>
      <c r="J277" s="6">
        <v>10.52</v>
      </c>
      <c r="K277" t="s">
        <v>23</v>
      </c>
      <c r="L277" t="s">
        <v>24</v>
      </c>
      <c r="M277" s="2" t="s">
        <v>2824</v>
      </c>
      <c r="N277" t="s">
        <v>1531</v>
      </c>
      <c r="O277" t="s">
        <v>577</v>
      </c>
      <c r="P277" s="7" t="s">
        <v>2825</v>
      </c>
      <c r="Q277">
        <v>8702</v>
      </c>
      <c r="R277" s="6">
        <v>6.02</v>
      </c>
    </row>
    <row r="278" spans="1:18">
      <c r="A278" t="s">
        <v>1526</v>
      </c>
      <c r="B278" s="1">
        <v>31.2</v>
      </c>
      <c r="C278" s="2" t="s">
        <v>2826</v>
      </c>
      <c r="D278" t="s">
        <v>1532</v>
      </c>
      <c r="E278" s="3">
        <v>267948.71794871788</v>
      </c>
      <c r="F278" s="3">
        <v>8360000</v>
      </c>
      <c r="G278" t="s">
        <v>1533</v>
      </c>
      <c r="H278" t="s">
        <v>1534</v>
      </c>
      <c r="I278" t="s">
        <v>1535</v>
      </c>
      <c r="J278" s="6">
        <v>24.64</v>
      </c>
      <c r="K278" t="s">
        <v>23</v>
      </c>
      <c r="L278" t="s">
        <v>24</v>
      </c>
      <c r="M278" s="2" t="s">
        <v>2827</v>
      </c>
      <c r="N278" t="s">
        <v>1536</v>
      </c>
      <c r="O278" t="s">
        <v>1109</v>
      </c>
      <c r="P278" s="7" t="s">
        <v>2828</v>
      </c>
      <c r="Q278">
        <v>12893</v>
      </c>
      <c r="R278" s="6">
        <v>20.78</v>
      </c>
    </row>
    <row r="279" spans="1:18">
      <c r="A279" t="s">
        <v>1526</v>
      </c>
      <c r="B279" s="1">
        <v>49.6</v>
      </c>
      <c r="C279" s="2" t="s">
        <v>2829</v>
      </c>
      <c r="D279" t="s">
        <v>1537</v>
      </c>
      <c r="E279" s="3">
        <v>122274.19354838711</v>
      </c>
      <c r="F279" s="3">
        <v>6064800</v>
      </c>
      <c r="G279" t="s">
        <v>1538</v>
      </c>
      <c r="H279" t="s">
        <v>1534</v>
      </c>
      <c r="I279" t="s">
        <v>1539</v>
      </c>
      <c r="J279" s="6">
        <v>17.579999999999998</v>
      </c>
      <c r="K279" t="s">
        <v>23</v>
      </c>
      <c r="L279" t="s">
        <v>24</v>
      </c>
      <c r="M279" s="2" t="s">
        <v>2830</v>
      </c>
      <c r="N279" t="s">
        <v>1540</v>
      </c>
      <c r="O279" t="s">
        <v>1541</v>
      </c>
      <c r="P279" s="7" t="s">
        <v>2831</v>
      </c>
      <c r="Q279">
        <v>17728</v>
      </c>
      <c r="R279" s="6">
        <v>6.9</v>
      </c>
    </row>
    <row r="280" spans="1:18">
      <c r="A280" t="s">
        <v>1526</v>
      </c>
      <c r="B280" s="1">
        <v>54.3</v>
      </c>
      <c r="C280" s="2" t="s">
        <v>2832</v>
      </c>
      <c r="D280" t="s">
        <v>1542</v>
      </c>
      <c r="E280" s="3">
        <v>114749.5395948435</v>
      </c>
      <c r="F280" s="3">
        <v>6230900</v>
      </c>
      <c r="G280" t="s">
        <v>1543</v>
      </c>
      <c r="H280" t="s">
        <v>1544</v>
      </c>
      <c r="I280" t="s">
        <v>1545</v>
      </c>
      <c r="J280" s="6">
        <v>21.82</v>
      </c>
      <c r="K280" t="s">
        <v>23</v>
      </c>
      <c r="L280" t="s">
        <v>24</v>
      </c>
      <c r="M280" s="2" t="s">
        <v>2833</v>
      </c>
      <c r="N280" t="s">
        <v>1546</v>
      </c>
      <c r="O280" t="s">
        <v>946</v>
      </c>
      <c r="P280" s="7" t="s">
        <v>2834</v>
      </c>
      <c r="Q280">
        <v>6985</v>
      </c>
      <c r="R280" s="6">
        <v>16.43</v>
      </c>
    </row>
    <row r="281" spans="1:18">
      <c r="A281" t="s">
        <v>1526</v>
      </c>
      <c r="B281" s="1">
        <v>42.9</v>
      </c>
      <c r="C281" s="2" t="s">
        <v>2835</v>
      </c>
      <c r="D281" t="s">
        <v>1547</v>
      </c>
      <c r="E281" s="3">
        <v>111608.3916083916</v>
      </c>
      <c r="F281" s="3">
        <v>4788000</v>
      </c>
      <c r="G281" t="s">
        <v>1548</v>
      </c>
      <c r="H281" t="s">
        <v>1549</v>
      </c>
      <c r="I281" t="s">
        <v>1550</v>
      </c>
      <c r="J281" s="6">
        <v>18.7</v>
      </c>
      <c r="K281" t="s">
        <v>23</v>
      </c>
      <c r="L281" t="s">
        <v>24</v>
      </c>
      <c r="M281" s="2" t="s">
        <v>2836</v>
      </c>
      <c r="N281" t="s">
        <v>1551</v>
      </c>
      <c r="O281" t="s">
        <v>784</v>
      </c>
      <c r="P281" s="7" t="s">
        <v>2837</v>
      </c>
      <c r="Q281">
        <v>4743</v>
      </c>
      <c r="R281" s="6">
        <v>23.53</v>
      </c>
    </row>
    <row r="282" spans="1:18">
      <c r="A282" t="s">
        <v>1526</v>
      </c>
      <c r="B282" s="1">
        <v>44.3</v>
      </c>
      <c r="C282" s="2" t="s">
        <v>2838</v>
      </c>
      <c r="D282" t="s">
        <v>1547</v>
      </c>
      <c r="E282" s="3">
        <v>211559.8194130926</v>
      </c>
      <c r="F282" s="3">
        <v>9372100</v>
      </c>
      <c r="G282" t="s">
        <v>1552</v>
      </c>
      <c r="H282" t="s">
        <v>1544</v>
      </c>
      <c r="I282" t="s">
        <v>1553</v>
      </c>
      <c r="J282" s="6">
        <v>27.39</v>
      </c>
      <c r="K282" t="s">
        <v>23</v>
      </c>
      <c r="L282" t="s">
        <v>24</v>
      </c>
      <c r="M282" s="2" t="s">
        <v>2839</v>
      </c>
      <c r="N282" t="s">
        <v>1554</v>
      </c>
      <c r="O282" t="s">
        <v>1555</v>
      </c>
      <c r="P282" s="7" t="s">
        <v>2840</v>
      </c>
      <c r="Q282">
        <v>8231</v>
      </c>
      <c r="R282" s="6">
        <v>25.7</v>
      </c>
    </row>
    <row r="283" spans="1:18">
      <c r="A283" t="s">
        <v>1526</v>
      </c>
      <c r="B283" s="1">
        <v>13.7</v>
      </c>
      <c r="C283" s="2" t="s">
        <v>2841</v>
      </c>
      <c r="D283" t="s">
        <v>1556</v>
      </c>
      <c r="E283" s="3">
        <v>385459.85401459847</v>
      </c>
      <c r="F283" s="3">
        <v>5280800</v>
      </c>
      <c r="G283" t="s">
        <v>1557</v>
      </c>
      <c r="H283" t="s">
        <v>1558</v>
      </c>
      <c r="I283" t="s">
        <v>1559</v>
      </c>
      <c r="J283" s="6">
        <v>47.42</v>
      </c>
      <c r="K283" t="s">
        <v>23</v>
      </c>
      <c r="L283" t="s">
        <v>24</v>
      </c>
      <c r="M283" s="2" t="s">
        <v>2842</v>
      </c>
      <c r="N283" t="s">
        <v>1560</v>
      </c>
      <c r="O283" t="s">
        <v>1561</v>
      </c>
      <c r="P283" s="7" t="s">
        <v>2843</v>
      </c>
      <c r="Q283">
        <v>8155</v>
      </c>
      <c r="R283" s="6">
        <v>47.27</v>
      </c>
    </row>
    <row r="284" spans="1:18">
      <c r="A284" t="s">
        <v>1526</v>
      </c>
      <c r="B284" s="1">
        <v>35.700000000000003</v>
      </c>
      <c r="C284" s="2" t="s">
        <v>2844</v>
      </c>
      <c r="D284" t="s">
        <v>1542</v>
      </c>
      <c r="E284" s="3">
        <v>217009.80392156859</v>
      </c>
      <c r="F284" s="3">
        <v>7747250</v>
      </c>
      <c r="G284" t="s">
        <v>1562</v>
      </c>
      <c r="H284" t="s">
        <v>1563</v>
      </c>
      <c r="I284" t="s">
        <v>1564</v>
      </c>
      <c r="J284" s="6">
        <v>15.55</v>
      </c>
      <c r="K284" t="s">
        <v>23</v>
      </c>
      <c r="L284" t="s">
        <v>24</v>
      </c>
      <c r="M284" s="2" t="s">
        <v>2845</v>
      </c>
      <c r="N284" t="s">
        <v>1565</v>
      </c>
      <c r="O284" t="s">
        <v>1149</v>
      </c>
      <c r="P284" s="7" t="s">
        <v>2846</v>
      </c>
      <c r="Q284">
        <v>11024</v>
      </c>
      <c r="R284" s="6">
        <v>19.690000000000001</v>
      </c>
    </row>
    <row r="285" spans="1:18">
      <c r="A285" t="s">
        <v>1526</v>
      </c>
      <c r="B285" s="1">
        <v>54.8</v>
      </c>
      <c r="C285" s="2" t="s">
        <v>2847</v>
      </c>
      <c r="D285" t="s">
        <v>1566</v>
      </c>
      <c r="E285" s="3">
        <v>121672.44525547449</v>
      </c>
      <c r="F285" s="3">
        <v>6667650</v>
      </c>
      <c r="G285" t="s">
        <v>1567</v>
      </c>
      <c r="H285" t="s">
        <v>1568</v>
      </c>
      <c r="I285" t="s">
        <v>1569</v>
      </c>
      <c r="J285" s="6">
        <v>20.100000000000001</v>
      </c>
      <c r="K285" t="s">
        <v>23</v>
      </c>
      <c r="L285" t="s">
        <v>24</v>
      </c>
      <c r="M285" s="2" t="s">
        <v>2848</v>
      </c>
      <c r="N285" t="s">
        <v>1570</v>
      </c>
      <c r="O285" t="s">
        <v>1163</v>
      </c>
      <c r="P285" s="7" t="s">
        <v>2849</v>
      </c>
      <c r="Q285">
        <v>7465</v>
      </c>
      <c r="R285" s="6">
        <v>16.3</v>
      </c>
    </row>
    <row r="286" spans="1:18">
      <c r="A286" t="s">
        <v>1526</v>
      </c>
      <c r="B286" s="1">
        <v>12.4</v>
      </c>
      <c r="C286" s="2" t="s">
        <v>2850</v>
      </c>
      <c r="D286" t="s">
        <v>1542</v>
      </c>
      <c r="E286" s="3">
        <v>203854.83870967739</v>
      </c>
      <c r="F286" s="3">
        <v>2527800</v>
      </c>
      <c r="G286" t="s">
        <v>1571</v>
      </c>
      <c r="H286" t="s">
        <v>1572</v>
      </c>
      <c r="I286" t="s">
        <v>1573</v>
      </c>
      <c r="J286" s="6">
        <v>40.4</v>
      </c>
      <c r="K286" t="s">
        <v>23</v>
      </c>
      <c r="L286" t="s">
        <v>24</v>
      </c>
      <c r="M286" s="2" t="s">
        <v>2851</v>
      </c>
      <c r="N286" t="s">
        <v>1574</v>
      </c>
      <c r="O286" t="s">
        <v>453</v>
      </c>
      <c r="P286" s="7" t="s">
        <v>2852</v>
      </c>
      <c r="Q286">
        <v>11969</v>
      </c>
      <c r="R286" s="6">
        <v>17.03</v>
      </c>
    </row>
    <row r="287" spans="1:18">
      <c r="A287" t="s">
        <v>1526</v>
      </c>
      <c r="B287" s="1">
        <v>50.1</v>
      </c>
      <c r="C287" s="2" t="s">
        <v>2853</v>
      </c>
      <c r="D287" t="s">
        <v>1575</v>
      </c>
      <c r="E287" s="3">
        <v>179609.41616766469</v>
      </c>
      <c r="F287" s="3">
        <v>8998431.75</v>
      </c>
      <c r="G287" t="s">
        <v>1576</v>
      </c>
      <c r="H287" t="s">
        <v>1563</v>
      </c>
      <c r="I287" t="s">
        <v>1577</v>
      </c>
      <c r="J287" s="6">
        <v>19.05</v>
      </c>
      <c r="K287" t="s">
        <v>23</v>
      </c>
      <c r="L287" t="s">
        <v>24</v>
      </c>
      <c r="M287" s="2" t="s">
        <v>2854</v>
      </c>
      <c r="N287" t="s">
        <v>1578</v>
      </c>
      <c r="O287" t="s">
        <v>1579</v>
      </c>
      <c r="P287" s="7" t="s">
        <v>2855</v>
      </c>
      <c r="Q287">
        <v>4909</v>
      </c>
      <c r="R287" s="6">
        <v>36.590000000000003</v>
      </c>
    </row>
    <row r="288" spans="1:18">
      <c r="A288" t="s">
        <v>1526</v>
      </c>
      <c r="B288" s="1">
        <v>79.7</v>
      </c>
      <c r="C288" s="2" t="s">
        <v>2856</v>
      </c>
      <c r="D288" t="s">
        <v>1580</v>
      </c>
      <c r="E288" s="3">
        <v>120439.774153074</v>
      </c>
      <c r="F288" s="3">
        <v>9599050</v>
      </c>
      <c r="G288" t="s">
        <v>1581</v>
      </c>
      <c r="H288" t="s">
        <v>1582</v>
      </c>
      <c r="I288" t="s">
        <v>1583</v>
      </c>
      <c r="J288" s="6">
        <v>12.62</v>
      </c>
      <c r="K288" t="s">
        <v>23</v>
      </c>
      <c r="L288" t="s">
        <v>24</v>
      </c>
      <c r="M288" s="2" t="s">
        <v>2857</v>
      </c>
      <c r="N288" t="s">
        <v>1584</v>
      </c>
      <c r="O288" t="s">
        <v>1006</v>
      </c>
      <c r="P288" s="7" t="s">
        <v>2858</v>
      </c>
      <c r="Q288">
        <v>4146</v>
      </c>
      <c r="R288" s="6">
        <v>29.05</v>
      </c>
    </row>
    <row r="289" spans="1:18">
      <c r="A289" t="s">
        <v>1526</v>
      </c>
      <c r="B289" s="1">
        <v>38.299999999999997</v>
      </c>
      <c r="C289" s="2" t="s">
        <v>2859</v>
      </c>
      <c r="D289" t="s">
        <v>1532</v>
      </c>
      <c r="E289" s="3">
        <v>231973.89033942559</v>
      </c>
      <c r="F289" s="3">
        <v>8884600</v>
      </c>
      <c r="G289" t="s">
        <v>1585</v>
      </c>
      <c r="H289" t="s">
        <v>1586</v>
      </c>
      <c r="I289" t="s">
        <v>1587</v>
      </c>
      <c r="J289" s="6">
        <v>19.46</v>
      </c>
      <c r="K289" t="s">
        <v>23</v>
      </c>
      <c r="L289" t="s">
        <v>24</v>
      </c>
      <c r="M289" s="2" t="s">
        <v>2860</v>
      </c>
      <c r="N289" t="s">
        <v>1588</v>
      </c>
      <c r="O289" t="s">
        <v>430</v>
      </c>
      <c r="P289" s="7" t="s">
        <v>2861</v>
      </c>
      <c r="Q289">
        <v>5952</v>
      </c>
      <c r="R289" s="6">
        <v>38.97</v>
      </c>
    </row>
    <row r="290" spans="1:18">
      <c r="A290" t="s">
        <v>1526</v>
      </c>
      <c r="B290" s="1">
        <v>88.6</v>
      </c>
      <c r="C290" s="2" t="s">
        <v>2862</v>
      </c>
      <c r="D290" t="s">
        <v>1527</v>
      </c>
      <c r="E290" s="3">
        <v>94221.218961625287</v>
      </c>
      <c r="F290" s="3">
        <v>8348000</v>
      </c>
      <c r="G290" t="s">
        <v>1589</v>
      </c>
      <c r="H290" t="s">
        <v>1590</v>
      </c>
      <c r="I290" t="s">
        <v>1591</v>
      </c>
      <c r="J290" s="6">
        <v>12.63</v>
      </c>
      <c r="K290" t="s">
        <v>23</v>
      </c>
      <c r="L290" t="s">
        <v>24</v>
      </c>
      <c r="M290" s="2" t="s">
        <v>2863</v>
      </c>
      <c r="N290" t="s">
        <v>1592</v>
      </c>
      <c r="O290" t="s">
        <v>189</v>
      </c>
      <c r="P290" s="7" t="s">
        <v>2864</v>
      </c>
      <c r="Q290">
        <v>2931</v>
      </c>
      <c r="R290" s="6">
        <v>32.15</v>
      </c>
    </row>
    <row r="291" spans="1:18">
      <c r="A291" t="s">
        <v>1526</v>
      </c>
      <c r="B291" s="1">
        <v>61.3</v>
      </c>
      <c r="C291" s="2" t="s">
        <v>2865</v>
      </c>
      <c r="D291" t="s">
        <v>1593</v>
      </c>
      <c r="E291" s="3">
        <v>88531.810766721042</v>
      </c>
      <c r="F291" s="3">
        <v>5427000</v>
      </c>
      <c r="G291" t="s">
        <v>1594</v>
      </c>
      <c r="H291" t="s">
        <v>1595</v>
      </c>
      <c r="I291" t="s">
        <v>1596</v>
      </c>
      <c r="J291" s="6">
        <v>10.86</v>
      </c>
      <c r="K291" t="s">
        <v>23</v>
      </c>
      <c r="L291" t="s">
        <v>24</v>
      </c>
      <c r="M291" s="2" t="s">
        <v>2866</v>
      </c>
      <c r="N291" t="s">
        <v>1597</v>
      </c>
      <c r="O291" t="s">
        <v>1598</v>
      </c>
      <c r="P291" s="7" t="s">
        <v>2867</v>
      </c>
      <c r="Q291">
        <v>9455</v>
      </c>
      <c r="R291" s="6">
        <v>9.36</v>
      </c>
    </row>
    <row r="292" spans="1:18">
      <c r="A292" t="s">
        <v>1526</v>
      </c>
      <c r="B292" s="1">
        <v>87.3</v>
      </c>
      <c r="C292" s="2" t="s">
        <v>2868</v>
      </c>
      <c r="D292" t="s">
        <v>1599</v>
      </c>
      <c r="E292" s="3">
        <v>104579.03780068731</v>
      </c>
      <c r="F292" s="3">
        <v>9129750</v>
      </c>
      <c r="G292" t="s">
        <v>1600</v>
      </c>
      <c r="H292" t="s">
        <v>1601</v>
      </c>
      <c r="I292" t="s">
        <v>1602</v>
      </c>
      <c r="J292" s="6">
        <v>9.35</v>
      </c>
      <c r="K292" t="s">
        <v>23</v>
      </c>
      <c r="L292" t="s">
        <v>24</v>
      </c>
      <c r="M292" s="2" t="s">
        <v>2869</v>
      </c>
      <c r="N292" t="s">
        <v>1603</v>
      </c>
      <c r="O292" t="s">
        <v>1604</v>
      </c>
      <c r="P292" s="7" t="s">
        <v>2870</v>
      </c>
      <c r="Q292">
        <v>9409</v>
      </c>
      <c r="R292" s="6">
        <v>11.11</v>
      </c>
    </row>
    <row r="293" spans="1:18">
      <c r="A293" t="s">
        <v>1526</v>
      </c>
      <c r="B293" s="1">
        <v>113.5</v>
      </c>
      <c r="C293" s="2" t="s">
        <v>2871</v>
      </c>
      <c r="D293" t="s">
        <v>1605</v>
      </c>
      <c r="E293" s="3">
        <v>52986.784140969161</v>
      </c>
      <c r="F293" s="3">
        <v>6014000</v>
      </c>
      <c r="G293" t="s">
        <v>1606</v>
      </c>
      <c r="H293" t="s">
        <v>1607</v>
      </c>
      <c r="I293" t="s">
        <v>1608</v>
      </c>
      <c r="J293" s="6">
        <v>5.0599999999999996</v>
      </c>
      <c r="K293" t="s">
        <v>23</v>
      </c>
      <c r="L293" t="s">
        <v>24</v>
      </c>
      <c r="M293" s="2" t="s">
        <v>2872</v>
      </c>
      <c r="N293" t="s">
        <v>1609</v>
      </c>
      <c r="O293" t="s">
        <v>946</v>
      </c>
      <c r="P293" s="7" t="s">
        <v>2873</v>
      </c>
      <c r="Q293">
        <v>11397</v>
      </c>
      <c r="R293" s="6">
        <v>4.6500000000000004</v>
      </c>
    </row>
    <row r="294" spans="1:18">
      <c r="A294" t="s">
        <v>1526</v>
      </c>
      <c r="B294" s="1">
        <v>27.5</v>
      </c>
      <c r="C294" s="2" t="s">
        <v>2874</v>
      </c>
      <c r="D294" t="s">
        <v>1610</v>
      </c>
      <c r="E294" s="3">
        <v>295747.41818181821</v>
      </c>
      <c r="F294" s="3">
        <v>8133054</v>
      </c>
      <c r="G294" t="s">
        <v>1611</v>
      </c>
      <c r="H294" t="s">
        <v>1607</v>
      </c>
      <c r="I294" t="s">
        <v>1612</v>
      </c>
      <c r="J294" s="6">
        <v>98.48</v>
      </c>
      <c r="K294" t="s">
        <v>23</v>
      </c>
      <c r="L294" t="s">
        <v>24</v>
      </c>
      <c r="M294" s="2" t="s">
        <v>2875</v>
      </c>
      <c r="N294" t="s">
        <v>1139</v>
      </c>
      <c r="O294" t="s">
        <v>178</v>
      </c>
      <c r="P294" s="7" t="s">
        <v>2876</v>
      </c>
      <c r="Q294">
        <v>9224</v>
      </c>
      <c r="R294" s="6">
        <v>32.06</v>
      </c>
    </row>
    <row r="295" spans="1:18">
      <c r="A295" t="s">
        <v>1526</v>
      </c>
      <c r="B295" s="1">
        <v>31.7</v>
      </c>
      <c r="C295" s="2" t="s">
        <v>2877</v>
      </c>
      <c r="D295" t="s">
        <v>1532</v>
      </c>
      <c r="E295" s="3">
        <v>107223.97476340691</v>
      </c>
      <c r="F295" s="3">
        <v>3399000</v>
      </c>
      <c r="G295" t="s">
        <v>1613</v>
      </c>
      <c r="H295" t="s">
        <v>1614</v>
      </c>
      <c r="I295" t="s">
        <v>1615</v>
      </c>
      <c r="J295" s="6">
        <v>13.43</v>
      </c>
      <c r="K295" t="s">
        <v>23</v>
      </c>
      <c r="L295" t="s">
        <v>24</v>
      </c>
      <c r="M295" s="2" t="s">
        <v>2878</v>
      </c>
      <c r="N295" t="s">
        <v>1616</v>
      </c>
      <c r="O295" t="s">
        <v>1617</v>
      </c>
      <c r="P295" s="7" t="s">
        <v>2879</v>
      </c>
      <c r="Q295">
        <v>8845</v>
      </c>
      <c r="R295" s="6">
        <v>12.12</v>
      </c>
    </row>
    <row r="296" spans="1:18">
      <c r="A296" t="s">
        <v>1526</v>
      </c>
      <c r="B296" s="1">
        <v>54.1</v>
      </c>
      <c r="C296" s="2" t="s">
        <v>2880</v>
      </c>
      <c r="D296" t="s">
        <v>1618</v>
      </c>
      <c r="E296" s="3">
        <v>84617.375231053607</v>
      </c>
      <c r="F296" s="3">
        <v>4577800</v>
      </c>
      <c r="G296" t="s">
        <v>1619</v>
      </c>
      <c r="H296" t="s">
        <v>76</v>
      </c>
      <c r="I296" t="s">
        <v>1620</v>
      </c>
      <c r="J296" s="6">
        <v>6.9</v>
      </c>
      <c r="K296" t="s">
        <v>90</v>
      </c>
      <c r="L296" t="s">
        <v>24</v>
      </c>
      <c r="M296" s="2" t="s">
        <v>2881</v>
      </c>
      <c r="N296" t="s">
        <v>1621</v>
      </c>
      <c r="O296" t="s">
        <v>117</v>
      </c>
      <c r="P296" s="7" t="s">
        <v>2882</v>
      </c>
      <c r="Q296">
        <v>7570</v>
      </c>
      <c r="R296" s="6">
        <v>11.18</v>
      </c>
    </row>
    <row r="297" spans="1:18">
      <c r="A297" t="s">
        <v>1526</v>
      </c>
      <c r="B297" s="1">
        <v>59.9</v>
      </c>
      <c r="C297" s="2" t="s">
        <v>2883</v>
      </c>
      <c r="D297" t="s">
        <v>1618</v>
      </c>
      <c r="E297" s="3">
        <v>88743.739565943237</v>
      </c>
      <c r="F297" s="3">
        <v>5315750</v>
      </c>
      <c r="G297" t="s">
        <v>1622</v>
      </c>
      <c r="H297" t="s">
        <v>76</v>
      </c>
      <c r="I297" t="s">
        <v>1623</v>
      </c>
      <c r="J297" s="6">
        <v>7.24</v>
      </c>
      <c r="K297" t="s">
        <v>90</v>
      </c>
      <c r="L297" t="s">
        <v>24</v>
      </c>
      <c r="M297" s="2" t="s">
        <v>2881</v>
      </c>
      <c r="N297" t="s">
        <v>1621</v>
      </c>
      <c r="O297" t="s">
        <v>117</v>
      </c>
      <c r="P297" s="7" t="s">
        <v>2882</v>
      </c>
      <c r="Q297">
        <v>7570</v>
      </c>
      <c r="R297" s="6">
        <v>11.72</v>
      </c>
    </row>
    <row r="298" spans="1:18">
      <c r="A298" t="s">
        <v>1526</v>
      </c>
      <c r="B298" s="1">
        <v>398.5</v>
      </c>
      <c r="C298" s="2" t="s">
        <v>2884</v>
      </c>
      <c r="D298" t="s">
        <v>1618</v>
      </c>
      <c r="E298" s="3">
        <v>22547.051442910921</v>
      </c>
      <c r="F298" s="3">
        <v>8985000</v>
      </c>
      <c r="G298" t="s">
        <v>1624</v>
      </c>
      <c r="H298" t="s">
        <v>76</v>
      </c>
      <c r="I298" t="s">
        <v>1625</v>
      </c>
      <c r="J298" s="6">
        <v>2.98</v>
      </c>
      <c r="K298" t="s">
        <v>90</v>
      </c>
      <c r="L298" t="s">
        <v>24</v>
      </c>
      <c r="M298" s="2" t="s">
        <v>2885</v>
      </c>
      <c r="N298" t="s">
        <v>1626</v>
      </c>
      <c r="O298" t="s">
        <v>61</v>
      </c>
      <c r="P298" s="7" t="s">
        <v>2886</v>
      </c>
      <c r="Q298">
        <v>7183</v>
      </c>
      <c r="R298" s="6">
        <v>3.14</v>
      </c>
    </row>
    <row r="299" spans="1:18">
      <c r="A299" t="s">
        <v>1526</v>
      </c>
      <c r="B299" s="1">
        <v>35.299999999999997</v>
      </c>
      <c r="C299" s="2" t="s">
        <v>2887</v>
      </c>
      <c r="D299" t="s">
        <v>1627</v>
      </c>
      <c r="E299" s="3">
        <v>194260.62322946181</v>
      </c>
      <c r="F299" s="3">
        <v>6857400</v>
      </c>
      <c r="G299" t="s">
        <v>1628</v>
      </c>
      <c r="H299" t="s">
        <v>76</v>
      </c>
      <c r="I299" t="s">
        <v>1629</v>
      </c>
      <c r="J299" s="6">
        <v>30.18</v>
      </c>
      <c r="K299" t="s">
        <v>23</v>
      </c>
      <c r="L299" t="s">
        <v>24</v>
      </c>
      <c r="M299" s="2" t="s">
        <v>2888</v>
      </c>
      <c r="N299" t="s">
        <v>1630</v>
      </c>
      <c r="O299" t="s">
        <v>415</v>
      </c>
      <c r="P299" s="7" t="s">
        <v>2889</v>
      </c>
      <c r="Q299">
        <v>12326</v>
      </c>
      <c r="R299" s="6">
        <v>15.76</v>
      </c>
    </row>
    <row r="300" spans="1:18">
      <c r="A300" t="s">
        <v>1526</v>
      </c>
      <c r="B300" s="1">
        <v>27.5</v>
      </c>
      <c r="C300" s="2" t="s">
        <v>2890</v>
      </c>
      <c r="D300" t="s">
        <v>1631</v>
      </c>
      <c r="E300" s="3">
        <v>170267.27272727271</v>
      </c>
      <c r="F300" s="3">
        <v>4682350</v>
      </c>
      <c r="G300" t="s">
        <v>1632</v>
      </c>
      <c r="H300" t="s">
        <v>1633</v>
      </c>
      <c r="I300" t="s">
        <v>1634</v>
      </c>
      <c r="J300" s="6">
        <v>40.57</v>
      </c>
      <c r="K300" t="s">
        <v>23</v>
      </c>
      <c r="L300" t="s">
        <v>24</v>
      </c>
      <c r="M300" s="2" t="s">
        <v>2891</v>
      </c>
      <c r="N300" t="s">
        <v>1635</v>
      </c>
      <c r="O300" t="s">
        <v>55</v>
      </c>
      <c r="P300" s="7" t="s">
        <v>2892</v>
      </c>
      <c r="Q300">
        <v>11298</v>
      </c>
      <c r="R300" s="6">
        <v>15.07</v>
      </c>
    </row>
    <row r="301" spans="1:18">
      <c r="A301" t="s">
        <v>1526</v>
      </c>
      <c r="B301" s="1">
        <v>69.400000000000006</v>
      </c>
      <c r="C301" s="2" t="s">
        <v>2893</v>
      </c>
      <c r="D301" t="s">
        <v>1636</v>
      </c>
      <c r="E301" s="3">
        <v>29243.515850144089</v>
      </c>
      <c r="F301" s="3">
        <v>2029500</v>
      </c>
      <c r="G301" t="s">
        <v>1637</v>
      </c>
      <c r="H301" t="s">
        <v>1638</v>
      </c>
      <c r="I301" t="s">
        <v>1639</v>
      </c>
      <c r="J301" s="6">
        <v>9.64</v>
      </c>
      <c r="K301" t="s">
        <v>90</v>
      </c>
      <c r="L301" t="s">
        <v>24</v>
      </c>
      <c r="M301" s="2" t="s">
        <v>2894</v>
      </c>
      <c r="N301" t="s">
        <v>1640</v>
      </c>
      <c r="O301" t="s">
        <v>430</v>
      </c>
      <c r="P301" s="7" t="s">
        <v>2895</v>
      </c>
      <c r="Q301">
        <v>5819</v>
      </c>
      <c r="R301" s="6">
        <v>5.03</v>
      </c>
    </row>
    <row r="302" spans="1:18">
      <c r="A302" t="s">
        <v>1526</v>
      </c>
      <c r="B302" s="1">
        <v>72.7</v>
      </c>
      <c r="C302" s="2" t="s">
        <v>2896</v>
      </c>
      <c r="D302" t="s">
        <v>1636</v>
      </c>
      <c r="E302" s="3">
        <v>92654.745529573585</v>
      </c>
      <c r="F302" s="3">
        <v>6736000</v>
      </c>
      <c r="G302" t="s">
        <v>1641</v>
      </c>
      <c r="H302" t="s">
        <v>1642</v>
      </c>
      <c r="I302" t="s">
        <v>1643</v>
      </c>
      <c r="J302" s="6">
        <v>11.62</v>
      </c>
      <c r="K302" t="s">
        <v>90</v>
      </c>
      <c r="L302" t="s">
        <v>24</v>
      </c>
      <c r="M302" s="2" t="s">
        <v>2897</v>
      </c>
      <c r="N302" t="s">
        <v>1644</v>
      </c>
      <c r="O302" t="s">
        <v>125</v>
      </c>
      <c r="P302" s="7" t="s">
        <v>2898</v>
      </c>
      <c r="Q302">
        <v>2253</v>
      </c>
      <c r="R302" s="6">
        <v>41.13</v>
      </c>
    </row>
    <row r="303" spans="1:18">
      <c r="A303" t="s">
        <v>1526</v>
      </c>
      <c r="B303" s="1">
        <v>103.1</v>
      </c>
      <c r="C303" s="2" t="s">
        <v>2899</v>
      </c>
      <c r="D303" t="s">
        <v>1537</v>
      </c>
      <c r="E303" s="3">
        <v>41125.121241513087</v>
      </c>
      <c r="F303" s="3">
        <v>4240000</v>
      </c>
      <c r="G303" t="s">
        <v>1645</v>
      </c>
      <c r="H303" t="s">
        <v>1642</v>
      </c>
      <c r="I303" t="s">
        <v>1646</v>
      </c>
      <c r="J303" s="6">
        <v>5.86</v>
      </c>
      <c r="K303" t="s">
        <v>90</v>
      </c>
      <c r="L303" t="s">
        <v>24</v>
      </c>
      <c r="M303" s="2" t="s">
        <v>2900</v>
      </c>
      <c r="N303" t="s">
        <v>1647</v>
      </c>
      <c r="O303" t="s">
        <v>234</v>
      </c>
      <c r="P303" s="7" t="s">
        <v>2901</v>
      </c>
      <c r="Q303">
        <v>8398</v>
      </c>
      <c r="R303" s="6">
        <v>4.9000000000000004</v>
      </c>
    </row>
    <row r="304" spans="1:18">
      <c r="A304" t="s">
        <v>1526</v>
      </c>
      <c r="B304" s="1">
        <v>268.2</v>
      </c>
      <c r="C304" s="2" t="s">
        <v>2902</v>
      </c>
      <c r="D304" t="s">
        <v>1648</v>
      </c>
      <c r="E304" s="3">
        <v>25167.785234899329</v>
      </c>
      <c r="F304" s="3">
        <v>6750000</v>
      </c>
      <c r="G304" t="s">
        <v>1649</v>
      </c>
      <c r="H304" t="s">
        <v>631</v>
      </c>
      <c r="I304" t="s">
        <v>1650</v>
      </c>
      <c r="J304" s="6">
        <v>1.85</v>
      </c>
      <c r="K304" t="s">
        <v>592</v>
      </c>
      <c r="L304" t="s">
        <v>24</v>
      </c>
      <c r="M304" s="2" t="s">
        <v>2903</v>
      </c>
      <c r="N304" t="s">
        <v>1651</v>
      </c>
      <c r="O304" t="s">
        <v>277</v>
      </c>
      <c r="P304" s="7" t="s">
        <v>2904</v>
      </c>
      <c r="Q304">
        <v>8027</v>
      </c>
      <c r="R304" s="6">
        <v>3.14</v>
      </c>
    </row>
    <row r="305" spans="1:18">
      <c r="A305" t="s">
        <v>1526</v>
      </c>
      <c r="B305" s="1">
        <v>26</v>
      </c>
      <c r="C305" s="2" t="s">
        <v>2905</v>
      </c>
      <c r="D305" t="s">
        <v>1652</v>
      </c>
      <c r="E305" s="3">
        <v>28153.846153846149</v>
      </c>
      <c r="F305" s="3">
        <v>732000</v>
      </c>
      <c r="G305" t="s">
        <v>1653</v>
      </c>
      <c r="H305" t="s">
        <v>1654</v>
      </c>
      <c r="I305" t="s">
        <v>1655</v>
      </c>
      <c r="J305" s="6">
        <v>3.67</v>
      </c>
      <c r="K305" t="s">
        <v>90</v>
      </c>
      <c r="L305" t="s">
        <v>24</v>
      </c>
      <c r="M305" s="2" t="s">
        <v>2906</v>
      </c>
      <c r="N305" t="s">
        <v>1656</v>
      </c>
      <c r="O305" t="s">
        <v>929</v>
      </c>
      <c r="P305" s="7" t="s">
        <v>2907</v>
      </c>
      <c r="Q305">
        <v>9502</v>
      </c>
      <c r="R305" s="6">
        <v>2.96</v>
      </c>
    </row>
    <row r="306" spans="1:18">
      <c r="A306" t="s">
        <v>1526</v>
      </c>
      <c r="B306" s="1">
        <v>202.2</v>
      </c>
      <c r="C306" s="2" t="s">
        <v>2908</v>
      </c>
      <c r="D306" t="s">
        <v>1657</v>
      </c>
      <c r="E306" s="3">
        <v>44000.989119683487</v>
      </c>
      <c r="F306" s="3">
        <v>8897000</v>
      </c>
      <c r="G306" t="s">
        <v>1658</v>
      </c>
      <c r="H306" t="s">
        <v>1654</v>
      </c>
      <c r="I306" t="s">
        <v>1659</v>
      </c>
      <c r="J306" s="6">
        <v>8.33</v>
      </c>
      <c r="K306" t="s">
        <v>90</v>
      </c>
      <c r="L306" t="s">
        <v>24</v>
      </c>
      <c r="M306" s="2" t="s">
        <v>2909</v>
      </c>
      <c r="N306" t="s">
        <v>1660</v>
      </c>
      <c r="O306" t="s">
        <v>92</v>
      </c>
      <c r="P306" s="7" t="s">
        <v>2910</v>
      </c>
      <c r="Q306">
        <v>16944</v>
      </c>
      <c r="R306" s="6">
        <v>2.6</v>
      </c>
    </row>
    <row r="307" spans="1:18">
      <c r="A307" t="s">
        <v>1526</v>
      </c>
      <c r="B307" s="1">
        <v>14.4</v>
      </c>
      <c r="C307" s="2" t="s">
        <v>2911</v>
      </c>
      <c r="D307" t="s">
        <v>1631</v>
      </c>
      <c r="E307" s="3">
        <v>474229.16666666663</v>
      </c>
      <c r="F307" s="3">
        <v>6828900</v>
      </c>
      <c r="G307" t="s">
        <v>1661</v>
      </c>
      <c r="H307" t="s">
        <v>1662</v>
      </c>
      <c r="I307" t="s">
        <v>1663</v>
      </c>
      <c r="J307" s="6">
        <v>46.89</v>
      </c>
      <c r="K307" t="s">
        <v>23</v>
      </c>
      <c r="L307" t="s">
        <v>24</v>
      </c>
      <c r="M307" s="2" t="s">
        <v>2912</v>
      </c>
      <c r="N307" t="s">
        <v>1664</v>
      </c>
      <c r="O307" t="s">
        <v>1665</v>
      </c>
      <c r="P307" s="7" t="s">
        <v>2913</v>
      </c>
      <c r="Q307">
        <v>8390</v>
      </c>
      <c r="R307" s="6">
        <v>56.52</v>
      </c>
    </row>
    <row r="308" spans="1:18">
      <c r="A308" t="s">
        <v>1526</v>
      </c>
      <c r="B308" s="1">
        <v>46.5</v>
      </c>
      <c r="C308" s="2" t="s">
        <v>2914</v>
      </c>
      <c r="D308" t="s">
        <v>1547</v>
      </c>
      <c r="E308" s="3">
        <v>129567.74193548389</v>
      </c>
      <c r="F308" s="3">
        <v>6024900</v>
      </c>
      <c r="G308" t="s">
        <v>1666</v>
      </c>
      <c r="H308" t="s">
        <v>1667</v>
      </c>
      <c r="I308" t="s">
        <v>1668</v>
      </c>
      <c r="J308" s="6">
        <v>14.15</v>
      </c>
      <c r="K308" t="s">
        <v>23</v>
      </c>
      <c r="L308" t="s">
        <v>24</v>
      </c>
      <c r="M308" s="2" t="s">
        <v>2915</v>
      </c>
      <c r="N308" t="s">
        <v>1669</v>
      </c>
      <c r="O308" t="s">
        <v>233</v>
      </c>
      <c r="P308" s="7" t="s">
        <v>2916</v>
      </c>
      <c r="Q308">
        <v>6615</v>
      </c>
      <c r="R308" s="6">
        <v>19.59</v>
      </c>
    </row>
    <row r="309" spans="1:18">
      <c r="A309" t="s">
        <v>1526</v>
      </c>
      <c r="B309" s="1">
        <v>16</v>
      </c>
      <c r="C309" s="2" t="s">
        <v>2917</v>
      </c>
      <c r="D309" t="s">
        <v>1631</v>
      </c>
      <c r="E309" s="3">
        <v>324225</v>
      </c>
      <c r="F309" s="3">
        <v>5187600</v>
      </c>
      <c r="G309" t="s">
        <v>1670</v>
      </c>
      <c r="H309" t="s">
        <v>1671</v>
      </c>
      <c r="I309" t="s">
        <v>1672</v>
      </c>
      <c r="J309" s="6">
        <v>29.07</v>
      </c>
      <c r="K309" t="s">
        <v>23</v>
      </c>
      <c r="L309" t="s">
        <v>24</v>
      </c>
      <c r="M309" s="2" t="s">
        <v>2918</v>
      </c>
      <c r="N309" t="s">
        <v>1673</v>
      </c>
      <c r="O309" t="s">
        <v>1674</v>
      </c>
      <c r="P309" s="7" t="s">
        <v>2919</v>
      </c>
      <c r="Q309">
        <v>20809</v>
      </c>
      <c r="R309" s="6">
        <v>15.58</v>
      </c>
    </row>
    <row r="310" spans="1:18">
      <c r="A310" t="s">
        <v>1526</v>
      </c>
      <c r="B310" s="1">
        <v>31.6</v>
      </c>
      <c r="C310" s="2" t="s">
        <v>2920</v>
      </c>
      <c r="D310" t="s">
        <v>1532</v>
      </c>
      <c r="E310" s="3">
        <v>239772.15189873421</v>
      </c>
      <c r="F310" s="3">
        <v>7576800</v>
      </c>
      <c r="G310" t="s">
        <v>1675</v>
      </c>
      <c r="H310" t="s">
        <v>1662</v>
      </c>
      <c r="I310" t="s">
        <v>1676</v>
      </c>
      <c r="J310" s="6">
        <v>46.81</v>
      </c>
      <c r="K310" t="s">
        <v>23</v>
      </c>
      <c r="L310" t="s">
        <v>24</v>
      </c>
      <c r="M310" s="2" t="s">
        <v>2921</v>
      </c>
      <c r="N310" t="s">
        <v>1677</v>
      </c>
      <c r="O310" t="s">
        <v>1420</v>
      </c>
      <c r="P310" s="7" t="s">
        <v>2922</v>
      </c>
      <c r="Q310">
        <v>10321</v>
      </c>
      <c r="R310" s="6">
        <v>23.23</v>
      </c>
    </row>
    <row r="311" spans="1:18">
      <c r="A311" t="s">
        <v>1526</v>
      </c>
      <c r="B311" s="1">
        <v>31.5</v>
      </c>
      <c r="C311" s="2" t="s">
        <v>2923</v>
      </c>
      <c r="D311" t="s">
        <v>1631</v>
      </c>
      <c r="E311" s="3">
        <v>242301.58730158731</v>
      </c>
      <c r="F311" s="3">
        <v>7632500</v>
      </c>
      <c r="G311" t="s">
        <v>1678</v>
      </c>
      <c r="H311" t="s">
        <v>913</v>
      </c>
      <c r="I311" t="s">
        <v>1679</v>
      </c>
      <c r="J311" s="6">
        <v>38.03</v>
      </c>
      <c r="K311" t="s">
        <v>23</v>
      </c>
      <c r="L311" t="s">
        <v>24</v>
      </c>
      <c r="M311" s="2" t="s">
        <v>2924</v>
      </c>
      <c r="N311" t="s">
        <v>1680</v>
      </c>
      <c r="O311" t="s">
        <v>247</v>
      </c>
      <c r="P311" s="7" t="s">
        <v>2925</v>
      </c>
      <c r="Q311">
        <v>5515</v>
      </c>
      <c r="R311" s="6">
        <v>43.94</v>
      </c>
    </row>
    <row r="312" spans="1:18">
      <c r="A312" t="s">
        <v>1526</v>
      </c>
      <c r="B312" s="1">
        <v>99.1</v>
      </c>
      <c r="C312" s="2" t="s">
        <v>2926</v>
      </c>
      <c r="D312" t="s">
        <v>1681</v>
      </c>
      <c r="E312" s="3">
        <v>70534.813319878915</v>
      </c>
      <c r="F312" s="3">
        <v>6990000</v>
      </c>
      <c r="G312" t="s">
        <v>1682</v>
      </c>
      <c r="H312" t="s">
        <v>1683</v>
      </c>
      <c r="I312" t="s">
        <v>1684</v>
      </c>
      <c r="J312" s="6">
        <v>10.51</v>
      </c>
      <c r="K312" t="s">
        <v>23</v>
      </c>
      <c r="L312" t="s">
        <v>24</v>
      </c>
      <c r="M312" s="2" t="s">
        <v>2927</v>
      </c>
      <c r="N312" t="s">
        <v>1685</v>
      </c>
      <c r="O312" t="s">
        <v>73</v>
      </c>
      <c r="P312" s="7" t="s">
        <v>2928</v>
      </c>
      <c r="Q312">
        <v>4075</v>
      </c>
      <c r="R312" s="6">
        <v>17.309999999999999</v>
      </c>
    </row>
    <row r="313" spans="1:18">
      <c r="A313" t="s">
        <v>1526</v>
      </c>
      <c r="B313" s="1">
        <v>27.5</v>
      </c>
      <c r="C313" s="2" t="s">
        <v>2929</v>
      </c>
      <c r="D313" t="s">
        <v>1686</v>
      </c>
      <c r="E313" s="3">
        <v>168149.09090909091</v>
      </c>
      <c r="F313" s="3">
        <v>4624100</v>
      </c>
      <c r="G313" t="s">
        <v>1687</v>
      </c>
      <c r="H313" t="s">
        <v>148</v>
      </c>
      <c r="I313" t="s">
        <v>1688</v>
      </c>
      <c r="J313" s="6">
        <v>12.53</v>
      </c>
      <c r="K313" t="s">
        <v>23</v>
      </c>
      <c r="L313" t="s">
        <v>24</v>
      </c>
      <c r="M313" s="2" t="s">
        <v>2930</v>
      </c>
      <c r="N313" t="s">
        <v>1689</v>
      </c>
      <c r="O313" t="s">
        <v>61</v>
      </c>
      <c r="P313" s="7" t="s">
        <v>2931</v>
      </c>
      <c r="Q313">
        <v>8521</v>
      </c>
      <c r="R313" s="6">
        <v>19.73</v>
      </c>
    </row>
    <row r="314" spans="1:18">
      <c r="A314" t="s">
        <v>1526</v>
      </c>
      <c r="B314" s="1">
        <v>23.4</v>
      </c>
      <c r="C314" s="2" t="s">
        <v>2932</v>
      </c>
      <c r="D314" t="s">
        <v>1631</v>
      </c>
      <c r="E314" s="3">
        <v>352096.15384615387</v>
      </c>
      <c r="F314" s="3">
        <v>8239050</v>
      </c>
      <c r="G314" t="s">
        <v>1690</v>
      </c>
      <c r="H314" t="s">
        <v>148</v>
      </c>
      <c r="I314" t="s">
        <v>1691</v>
      </c>
      <c r="J314" s="6">
        <v>39.78</v>
      </c>
      <c r="K314" t="s">
        <v>23</v>
      </c>
      <c r="L314" t="s">
        <v>24</v>
      </c>
      <c r="M314" s="2" t="s">
        <v>2933</v>
      </c>
      <c r="N314" t="s">
        <v>1692</v>
      </c>
      <c r="O314" t="s">
        <v>1693</v>
      </c>
      <c r="P314" s="7" t="s">
        <v>2934</v>
      </c>
      <c r="Q314">
        <v>15180</v>
      </c>
      <c r="R314" s="6">
        <v>23.19</v>
      </c>
    </row>
    <row r="315" spans="1:18">
      <c r="A315" t="s">
        <v>1526</v>
      </c>
      <c r="B315" s="1">
        <v>44.7</v>
      </c>
      <c r="C315" s="2" t="s">
        <v>2935</v>
      </c>
      <c r="D315" t="s">
        <v>1694</v>
      </c>
      <c r="E315" s="3">
        <v>216980.9843400447</v>
      </c>
      <c r="F315" s="3">
        <v>9699050</v>
      </c>
      <c r="G315" t="s">
        <v>1695</v>
      </c>
      <c r="H315" t="s">
        <v>1096</v>
      </c>
      <c r="I315" t="s">
        <v>1696</v>
      </c>
      <c r="J315" s="6">
        <v>37.340000000000003</v>
      </c>
      <c r="K315" t="s">
        <v>23</v>
      </c>
      <c r="L315" t="s">
        <v>24</v>
      </c>
      <c r="M315" s="2" t="s">
        <v>2936</v>
      </c>
      <c r="N315" t="s">
        <v>1697</v>
      </c>
      <c r="O315" t="s">
        <v>387</v>
      </c>
      <c r="P315" s="7" t="s">
        <v>2937</v>
      </c>
      <c r="Q315">
        <v>8178</v>
      </c>
      <c r="R315" s="6">
        <v>26.53</v>
      </c>
    </row>
    <row r="316" spans="1:18">
      <c r="A316" t="s">
        <v>1526</v>
      </c>
      <c r="B316" s="1">
        <v>66.400000000000006</v>
      </c>
      <c r="C316" s="2" t="s">
        <v>2938</v>
      </c>
      <c r="D316" t="s">
        <v>1698</v>
      </c>
      <c r="E316" s="3">
        <v>139753.01204819279</v>
      </c>
      <c r="F316" s="3">
        <v>9279600</v>
      </c>
      <c r="G316" t="s">
        <v>1699</v>
      </c>
      <c r="H316" t="s">
        <v>1700</v>
      </c>
      <c r="I316" t="s">
        <v>1701</v>
      </c>
      <c r="J316" s="6">
        <v>13.49</v>
      </c>
      <c r="K316" t="s">
        <v>23</v>
      </c>
      <c r="L316" t="s">
        <v>24</v>
      </c>
      <c r="M316" s="2" t="s">
        <v>2939</v>
      </c>
      <c r="N316" t="s">
        <v>1702</v>
      </c>
      <c r="O316" t="s">
        <v>1703</v>
      </c>
      <c r="P316" s="7" t="s">
        <v>2940</v>
      </c>
      <c r="Q316">
        <v>10532</v>
      </c>
      <c r="R316" s="6">
        <v>13.27</v>
      </c>
    </row>
    <row r="317" spans="1:18">
      <c r="A317" t="s">
        <v>1526</v>
      </c>
      <c r="B317" s="1">
        <v>26.9</v>
      </c>
      <c r="C317" s="2" t="s">
        <v>2941</v>
      </c>
      <c r="D317" t="s">
        <v>1631</v>
      </c>
      <c r="E317" s="3">
        <v>153090.14869888479</v>
      </c>
      <c r="F317" s="3">
        <v>4118125</v>
      </c>
      <c r="G317" t="s">
        <v>1704</v>
      </c>
      <c r="H317" t="s">
        <v>1096</v>
      </c>
      <c r="I317" t="s">
        <v>1705</v>
      </c>
      <c r="J317" s="6">
        <v>15.98</v>
      </c>
      <c r="K317" t="s">
        <v>90</v>
      </c>
      <c r="L317" t="s">
        <v>24</v>
      </c>
      <c r="M317" s="2" t="s">
        <v>2942</v>
      </c>
      <c r="N317" t="s">
        <v>1706</v>
      </c>
      <c r="O317" t="s">
        <v>247</v>
      </c>
      <c r="P317" s="7" t="s">
        <v>2943</v>
      </c>
      <c r="Q317">
        <v>8671</v>
      </c>
      <c r="R317" s="6">
        <v>17.66</v>
      </c>
    </row>
    <row r="318" spans="1:18">
      <c r="A318" t="s">
        <v>1526</v>
      </c>
      <c r="B318" s="1">
        <v>33.700000000000003</v>
      </c>
      <c r="C318" s="2" t="s">
        <v>2944</v>
      </c>
      <c r="D318" t="s">
        <v>1542</v>
      </c>
      <c r="E318" s="3">
        <v>204728.4866468843</v>
      </c>
      <c r="F318" s="3">
        <v>6899350</v>
      </c>
      <c r="G318" t="s">
        <v>1707</v>
      </c>
      <c r="H318" t="s">
        <v>1708</v>
      </c>
      <c r="I318" t="s">
        <v>1709</v>
      </c>
      <c r="J318" s="6">
        <v>52.94</v>
      </c>
      <c r="K318" t="s">
        <v>23</v>
      </c>
      <c r="L318" t="s">
        <v>24</v>
      </c>
      <c r="M318" s="2" t="s">
        <v>2945</v>
      </c>
      <c r="N318" t="s">
        <v>1710</v>
      </c>
      <c r="O318" t="s">
        <v>454</v>
      </c>
      <c r="P318" s="7" t="s">
        <v>2946</v>
      </c>
      <c r="Q318">
        <v>10440</v>
      </c>
      <c r="R318" s="6">
        <v>19.61</v>
      </c>
    </row>
    <row r="319" spans="1:18">
      <c r="A319" t="s">
        <v>1711</v>
      </c>
      <c r="B319" s="1">
        <v>23.8</v>
      </c>
      <c r="C319" s="2" t="s">
        <v>2947</v>
      </c>
      <c r="D319" t="s">
        <v>1712</v>
      </c>
      <c r="E319" s="3">
        <v>130252.1008403361</v>
      </c>
      <c r="F319" s="3">
        <v>3100000</v>
      </c>
      <c r="G319" t="s">
        <v>1713</v>
      </c>
      <c r="H319" t="s">
        <v>1714</v>
      </c>
      <c r="I319" t="s">
        <v>1715</v>
      </c>
      <c r="J319" s="6">
        <v>14.62</v>
      </c>
      <c r="K319" t="s">
        <v>23</v>
      </c>
      <c r="L319" t="s">
        <v>24</v>
      </c>
      <c r="M319" s="2" t="s">
        <v>2948</v>
      </c>
      <c r="N319" t="s">
        <v>1716</v>
      </c>
      <c r="O319" t="s">
        <v>1717</v>
      </c>
      <c r="P319" s="7" t="s">
        <v>2949</v>
      </c>
      <c r="Q319">
        <v>21127</v>
      </c>
      <c r="R319" s="6">
        <v>6.17</v>
      </c>
    </row>
    <row r="320" spans="1:18">
      <c r="A320" t="s">
        <v>1711</v>
      </c>
      <c r="B320" s="1">
        <v>25.4</v>
      </c>
      <c r="C320" s="2" t="s">
        <v>2950</v>
      </c>
      <c r="D320" t="s">
        <v>1718</v>
      </c>
      <c r="E320" s="3">
        <v>143700.78740157481</v>
      </c>
      <c r="F320" s="3">
        <v>3650000</v>
      </c>
      <c r="G320" t="s">
        <v>1719</v>
      </c>
      <c r="H320" t="s">
        <v>471</v>
      </c>
      <c r="I320" t="s">
        <v>1720</v>
      </c>
      <c r="J320" s="6">
        <v>28.31</v>
      </c>
      <c r="K320" t="s">
        <v>23</v>
      </c>
      <c r="L320" t="s">
        <v>24</v>
      </c>
      <c r="M320" s="2" t="s">
        <v>2951</v>
      </c>
      <c r="N320" t="s">
        <v>1721</v>
      </c>
      <c r="O320" t="s">
        <v>1722</v>
      </c>
      <c r="P320" s="7" t="s">
        <v>2952</v>
      </c>
      <c r="Q320">
        <v>15557</v>
      </c>
      <c r="R320" s="6">
        <v>9.24</v>
      </c>
    </row>
    <row r="321" spans="1:18">
      <c r="A321" t="s">
        <v>1711</v>
      </c>
      <c r="B321" s="1">
        <v>11.7</v>
      </c>
      <c r="C321" s="2" t="s">
        <v>2953</v>
      </c>
      <c r="D321" t="s">
        <v>1723</v>
      </c>
      <c r="E321" s="3">
        <v>111111.11111111109</v>
      </c>
      <c r="F321" s="3">
        <v>1300000</v>
      </c>
      <c r="G321" t="s">
        <v>1724</v>
      </c>
      <c r="H321" t="s">
        <v>471</v>
      </c>
      <c r="I321" t="s">
        <v>1725</v>
      </c>
      <c r="J321" s="6">
        <v>13.47</v>
      </c>
      <c r="K321" t="s">
        <v>23</v>
      </c>
      <c r="L321" t="s">
        <v>24</v>
      </c>
      <c r="M321" s="2" t="s">
        <v>2954</v>
      </c>
      <c r="N321" t="s">
        <v>1726</v>
      </c>
      <c r="O321" t="s">
        <v>1727</v>
      </c>
      <c r="P321" s="7" t="s">
        <v>2955</v>
      </c>
      <c r="Q321">
        <v>11664</v>
      </c>
      <c r="R321" s="6">
        <v>9.5299999999999994</v>
      </c>
    </row>
    <row r="322" spans="1:18">
      <c r="A322" t="s">
        <v>1711</v>
      </c>
      <c r="B322" s="1">
        <v>13.9</v>
      </c>
      <c r="C322" s="2" t="s">
        <v>2956</v>
      </c>
      <c r="D322" t="s">
        <v>1728</v>
      </c>
      <c r="E322" s="3">
        <v>151079.13669064749</v>
      </c>
      <c r="F322" s="3">
        <v>2100000</v>
      </c>
      <c r="G322" t="s">
        <v>1729</v>
      </c>
      <c r="H322" t="s">
        <v>1730</v>
      </c>
      <c r="I322" t="s">
        <v>1731</v>
      </c>
      <c r="J322" s="6">
        <v>85.21</v>
      </c>
      <c r="K322" t="s">
        <v>23</v>
      </c>
      <c r="L322" t="s">
        <v>24</v>
      </c>
      <c r="M322" s="2" t="s">
        <v>2957</v>
      </c>
      <c r="N322" t="s">
        <v>1732</v>
      </c>
      <c r="O322" t="s">
        <v>1733</v>
      </c>
      <c r="P322" s="7" t="s">
        <v>2958</v>
      </c>
      <c r="Q322">
        <v>8000</v>
      </c>
      <c r="R322" s="6">
        <v>18.88</v>
      </c>
    </row>
    <row r="323" spans="1:18">
      <c r="A323" t="s">
        <v>1711</v>
      </c>
      <c r="B323" s="1">
        <v>17</v>
      </c>
      <c r="C323" s="2" t="s">
        <v>2959</v>
      </c>
      <c r="D323" t="s">
        <v>1728</v>
      </c>
      <c r="E323" s="3">
        <v>148823.5294117647</v>
      </c>
      <c r="F323" s="3">
        <v>2530000</v>
      </c>
      <c r="G323" t="s">
        <v>1734</v>
      </c>
      <c r="H323" t="s">
        <v>1730</v>
      </c>
      <c r="I323" t="s">
        <v>1735</v>
      </c>
      <c r="J323" s="6">
        <v>16.71</v>
      </c>
      <c r="K323" t="s">
        <v>23</v>
      </c>
      <c r="L323" t="s">
        <v>24</v>
      </c>
      <c r="M323" s="2" t="s">
        <v>2960</v>
      </c>
      <c r="N323" t="s">
        <v>1736</v>
      </c>
      <c r="O323" t="s">
        <v>1737</v>
      </c>
      <c r="P323" s="7" t="s">
        <v>2961</v>
      </c>
      <c r="Q323">
        <v>9714</v>
      </c>
      <c r="R323" s="6">
        <v>15.32</v>
      </c>
    </row>
    <row r="324" spans="1:18">
      <c r="A324" t="s">
        <v>1711</v>
      </c>
      <c r="B324" s="1">
        <v>19.7</v>
      </c>
      <c r="C324" s="2" t="s">
        <v>2962</v>
      </c>
      <c r="D324" t="s">
        <v>1738</v>
      </c>
      <c r="E324" s="3">
        <v>147715.7360406091</v>
      </c>
      <c r="F324" s="3">
        <v>2910000</v>
      </c>
      <c r="G324" t="s">
        <v>1739</v>
      </c>
      <c r="H324" t="s">
        <v>1740</v>
      </c>
      <c r="I324" t="s">
        <v>1741</v>
      </c>
      <c r="J324" s="6">
        <v>15.58</v>
      </c>
      <c r="K324" t="s">
        <v>23</v>
      </c>
      <c r="L324" t="s">
        <v>24</v>
      </c>
      <c r="M324" s="2" t="s">
        <v>2963</v>
      </c>
      <c r="N324" t="s">
        <v>1742</v>
      </c>
      <c r="O324" t="s">
        <v>725</v>
      </c>
      <c r="P324" s="7" t="s">
        <v>2964</v>
      </c>
      <c r="Q324">
        <v>15227</v>
      </c>
      <c r="R324" s="6">
        <v>9.6999999999999993</v>
      </c>
    </row>
    <row r="325" spans="1:18">
      <c r="A325" t="s">
        <v>1711</v>
      </c>
      <c r="B325" s="1">
        <v>39.1</v>
      </c>
      <c r="C325" s="2" t="s">
        <v>2965</v>
      </c>
      <c r="D325" t="s">
        <v>1743</v>
      </c>
      <c r="E325" s="3">
        <v>76726.342710997444</v>
      </c>
      <c r="F325" s="3">
        <v>3000000</v>
      </c>
      <c r="G325" t="s">
        <v>1744</v>
      </c>
      <c r="H325" t="s">
        <v>1740</v>
      </c>
      <c r="I325" t="s">
        <v>1745</v>
      </c>
      <c r="J325" s="6">
        <v>7.28</v>
      </c>
      <c r="K325" t="s">
        <v>23</v>
      </c>
      <c r="L325" t="s">
        <v>24</v>
      </c>
      <c r="M325" s="2" t="s">
        <v>2966</v>
      </c>
      <c r="N325" t="s">
        <v>1746</v>
      </c>
      <c r="O325" t="s">
        <v>387</v>
      </c>
      <c r="P325" s="7" t="s">
        <v>2967</v>
      </c>
      <c r="Q325">
        <v>15227</v>
      </c>
      <c r="R325" s="6">
        <v>5.04</v>
      </c>
    </row>
    <row r="326" spans="1:18">
      <c r="A326" t="s">
        <v>1711</v>
      </c>
      <c r="B326" s="1">
        <v>42</v>
      </c>
      <c r="C326" s="2" t="s">
        <v>2968</v>
      </c>
      <c r="D326" t="s">
        <v>1728</v>
      </c>
      <c r="E326" s="3">
        <v>173809.52380952379</v>
      </c>
      <c r="F326" s="3">
        <v>7300000</v>
      </c>
      <c r="G326" t="s">
        <v>1747</v>
      </c>
      <c r="H326" t="s">
        <v>1748</v>
      </c>
      <c r="I326" t="s">
        <v>1749</v>
      </c>
      <c r="J326" s="6">
        <v>44.29</v>
      </c>
      <c r="K326" t="s">
        <v>23</v>
      </c>
      <c r="L326" t="s">
        <v>24</v>
      </c>
      <c r="M326" s="2" t="s">
        <v>2969</v>
      </c>
      <c r="N326" t="s">
        <v>1750</v>
      </c>
      <c r="O326" t="s">
        <v>1751</v>
      </c>
      <c r="P326" s="7" t="s">
        <v>2970</v>
      </c>
      <c r="Q326">
        <v>3845</v>
      </c>
      <c r="R326" s="6">
        <v>45.2</v>
      </c>
    </row>
    <row r="327" spans="1:18">
      <c r="A327" t="s">
        <v>1711</v>
      </c>
      <c r="B327" s="1">
        <v>37.299999999999997</v>
      </c>
      <c r="C327" s="2" t="s">
        <v>2971</v>
      </c>
      <c r="D327" t="s">
        <v>1752</v>
      </c>
      <c r="E327" s="3">
        <v>99731.903485254705</v>
      </c>
      <c r="F327" s="3">
        <v>3720000</v>
      </c>
      <c r="G327" t="s">
        <v>1753</v>
      </c>
      <c r="H327" t="s">
        <v>1748</v>
      </c>
      <c r="I327" t="s">
        <v>1754</v>
      </c>
      <c r="J327" s="6">
        <v>12.16</v>
      </c>
      <c r="K327" t="s">
        <v>23</v>
      </c>
      <c r="L327" t="s">
        <v>24</v>
      </c>
      <c r="M327" s="2" t="s">
        <v>2972</v>
      </c>
      <c r="N327" t="s">
        <v>1755</v>
      </c>
      <c r="O327" t="s">
        <v>1044</v>
      </c>
      <c r="P327" s="7" t="s">
        <v>2973</v>
      </c>
      <c r="Q327">
        <v>15227</v>
      </c>
      <c r="R327" s="6">
        <v>6.55</v>
      </c>
    </row>
    <row r="328" spans="1:18">
      <c r="A328" t="s">
        <v>1711</v>
      </c>
      <c r="B328" s="1">
        <v>15.1</v>
      </c>
      <c r="C328" s="2" t="s">
        <v>2974</v>
      </c>
      <c r="D328" t="s">
        <v>1756</v>
      </c>
      <c r="E328" s="3">
        <v>150993.37748344371</v>
      </c>
      <c r="F328" s="3">
        <v>2280000</v>
      </c>
      <c r="G328" t="s">
        <v>1757</v>
      </c>
      <c r="H328" t="s">
        <v>851</v>
      </c>
      <c r="I328" t="s">
        <v>1758</v>
      </c>
      <c r="J328" s="6">
        <v>33.130000000000003</v>
      </c>
      <c r="K328" t="s">
        <v>23</v>
      </c>
      <c r="L328" t="s">
        <v>24</v>
      </c>
      <c r="M328" s="2" t="s">
        <v>2975</v>
      </c>
      <c r="N328" t="s">
        <v>1759</v>
      </c>
      <c r="O328" t="s">
        <v>1760</v>
      </c>
      <c r="P328" s="7" t="s">
        <v>2976</v>
      </c>
      <c r="Q328">
        <v>6453</v>
      </c>
      <c r="R328" s="6">
        <v>23.4</v>
      </c>
    </row>
    <row r="329" spans="1:18">
      <c r="A329" t="s">
        <v>1711</v>
      </c>
      <c r="B329" s="1">
        <v>20.100000000000001</v>
      </c>
      <c r="C329" s="2" t="s">
        <v>2977</v>
      </c>
      <c r="D329" t="s">
        <v>1761</v>
      </c>
      <c r="E329" s="3">
        <v>188557.21393034831</v>
      </c>
      <c r="F329" s="3">
        <v>3790000</v>
      </c>
      <c r="G329" t="s">
        <v>1762</v>
      </c>
      <c r="H329" t="s">
        <v>1763</v>
      </c>
      <c r="I329" t="s">
        <v>1764</v>
      </c>
      <c r="J329" s="6">
        <v>22.72</v>
      </c>
      <c r="K329" t="s">
        <v>23</v>
      </c>
      <c r="L329" t="s">
        <v>24</v>
      </c>
      <c r="M329" s="2" t="s">
        <v>2978</v>
      </c>
      <c r="N329" t="s">
        <v>1765</v>
      </c>
      <c r="O329" t="s">
        <v>1766</v>
      </c>
      <c r="P329" s="7" t="s">
        <v>2979</v>
      </c>
      <c r="Q329">
        <v>10908</v>
      </c>
      <c r="R329" s="6">
        <v>17.29</v>
      </c>
    </row>
    <row r="330" spans="1:18">
      <c r="A330" t="s">
        <v>1711</v>
      </c>
      <c r="B330" s="1">
        <v>15.4</v>
      </c>
      <c r="C330" s="2" t="s">
        <v>2980</v>
      </c>
      <c r="D330" t="s">
        <v>1718</v>
      </c>
      <c r="E330" s="3">
        <v>148051.94805194801</v>
      </c>
      <c r="F330" s="3">
        <v>2280000</v>
      </c>
      <c r="G330" t="s">
        <v>1767</v>
      </c>
      <c r="H330" t="s">
        <v>1763</v>
      </c>
      <c r="I330" t="s">
        <v>1768</v>
      </c>
      <c r="J330" s="6">
        <v>23.51</v>
      </c>
      <c r="K330" t="s">
        <v>23</v>
      </c>
      <c r="L330" t="s">
        <v>24</v>
      </c>
      <c r="M330" s="2" t="s">
        <v>2981</v>
      </c>
      <c r="N330" t="s">
        <v>1769</v>
      </c>
      <c r="O330" t="s">
        <v>1770</v>
      </c>
      <c r="P330" s="7" t="s">
        <v>2982</v>
      </c>
      <c r="Q330">
        <v>10480</v>
      </c>
      <c r="R330" s="6">
        <v>14.13</v>
      </c>
    </row>
    <row r="331" spans="1:18">
      <c r="A331" t="s">
        <v>1711</v>
      </c>
      <c r="B331" s="1">
        <v>106.3</v>
      </c>
      <c r="C331" s="2" t="s">
        <v>2983</v>
      </c>
      <c r="D331" t="s">
        <v>1761</v>
      </c>
      <c r="E331" s="3">
        <v>48918.156161806211</v>
      </c>
      <c r="F331" s="3">
        <v>5200000</v>
      </c>
      <c r="G331" t="s">
        <v>1771</v>
      </c>
      <c r="H331" t="s">
        <v>1763</v>
      </c>
      <c r="I331" t="s">
        <v>1772</v>
      </c>
      <c r="J331" s="6">
        <v>14.57</v>
      </c>
      <c r="K331" t="s">
        <v>23</v>
      </c>
      <c r="L331" t="s">
        <v>24</v>
      </c>
      <c r="M331" s="2" t="s">
        <v>2984</v>
      </c>
      <c r="N331" t="s">
        <v>1773</v>
      </c>
      <c r="O331" t="s">
        <v>1774</v>
      </c>
      <c r="P331" s="7" t="s">
        <v>2985</v>
      </c>
      <c r="Q331">
        <v>8043</v>
      </c>
      <c r="R331" s="6">
        <v>6.08</v>
      </c>
    </row>
    <row r="332" spans="1:18">
      <c r="A332" t="s">
        <v>1711</v>
      </c>
      <c r="B332" s="1">
        <v>19</v>
      </c>
      <c r="C332" s="2" t="s">
        <v>2986</v>
      </c>
      <c r="D332" t="s">
        <v>1775</v>
      </c>
      <c r="E332" s="3">
        <v>89684.210526315786</v>
      </c>
      <c r="F332" s="3">
        <v>1704000</v>
      </c>
      <c r="G332" t="s">
        <v>1776</v>
      </c>
      <c r="H332" t="s">
        <v>1777</v>
      </c>
      <c r="I332" t="s">
        <v>1778</v>
      </c>
      <c r="J332" s="6">
        <v>19.239999999999998</v>
      </c>
      <c r="K332" t="s">
        <v>23</v>
      </c>
      <c r="L332" t="s">
        <v>24</v>
      </c>
      <c r="M332" s="2" t="s">
        <v>2987</v>
      </c>
      <c r="N332" t="s">
        <v>1779</v>
      </c>
      <c r="O332" t="s">
        <v>1780</v>
      </c>
      <c r="P332" s="7" t="s">
        <v>2988</v>
      </c>
      <c r="Q332">
        <v>7708</v>
      </c>
      <c r="R332" s="6">
        <v>11.64</v>
      </c>
    </row>
    <row r="333" spans="1:18">
      <c r="A333" t="s">
        <v>1711</v>
      </c>
      <c r="B333" s="1">
        <v>19</v>
      </c>
      <c r="C333" s="2" t="s">
        <v>2989</v>
      </c>
      <c r="D333" t="s">
        <v>1756</v>
      </c>
      <c r="E333" s="3">
        <v>151578.94736842101</v>
      </c>
      <c r="F333" s="3">
        <v>2880000</v>
      </c>
      <c r="G333" t="s">
        <v>1781</v>
      </c>
      <c r="H333" t="s">
        <v>1782</v>
      </c>
      <c r="I333" t="s">
        <v>1783</v>
      </c>
      <c r="J333" s="6">
        <v>35.4</v>
      </c>
      <c r="K333" t="s">
        <v>23</v>
      </c>
      <c r="L333" t="s">
        <v>24</v>
      </c>
      <c r="M333" s="2" t="s">
        <v>2990</v>
      </c>
      <c r="N333" t="s">
        <v>1784</v>
      </c>
      <c r="O333" t="s">
        <v>158</v>
      </c>
      <c r="P333" s="7" t="s">
        <v>2991</v>
      </c>
      <c r="Q333">
        <v>5251</v>
      </c>
      <c r="R333" s="6">
        <v>28.87</v>
      </c>
    </row>
    <row r="334" spans="1:18">
      <c r="A334" t="s">
        <v>1711</v>
      </c>
      <c r="B334" s="1">
        <v>14.5</v>
      </c>
      <c r="C334" s="2" t="s">
        <v>2992</v>
      </c>
      <c r="D334" t="s">
        <v>1718</v>
      </c>
      <c r="E334" s="3">
        <v>207586.20689655171</v>
      </c>
      <c r="F334" s="3">
        <v>3010000</v>
      </c>
      <c r="G334" t="s">
        <v>1785</v>
      </c>
      <c r="H334" t="s">
        <v>1782</v>
      </c>
      <c r="I334" t="s">
        <v>1786</v>
      </c>
      <c r="J334" s="6">
        <v>24.86</v>
      </c>
      <c r="K334" t="s">
        <v>23</v>
      </c>
      <c r="L334" t="s">
        <v>24</v>
      </c>
      <c r="M334" s="2" t="s">
        <v>2993</v>
      </c>
      <c r="N334" t="s">
        <v>1787</v>
      </c>
      <c r="O334" t="s">
        <v>459</v>
      </c>
      <c r="P334" s="7" t="s">
        <v>2994</v>
      </c>
      <c r="Q334">
        <v>5224</v>
      </c>
      <c r="R334" s="6">
        <v>39.74</v>
      </c>
    </row>
    <row r="335" spans="1:18">
      <c r="A335" t="s">
        <v>1711</v>
      </c>
      <c r="B335" s="1">
        <v>12.9</v>
      </c>
      <c r="C335" s="2" t="s">
        <v>2995</v>
      </c>
      <c r="D335" t="s">
        <v>1756</v>
      </c>
      <c r="E335" s="3">
        <v>130232.5581395349</v>
      </c>
      <c r="F335" s="3">
        <v>1680000</v>
      </c>
      <c r="G335" t="s">
        <v>1788</v>
      </c>
      <c r="H335" t="s">
        <v>1789</v>
      </c>
      <c r="I335" t="s">
        <v>1790</v>
      </c>
      <c r="J335" s="6">
        <v>15.99</v>
      </c>
      <c r="K335" t="s">
        <v>23</v>
      </c>
      <c r="L335" t="s">
        <v>24</v>
      </c>
      <c r="M335" s="2" t="s">
        <v>2996</v>
      </c>
      <c r="N335" t="s">
        <v>1791</v>
      </c>
      <c r="O335" t="s">
        <v>1792</v>
      </c>
      <c r="P335" s="7" t="s">
        <v>2997</v>
      </c>
      <c r="Q335">
        <v>10320</v>
      </c>
      <c r="R335" s="6">
        <v>12.62</v>
      </c>
    </row>
    <row r="336" spans="1:18">
      <c r="A336" t="s">
        <v>1711</v>
      </c>
      <c r="B336" s="1">
        <v>17.2</v>
      </c>
      <c r="C336" s="2" t="s">
        <v>2998</v>
      </c>
      <c r="D336" t="s">
        <v>1793</v>
      </c>
      <c r="E336" s="3">
        <v>180232.5581395349</v>
      </c>
      <c r="F336" s="3">
        <v>3100000</v>
      </c>
      <c r="G336" t="s">
        <v>1794</v>
      </c>
      <c r="H336" t="s">
        <v>1795</v>
      </c>
      <c r="I336" t="s">
        <v>1796</v>
      </c>
      <c r="J336" s="6">
        <v>25.47</v>
      </c>
      <c r="K336" t="s">
        <v>23</v>
      </c>
      <c r="L336" t="s">
        <v>24</v>
      </c>
      <c r="M336" s="2" t="s">
        <v>2999</v>
      </c>
      <c r="N336" t="s">
        <v>1797</v>
      </c>
      <c r="O336" t="s">
        <v>1798</v>
      </c>
      <c r="P336" s="7" t="s">
        <v>3000</v>
      </c>
      <c r="Q336">
        <v>9906</v>
      </c>
      <c r="R336" s="6">
        <v>18.190000000000001</v>
      </c>
    </row>
    <row r="337" spans="1:18">
      <c r="A337" t="s">
        <v>1711</v>
      </c>
      <c r="B337" s="1">
        <v>37.5</v>
      </c>
      <c r="C337" s="2" t="s">
        <v>3001</v>
      </c>
      <c r="D337" t="s">
        <v>1743</v>
      </c>
      <c r="E337" s="3">
        <v>195200</v>
      </c>
      <c r="F337" s="3">
        <v>7320000</v>
      </c>
      <c r="G337" t="s">
        <v>1799</v>
      </c>
      <c r="H337" t="s">
        <v>1795</v>
      </c>
      <c r="I337" t="s">
        <v>1800</v>
      </c>
      <c r="J337" s="6">
        <v>26.17</v>
      </c>
      <c r="K337" t="s">
        <v>23</v>
      </c>
      <c r="L337" t="s">
        <v>24</v>
      </c>
      <c r="M337" s="2" t="s">
        <v>3002</v>
      </c>
      <c r="N337" t="s">
        <v>1801</v>
      </c>
      <c r="O337" t="s">
        <v>1802</v>
      </c>
      <c r="P337" s="7" t="s">
        <v>3003</v>
      </c>
      <c r="Q337">
        <v>6501</v>
      </c>
      <c r="R337" s="6">
        <v>30.03</v>
      </c>
    </row>
    <row r="338" spans="1:18">
      <c r="A338" t="s">
        <v>1711</v>
      </c>
      <c r="B338" s="1">
        <v>13</v>
      </c>
      <c r="C338" s="2" t="s">
        <v>3004</v>
      </c>
      <c r="D338" t="s">
        <v>1743</v>
      </c>
      <c r="E338" s="3">
        <v>168461.5384615385</v>
      </c>
      <c r="F338" s="3">
        <v>2190000</v>
      </c>
      <c r="G338" t="s">
        <v>1803</v>
      </c>
      <c r="H338" t="s">
        <v>1795</v>
      </c>
      <c r="I338" t="s">
        <v>1804</v>
      </c>
      <c r="J338" s="6">
        <v>19.43</v>
      </c>
      <c r="K338" t="s">
        <v>23</v>
      </c>
      <c r="L338" t="s">
        <v>24</v>
      </c>
      <c r="M338" s="2" t="s">
        <v>3005</v>
      </c>
      <c r="N338" t="s">
        <v>1805</v>
      </c>
      <c r="O338" t="s">
        <v>1806</v>
      </c>
      <c r="P338" s="7" t="s">
        <v>3006</v>
      </c>
      <c r="Q338">
        <v>7210</v>
      </c>
      <c r="R338" s="6">
        <v>23.36</v>
      </c>
    </row>
    <row r="339" spans="1:18">
      <c r="A339" t="s">
        <v>1711</v>
      </c>
      <c r="B339" s="1">
        <v>26.2</v>
      </c>
      <c r="C339" s="2" t="s">
        <v>3007</v>
      </c>
      <c r="D339" t="s">
        <v>1807</v>
      </c>
      <c r="E339" s="3">
        <v>142748.09160305341</v>
      </c>
      <c r="F339" s="3">
        <v>3740000</v>
      </c>
      <c r="G339" t="s">
        <v>1808</v>
      </c>
      <c r="H339" t="s">
        <v>1809</v>
      </c>
      <c r="I339" t="s">
        <v>1810</v>
      </c>
      <c r="J339" s="6">
        <v>21.69</v>
      </c>
      <c r="K339" t="s">
        <v>23</v>
      </c>
      <c r="L339" t="s">
        <v>24</v>
      </c>
      <c r="M339" s="2" t="s">
        <v>3008</v>
      </c>
      <c r="N339" t="s">
        <v>1811</v>
      </c>
      <c r="O339" t="s">
        <v>1812</v>
      </c>
      <c r="P339" s="7" t="s">
        <v>3009</v>
      </c>
      <c r="Q339">
        <v>8155</v>
      </c>
      <c r="R339" s="6">
        <v>17.5</v>
      </c>
    </row>
    <row r="340" spans="1:18">
      <c r="A340" t="s">
        <v>1711</v>
      </c>
      <c r="B340" s="1">
        <v>10.9</v>
      </c>
      <c r="C340" s="2" t="s">
        <v>3010</v>
      </c>
      <c r="D340" t="s">
        <v>1813</v>
      </c>
      <c r="E340" s="3">
        <v>165137.61467889909</v>
      </c>
      <c r="F340" s="3">
        <v>1800000</v>
      </c>
      <c r="G340" t="s">
        <v>1814</v>
      </c>
      <c r="H340" t="s">
        <v>1815</v>
      </c>
      <c r="I340" t="s">
        <v>1816</v>
      </c>
      <c r="J340" s="6">
        <v>26.19</v>
      </c>
      <c r="K340" t="s">
        <v>23</v>
      </c>
      <c r="L340" t="s">
        <v>24</v>
      </c>
      <c r="M340" s="2" t="s">
        <v>3011</v>
      </c>
      <c r="N340" t="s">
        <v>1817</v>
      </c>
      <c r="O340" t="s">
        <v>1818</v>
      </c>
      <c r="P340" s="7" t="s">
        <v>3012</v>
      </c>
      <c r="Q340">
        <v>1465</v>
      </c>
      <c r="R340" s="6">
        <v>112.72</v>
      </c>
    </row>
    <row r="341" spans="1:18">
      <c r="A341" t="s">
        <v>1711</v>
      </c>
      <c r="B341" s="1">
        <v>31.9</v>
      </c>
      <c r="C341" s="2" t="s">
        <v>3013</v>
      </c>
      <c r="D341" t="s">
        <v>1756</v>
      </c>
      <c r="E341" s="3">
        <v>145454.5454545455</v>
      </c>
      <c r="F341" s="3">
        <v>4640000</v>
      </c>
      <c r="G341" t="s">
        <v>1819</v>
      </c>
      <c r="H341" t="s">
        <v>1820</v>
      </c>
      <c r="I341" t="s">
        <v>1821</v>
      </c>
      <c r="J341" s="6">
        <v>14.71</v>
      </c>
      <c r="K341" t="s">
        <v>23</v>
      </c>
      <c r="L341" t="s">
        <v>24</v>
      </c>
      <c r="M341" s="2" t="s">
        <v>3014</v>
      </c>
      <c r="N341" t="s">
        <v>1822</v>
      </c>
      <c r="O341" t="s">
        <v>1823</v>
      </c>
      <c r="P341" s="7" t="s">
        <v>3015</v>
      </c>
      <c r="Q341">
        <v>10194</v>
      </c>
      <c r="R341" s="6">
        <v>14.27</v>
      </c>
    </row>
    <row r="342" spans="1:18">
      <c r="A342" t="s">
        <v>1711</v>
      </c>
      <c r="B342" s="1">
        <v>17.8</v>
      </c>
      <c r="C342" s="2" t="s">
        <v>3016</v>
      </c>
      <c r="D342" t="s">
        <v>1824</v>
      </c>
      <c r="E342" s="3">
        <v>174157.30337078651</v>
      </c>
      <c r="F342" s="3">
        <v>3100000</v>
      </c>
      <c r="G342" t="s">
        <v>1825</v>
      </c>
      <c r="H342" t="s">
        <v>1826</v>
      </c>
      <c r="I342" t="s">
        <v>1827</v>
      </c>
      <c r="J342" s="6">
        <v>46.97</v>
      </c>
      <c r="K342" t="s">
        <v>23</v>
      </c>
      <c r="L342" t="s">
        <v>24</v>
      </c>
      <c r="M342" s="2" t="s">
        <v>3017</v>
      </c>
      <c r="N342" t="s">
        <v>1828</v>
      </c>
      <c r="O342" t="s">
        <v>1829</v>
      </c>
      <c r="P342" s="7" t="s">
        <v>3018</v>
      </c>
      <c r="Q342">
        <v>6219</v>
      </c>
      <c r="R342" s="6">
        <v>28</v>
      </c>
    </row>
    <row r="343" spans="1:18">
      <c r="A343" t="s">
        <v>1711</v>
      </c>
      <c r="B343" s="1">
        <v>16.3</v>
      </c>
      <c r="C343" s="2" t="s">
        <v>3019</v>
      </c>
      <c r="D343" t="s">
        <v>1712</v>
      </c>
      <c r="E343" s="3">
        <v>119018.4049079754</v>
      </c>
      <c r="F343" s="3">
        <v>1940000</v>
      </c>
      <c r="G343" t="s">
        <v>1830</v>
      </c>
      <c r="H343" t="s">
        <v>485</v>
      </c>
      <c r="I343" t="s">
        <v>1831</v>
      </c>
      <c r="J343" s="6">
        <v>16.84</v>
      </c>
      <c r="K343" t="s">
        <v>23</v>
      </c>
      <c r="L343" t="s">
        <v>24</v>
      </c>
      <c r="M343" s="2" t="s">
        <v>3020</v>
      </c>
      <c r="N343" t="s">
        <v>1832</v>
      </c>
      <c r="O343" t="s">
        <v>1833</v>
      </c>
      <c r="P343" s="7" t="s">
        <v>3021</v>
      </c>
      <c r="Q343">
        <v>18744</v>
      </c>
      <c r="R343" s="6">
        <v>6.35</v>
      </c>
    </row>
    <row r="344" spans="1:18">
      <c r="A344" t="s">
        <v>1711</v>
      </c>
      <c r="B344" s="1">
        <v>11.7</v>
      </c>
      <c r="C344" s="2" t="s">
        <v>3022</v>
      </c>
      <c r="D344" t="s">
        <v>1834</v>
      </c>
      <c r="E344" s="3">
        <v>147008.547008547</v>
      </c>
      <c r="F344" s="3">
        <v>1720000</v>
      </c>
      <c r="G344" t="s">
        <v>1835</v>
      </c>
      <c r="H344" t="s">
        <v>485</v>
      </c>
      <c r="I344" t="s">
        <v>1836</v>
      </c>
      <c r="J344" s="6">
        <v>19.670000000000002</v>
      </c>
      <c r="K344" t="s">
        <v>23</v>
      </c>
      <c r="L344" t="s">
        <v>24</v>
      </c>
      <c r="M344" s="2" t="s">
        <v>3023</v>
      </c>
      <c r="N344" t="s">
        <v>1837</v>
      </c>
      <c r="O344" t="s">
        <v>1838</v>
      </c>
      <c r="P344" s="7" t="s">
        <v>3024</v>
      </c>
      <c r="Q344">
        <v>6561</v>
      </c>
      <c r="R344" s="6">
        <v>22.41</v>
      </c>
    </row>
    <row r="345" spans="1:18">
      <c r="A345" t="s">
        <v>1711</v>
      </c>
      <c r="B345" s="1">
        <v>18.2</v>
      </c>
      <c r="C345" s="2" t="s">
        <v>3025</v>
      </c>
      <c r="D345" t="s">
        <v>1839</v>
      </c>
      <c r="E345" s="3">
        <v>225274.72527472529</v>
      </c>
      <c r="F345" s="3">
        <v>4100000</v>
      </c>
      <c r="G345" t="s">
        <v>1840</v>
      </c>
      <c r="H345" t="s">
        <v>1841</v>
      </c>
      <c r="I345" t="s">
        <v>1842</v>
      </c>
      <c r="J345" s="6">
        <v>57.41</v>
      </c>
      <c r="K345" t="s">
        <v>23</v>
      </c>
      <c r="L345" t="s">
        <v>24</v>
      </c>
      <c r="M345" s="2" t="s">
        <v>2969</v>
      </c>
      <c r="N345" t="s">
        <v>1750</v>
      </c>
      <c r="O345" t="s">
        <v>1751</v>
      </c>
      <c r="P345" s="7" t="s">
        <v>2970</v>
      </c>
      <c r="Q345">
        <v>3845</v>
      </c>
      <c r="R345" s="6">
        <v>58.59</v>
      </c>
    </row>
    <row r="346" spans="1:18">
      <c r="A346" t="s">
        <v>1711</v>
      </c>
      <c r="B346" s="1">
        <v>23.8</v>
      </c>
      <c r="C346" s="2" t="s">
        <v>3026</v>
      </c>
      <c r="D346" t="s">
        <v>1843</v>
      </c>
      <c r="E346" s="3">
        <v>154621.84873949579</v>
      </c>
      <c r="F346" s="3">
        <v>3680000</v>
      </c>
      <c r="G346" t="s">
        <v>1844</v>
      </c>
      <c r="H346" t="s">
        <v>1841</v>
      </c>
      <c r="I346" t="s">
        <v>1845</v>
      </c>
      <c r="J346" s="6">
        <v>10.59</v>
      </c>
      <c r="K346" t="s">
        <v>23</v>
      </c>
      <c r="L346" t="s">
        <v>24</v>
      </c>
      <c r="M346" s="2" t="s">
        <v>3027</v>
      </c>
      <c r="N346" t="s">
        <v>1846</v>
      </c>
      <c r="O346" t="s">
        <v>1766</v>
      </c>
      <c r="P346" s="7" t="s">
        <v>3028</v>
      </c>
      <c r="Q346">
        <v>13144</v>
      </c>
      <c r="R346" s="6">
        <v>11.76</v>
      </c>
    </row>
    <row r="347" spans="1:18">
      <c r="A347" t="s">
        <v>1711</v>
      </c>
      <c r="B347" s="1">
        <v>31.9</v>
      </c>
      <c r="C347" s="2" t="s">
        <v>3029</v>
      </c>
      <c r="D347" t="s">
        <v>1847</v>
      </c>
      <c r="E347" s="3">
        <v>169278.99686520381</v>
      </c>
      <c r="F347" s="3">
        <v>5400000</v>
      </c>
      <c r="G347" t="s">
        <v>1848</v>
      </c>
      <c r="H347" t="s">
        <v>1849</v>
      </c>
      <c r="I347" t="s">
        <v>1850</v>
      </c>
      <c r="J347" s="6">
        <v>26.39</v>
      </c>
      <c r="K347" t="s">
        <v>23</v>
      </c>
      <c r="L347" t="s">
        <v>24</v>
      </c>
      <c r="M347" s="2" t="s">
        <v>3030</v>
      </c>
      <c r="N347" t="s">
        <v>1851</v>
      </c>
      <c r="O347" t="s">
        <v>1852</v>
      </c>
      <c r="P347" s="7" t="s">
        <v>3031</v>
      </c>
      <c r="Q347">
        <v>9189</v>
      </c>
      <c r="R347" s="6">
        <v>18.420000000000002</v>
      </c>
    </row>
    <row r="348" spans="1:18">
      <c r="A348" t="s">
        <v>1711</v>
      </c>
      <c r="B348" s="1">
        <v>58.3</v>
      </c>
      <c r="C348" s="2" t="s">
        <v>3032</v>
      </c>
      <c r="D348" t="s">
        <v>1853</v>
      </c>
      <c r="E348" s="3">
        <v>64425.385934819897</v>
      </c>
      <c r="F348" s="3">
        <v>3756000</v>
      </c>
      <c r="G348" t="s">
        <v>1854</v>
      </c>
      <c r="H348" t="s">
        <v>1855</v>
      </c>
      <c r="I348" t="s">
        <v>1856</v>
      </c>
      <c r="J348" s="6">
        <v>8.3800000000000008</v>
      </c>
      <c r="K348" t="s">
        <v>23</v>
      </c>
      <c r="L348" t="s">
        <v>24</v>
      </c>
      <c r="M348" s="2" t="s">
        <v>3033</v>
      </c>
      <c r="N348" t="s">
        <v>1857</v>
      </c>
      <c r="O348" t="s">
        <v>1109</v>
      </c>
      <c r="P348" s="7" t="s">
        <v>3034</v>
      </c>
      <c r="Q348">
        <v>7596</v>
      </c>
      <c r="R348" s="6">
        <v>8.48</v>
      </c>
    </row>
    <row r="349" spans="1:18">
      <c r="A349" t="s">
        <v>1711</v>
      </c>
      <c r="B349" s="1">
        <v>22.6</v>
      </c>
      <c r="C349" s="2" t="s">
        <v>3035</v>
      </c>
      <c r="D349" t="s">
        <v>1858</v>
      </c>
      <c r="E349" s="3">
        <v>91150.442477876102</v>
      </c>
      <c r="F349" s="3">
        <v>2060000</v>
      </c>
      <c r="G349" t="s">
        <v>1859</v>
      </c>
      <c r="H349" t="s">
        <v>1860</v>
      </c>
      <c r="I349" t="s">
        <v>1861</v>
      </c>
      <c r="J349" s="6">
        <v>8.5299999999999994</v>
      </c>
      <c r="K349" t="s">
        <v>23</v>
      </c>
      <c r="L349" t="s">
        <v>24</v>
      </c>
      <c r="M349" s="2" t="s">
        <v>3036</v>
      </c>
      <c r="N349" t="s">
        <v>1862</v>
      </c>
      <c r="O349" t="s">
        <v>1863</v>
      </c>
      <c r="P349" s="7" t="s">
        <v>3037</v>
      </c>
      <c r="Q349">
        <v>10908</v>
      </c>
      <c r="R349" s="6">
        <v>8.36</v>
      </c>
    </row>
    <row r="350" spans="1:18">
      <c r="A350" t="s">
        <v>1711</v>
      </c>
      <c r="B350" s="1">
        <v>10.1</v>
      </c>
      <c r="C350" s="2" t="s">
        <v>3038</v>
      </c>
      <c r="D350" t="s">
        <v>1712</v>
      </c>
      <c r="E350" s="3">
        <v>133663.36633663371</v>
      </c>
      <c r="F350" s="3">
        <v>1350000</v>
      </c>
      <c r="G350" t="s">
        <v>1864</v>
      </c>
      <c r="H350" t="s">
        <v>1860</v>
      </c>
      <c r="I350" t="s">
        <v>1865</v>
      </c>
      <c r="J350" s="6">
        <v>16.3</v>
      </c>
      <c r="K350" t="s">
        <v>23</v>
      </c>
      <c r="L350" t="s">
        <v>24</v>
      </c>
      <c r="M350" s="2" t="s">
        <v>2972</v>
      </c>
      <c r="N350" t="s">
        <v>1755</v>
      </c>
      <c r="O350" t="s">
        <v>1044</v>
      </c>
      <c r="P350" s="7" t="s">
        <v>2973</v>
      </c>
      <c r="Q350">
        <v>15227</v>
      </c>
      <c r="R350" s="6">
        <v>8.7799999999999994</v>
      </c>
    </row>
    <row r="351" spans="1:18">
      <c r="A351" t="s">
        <v>1711</v>
      </c>
      <c r="B351" s="1">
        <v>20.100000000000001</v>
      </c>
      <c r="C351" s="2" t="s">
        <v>3039</v>
      </c>
      <c r="D351" t="s">
        <v>1756</v>
      </c>
      <c r="E351" s="3">
        <v>142786.0696517413</v>
      </c>
      <c r="F351" s="3">
        <v>2870000</v>
      </c>
      <c r="G351" t="s">
        <v>1866</v>
      </c>
      <c r="H351" t="s">
        <v>1860</v>
      </c>
      <c r="I351" t="s">
        <v>1867</v>
      </c>
      <c r="J351" s="6">
        <v>31.78</v>
      </c>
      <c r="K351" t="s">
        <v>23</v>
      </c>
      <c r="L351" t="s">
        <v>24</v>
      </c>
      <c r="M351" s="2" t="s">
        <v>3040</v>
      </c>
      <c r="N351" t="s">
        <v>1868</v>
      </c>
      <c r="O351" t="s">
        <v>1869</v>
      </c>
      <c r="P351" s="7" t="s">
        <v>3041</v>
      </c>
      <c r="Q351">
        <v>9852</v>
      </c>
      <c r="R351" s="6">
        <v>14.49</v>
      </c>
    </row>
    <row r="352" spans="1:18">
      <c r="A352" t="s">
        <v>1711</v>
      </c>
      <c r="B352" s="1">
        <v>19.399999999999999</v>
      </c>
      <c r="C352" s="2" t="s">
        <v>3042</v>
      </c>
      <c r="D352" t="s">
        <v>1761</v>
      </c>
      <c r="E352" s="3">
        <v>89948.453608247422</v>
      </c>
      <c r="F352" s="3">
        <v>1745000</v>
      </c>
      <c r="G352" t="s">
        <v>1870</v>
      </c>
      <c r="H352" t="s">
        <v>1871</v>
      </c>
      <c r="I352" t="s">
        <v>1872</v>
      </c>
      <c r="J352" s="6">
        <v>13.21</v>
      </c>
      <c r="K352" t="s">
        <v>23</v>
      </c>
      <c r="L352" t="s">
        <v>24</v>
      </c>
      <c r="M352" s="2" t="s">
        <v>3043</v>
      </c>
      <c r="N352" t="s">
        <v>1873</v>
      </c>
      <c r="O352" t="s">
        <v>1874</v>
      </c>
      <c r="P352" s="7" t="s">
        <v>3044</v>
      </c>
      <c r="Q352">
        <v>6584</v>
      </c>
      <c r="R352" s="6">
        <v>13.66</v>
      </c>
    </row>
    <row r="353" spans="1:18">
      <c r="A353" t="s">
        <v>1711</v>
      </c>
      <c r="B353" s="1">
        <v>13</v>
      </c>
      <c r="C353" s="2" t="s">
        <v>3045</v>
      </c>
      <c r="D353" t="s">
        <v>1843</v>
      </c>
      <c r="E353" s="3">
        <v>159230.76923076919</v>
      </c>
      <c r="F353" s="3">
        <v>2070000</v>
      </c>
      <c r="G353" t="s">
        <v>1875</v>
      </c>
      <c r="H353" t="s">
        <v>1876</v>
      </c>
      <c r="I353" t="s">
        <v>1877</v>
      </c>
      <c r="J353" s="6">
        <v>11.46</v>
      </c>
      <c r="K353" t="s">
        <v>23</v>
      </c>
      <c r="L353" t="s">
        <v>24</v>
      </c>
      <c r="M353" s="2" t="s">
        <v>3046</v>
      </c>
      <c r="N353" t="s">
        <v>1878</v>
      </c>
      <c r="O353" t="s">
        <v>1879</v>
      </c>
      <c r="P353" s="7" t="s">
        <v>3047</v>
      </c>
      <c r="Q353">
        <v>15227</v>
      </c>
      <c r="R353" s="6">
        <v>10.46</v>
      </c>
    </row>
    <row r="354" spans="1:18">
      <c r="A354" t="s">
        <v>1711</v>
      </c>
      <c r="B354" s="1">
        <v>20.399999999999999</v>
      </c>
      <c r="C354" s="2" t="s">
        <v>3048</v>
      </c>
      <c r="D354" t="s">
        <v>1880</v>
      </c>
      <c r="E354" s="3">
        <v>175686.27450980389</v>
      </c>
      <c r="F354" s="3">
        <v>3584000</v>
      </c>
      <c r="G354" t="s">
        <v>1881</v>
      </c>
      <c r="H354" t="s">
        <v>1876</v>
      </c>
      <c r="I354" t="s">
        <v>1882</v>
      </c>
      <c r="J354" s="6">
        <v>195.21</v>
      </c>
      <c r="K354" t="s">
        <v>23</v>
      </c>
      <c r="L354" t="s">
        <v>24</v>
      </c>
      <c r="M354" s="2" t="s">
        <v>3049</v>
      </c>
      <c r="N354" t="s">
        <v>1883</v>
      </c>
      <c r="O354" t="s">
        <v>453</v>
      </c>
      <c r="P354" s="7" t="s">
        <v>3050</v>
      </c>
      <c r="Q354">
        <v>1635</v>
      </c>
      <c r="R354" s="6">
        <v>107.45</v>
      </c>
    </row>
    <row r="355" spans="1:18">
      <c r="A355" t="s">
        <v>1711</v>
      </c>
      <c r="B355" s="1">
        <v>86.8</v>
      </c>
      <c r="C355" s="2" t="s">
        <v>3051</v>
      </c>
      <c r="D355" t="s">
        <v>1884</v>
      </c>
      <c r="E355" s="3">
        <v>99078.341013824887</v>
      </c>
      <c r="F355" s="3">
        <v>8600000</v>
      </c>
      <c r="G355" t="s">
        <v>1885</v>
      </c>
      <c r="H355" t="s">
        <v>1886</v>
      </c>
      <c r="I355" t="s">
        <v>1887</v>
      </c>
      <c r="J355" s="6">
        <v>11.34</v>
      </c>
      <c r="K355" t="s">
        <v>23</v>
      </c>
      <c r="L355" t="s">
        <v>24</v>
      </c>
      <c r="M355" s="2" t="s">
        <v>3052</v>
      </c>
      <c r="N355" t="s">
        <v>1888</v>
      </c>
      <c r="O355" t="s">
        <v>1508</v>
      </c>
      <c r="P355" s="7" t="s">
        <v>3053</v>
      </c>
      <c r="Q355">
        <v>8455</v>
      </c>
      <c r="R355" s="6">
        <v>11.72</v>
      </c>
    </row>
    <row r="356" spans="1:18">
      <c r="A356" t="s">
        <v>1711</v>
      </c>
      <c r="B356" s="1">
        <v>19.5</v>
      </c>
      <c r="C356" s="2" t="s">
        <v>3054</v>
      </c>
      <c r="D356" t="s">
        <v>1756</v>
      </c>
      <c r="E356" s="3">
        <v>209538.4615384615</v>
      </c>
      <c r="F356" s="3">
        <v>4086000</v>
      </c>
      <c r="G356" t="s">
        <v>1889</v>
      </c>
      <c r="H356" t="s">
        <v>1886</v>
      </c>
      <c r="I356" t="s">
        <v>1890</v>
      </c>
      <c r="J356" s="6">
        <v>33.03</v>
      </c>
      <c r="K356" t="s">
        <v>23</v>
      </c>
      <c r="L356" t="s">
        <v>24</v>
      </c>
      <c r="M356" s="2" t="s">
        <v>3055</v>
      </c>
      <c r="N356" t="s">
        <v>1891</v>
      </c>
      <c r="O356" t="s">
        <v>277</v>
      </c>
      <c r="P356" s="7" t="s">
        <v>3056</v>
      </c>
      <c r="Q356">
        <v>5746</v>
      </c>
      <c r="R356" s="6">
        <v>36.47</v>
      </c>
    </row>
    <row r="357" spans="1:18">
      <c r="A357" t="s">
        <v>1711</v>
      </c>
      <c r="B357" s="1">
        <v>14</v>
      </c>
      <c r="C357" s="2" t="s">
        <v>3057</v>
      </c>
      <c r="D357" t="s">
        <v>1743</v>
      </c>
      <c r="E357" s="3">
        <v>77142.857142857145</v>
      </c>
      <c r="F357" s="3">
        <v>1080000</v>
      </c>
      <c r="G357" t="s">
        <v>1892</v>
      </c>
      <c r="H357" t="s">
        <v>1886</v>
      </c>
      <c r="I357" t="s">
        <v>1893</v>
      </c>
      <c r="J357" s="6">
        <v>12.7</v>
      </c>
      <c r="K357" t="s">
        <v>23</v>
      </c>
      <c r="L357" t="s">
        <v>24</v>
      </c>
      <c r="M357" s="2" t="s">
        <v>3058</v>
      </c>
      <c r="N357" t="s">
        <v>1894</v>
      </c>
      <c r="O357" t="s">
        <v>222</v>
      </c>
      <c r="P357" s="7" t="s">
        <v>3059</v>
      </c>
      <c r="Q357">
        <v>6233</v>
      </c>
      <c r="R357" s="6">
        <v>12.38</v>
      </c>
    </row>
    <row r="358" spans="1:18">
      <c r="A358" t="s">
        <v>1711</v>
      </c>
      <c r="B358" s="1">
        <v>25.9</v>
      </c>
      <c r="C358" s="2" t="s">
        <v>3060</v>
      </c>
      <c r="D358" t="s">
        <v>1807</v>
      </c>
      <c r="E358" s="3">
        <v>113822.3938223938</v>
      </c>
      <c r="F358" s="3">
        <v>2948000</v>
      </c>
      <c r="G358" t="s">
        <v>1895</v>
      </c>
      <c r="H358" t="s">
        <v>1886</v>
      </c>
      <c r="I358" t="s">
        <v>1896</v>
      </c>
      <c r="J358" s="6">
        <v>17.29</v>
      </c>
      <c r="K358" t="s">
        <v>23</v>
      </c>
      <c r="L358" t="s">
        <v>24</v>
      </c>
      <c r="M358" s="2" t="s">
        <v>3008</v>
      </c>
      <c r="N358" t="s">
        <v>1811</v>
      </c>
      <c r="O358" t="s">
        <v>1812</v>
      </c>
      <c r="P358" s="7" t="s">
        <v>3009</v>
      </c>
      <c r="Q358">
        <v>8155</v>
      </c>
      <c r="R358" s="6">
        <v>13.96</v>
      </c>
    </row>
    <row r="359" spans="1:18">
      <c r="A359" t="s">
        <v>1711</v>
      </c>
      <c r="B359" s="1">
        <v>130.5</v>
      </c>
      <c r="C359" s="2" t="s">
        <v>3061</v>
      </c>
      <c r="D359" t="s">
        <v>1738</v>
      </c>
      <c r="E359" s="3">
        <v>63310.34482758621</v>
      </c>
      <c r="F359" s="3">
        <v>8262000</v>
      </c>
      <c r="G359" t="s">
        <v>1897</v>
      </c>
      <c r="H359" t="s">
        <v>1886</v>
      </c>
      <c r="I359" t="s">
        <v>1898</v>
      </c>
      <c r="J359" s="6">
        <v>15.26</v>
      </c>
      <c r="K359" t="s">
        <v>23</v>
      </c>
      <c r="L359" t="s">
        <v>24</v>
      </c>
      <c r="M359" s="2" t="s">
        <v>3062</v>
      </c>
      <c r="N359" t="s">
        <v>1899</v>
      </c>
      <c r="O359" t="s">
        <v>234</v>
      </c>
      <c r="P359" s="7" t="s">
        <v>3063</v>
      </c>
      <c r="Q359">
        <v>757</v>
      </c>
      <c r="R359" s="6">
        <v>83.63</v>
      </c>
    </row>
    <row r="360" spans="1:18">
      <c r="A360" t="s">
        <v>1711</v>
      </c>
      <c r="B360" s="1">
        <v>148.1</v>
      </c>
      <c r="C360" s="2" t="s">
        <v>3064</v>
      </c>
      <c r="D360" t="s">
        <v>1900</v>
      </c>
      <c r="E360" s="3">
        <v>52667.116812964217</v>
      </c>
      <c r="F360" s="3">
        <v>7800000</v>
      </c>
      <c r="G360" t="s">
        <v>1901</v>
      </c>
      <c r="H360" t="s">
        <v>1902</v>
      </c>
      <c r="I360" t="s">
        <v>1903</v>
      </c>
      <c r="J360" s="6">
        <v>10.210000000000001</v>
      </c>
      <c r="K360" t="s">
        <v>23</v>
      </c>
      <c r="L360" t="s">
        <v>24</v>
      </c>
      <c r="M360" s="2" t="s">
        <v>3065</v>
      </c>
      <c r="N360" t="s">
        <v>1904</v>
      </c>
      <c r="O360" t="s">
        <v>1905</v>
      </c>
      <c r="P360" s="7" t="s">
        <v>3066</v>
      </c>
      <c r="Q360">
        <v>10406</v>
      </c>
      <c r="R360" s="6">
        <v>5.0599999999999996</v>
      </c>
    </row>
    <row r="361" spans="1:18">
      <c r="A361" t="s">
        <v>1711</v>
      </c>
      <c r="B361" s="1">
        <v>24.7</v>
      </c>
      <c r="C361" s="2" t="s">
        <v>3067</v>
      </c>
      <c r="D361" t="s">
        <v>1728</v>
      </c>
      <c r="E361" s="3">
        <v>107692.3076923077</v>
      </c>
      <c r="F361" s="3">
        <v>2660000</v>
      </c>
      <c r="G361" t="s">
        <v>1906</v>
      </c>
      <c r="H361" t="s">
        <v>1907</v>
      </c>
      <c r="I361" t="s">
        <v>1908</v>
      </c>
      <c r="J361" s="6">
        <v>11.69</v>
      </c>
      <c r="K361" t="s">
        <v>23</v>
      </c>
      <c r="L361" t="s">
        <v>24</v>
      </c>
      <c r="M361" s="2" t="s">
        <v>3068</v>
      </c>
      <c r="N361" t="s">
        <v>1909</v>
      </c>
      <c r="O361" t="s">
        <v>1910</v>
      </c>
      <c r="P361" s="7" t="s">
        <v>3069</v>
      </c>
      <c r="Q361">
        <v>9714</v>
      </c>
      <c r="R361" s="6">
        <v>11.09</v>
      </c>
    </row>
    <row r="362" spans="1:18">
      <c r="A362" t="s">
        <v>1711</v>
      </c>
      <c r="B362" s="1">
        <v>57.7</v>
      </c>
      <c r="C362" s="2" t="s">
        <v>3070</v>
      </c>
      <c r="D362" t="s">
        <v>1911</v>
      </c>
      <c r="E362" s="3">
        <v>71057.192374350081</v>
      </c>
      <c r="F362" s="3">
        <v>4100000</v>
      </c>
      <c r="G362" t="s">
        <v>1912</v>
      </c>
      <c r="H362" t="s">
        <v>1913</v>
      </c>
      <c r="I362" t="s">
        <v>1914</v>
      </c>
      <c r="J362" s="6">
        <v>10.51</v>
      </c>
      <c r="K362" t="s">
        <v>23</v>
      </c>
      <c r="L362" t="s">
        <v>24</v>
      </c>
      <c r="M362" s="2" t="s">
        <v>3071</v>
      </c>
      <c r="N362" t="s">
        <v>1915</v>
      </c>
      <c r="O362" t="s">
        <v>26</v>
      </c>
      <c r="P362" s="7" t="s">
        <v>3072</v>
      </c>
      <c r="Q362">
        <v>4623</v>
      </c>
      <c r="R362" s="6">
        <v>15.37</v>
      </c>
    </row>
    <row r="363" spans="1:18">
      <c r="A363" t="s">
        <v>1711</v>
      </c>
      <c r="B363" s="1">
        <v>31.4</v>
      </c>
      <c r="C363" s="2" t="s">
        <v>3073</v>
      </c>
      <c r="D363" t="s">
        <v>1756</v>
      </c>
      <c r="E363" s="3">
        <v>126114.6496815287</v>
      </c>
      <c r="F363" s="3">
        <v>3960000</v>
      </c>
      <c r="G363" t="s">
        <v>1916</v>
      </c>
      <c r="H363" t="s">
        <v>1913</v>
      </c>
      <c r="I363" t="s">
        <v>1917</v>
      </c>
      <c r="J363" s="6">
        <v>24.77</v>
      </c>
      <c r="K363" t="s">
        <v>23</v>
      </c>
      <c r="L363" t="s">
        <v>24</v>
      </c>
      <c r="M363" s="2" t="s">
        <v>3074</v>
      </c>
      <c r="N363" t="s">
        <v>1918</v>
      </c>
      <c r="O363" t="s">
        <v>1919</v>
      </c>
      <c r="P363" s="7" t="s">
        <v>3075</v>
      </c>
      <c r="Q363">
        <v>3669</v>
      </c>
      <c r="R363" s="6">
        <v>34.369999999999997</v>
      </c>
    </row>
    <row r="364" spans="1:18">
      <c r="A364" t="s">
        <v>1711</v>
      </c>
      <c r="B364" s="1">
        <v>11.9</v>
      </c>
      <c r="C364" s="2" t="s">
        <v>3076</v>
      </c>
      <c r="D364" t="s">
        <v>1756</v>
      </c>
      <c r="E364" s="3">
        <v>142857.14285714281</v>
      </c>
      <c r="F364" s="3">
        <v>1700000</v>
      </c>
      <c r="G364" t="s">
        <v>1920</v>
      </c>
      <c r="H364" t="s">
        <v>1921</v>
      </c>
      <c r="I364" t="s">
        <v>1922</v>
      </c>
      <c r="J364" s="6">
        <v>35.74</v>
      </c>
      <c r="K364" t="s">
        <v>23</v>
      </c>
      <c r="L364" t="s">
        <v>24</v>
      </c>
      <c r="M364" s="2" t="s">
        <v>3077</v>
      </c>
      <c r="N364" t="s">
        <v>1923</v>
      </c>
      <c r="O364" t="s">
        <v>318</v>
      </c>
      <c r="P364" s="7" t="s">
        <v>3078</v>
      </c>
      <c r="Q364">
        <v>5057</v>
      </c>
      <c r="R364" s="6">
        <v>28.25</v>
      </c>
    </row>
    <row r="365" spans="1:18">
      <c r="A365" t="s">
        <v>1711</v>
      </c>
      <c r="B365" s="1">
        <v>64.900000000000006</v>
      </c>
      <c r="C365" s="2" t="s">
        <v>3079</v>
      </c>
      <c r="D365" t="s">
        <v>1924</v>
      </c>
      <c r="E365" s="3">
        <v>97380.585516178733</v>
      </c>
      <c r="F365" s="3">
        <v>6320000</v>
      </c>
      <c r="G365" t="s">
        <v>1925</v>
      </c>
      <c r="H365" t="s">
        <v>1926</v>
      </c>
      <c r="I365" t="s">
        <v>1927</v>
      </c>
      <c r="J365" s="6">
        <v>5.26</v>
      </c>
      <c r="K365" t="s">
        <v>23</v>
      </c>
      <c r="L365" t="s">
        <v>24</v>
      </c>
      <c r="M365" s="2" t="s">
        <v>3080</v>
      </c>
      <c r="N365" t="s">
        <v>1928</v>
      </c>
      <c r="O365" t="s">
        <v>1929</v>
      </c>
      <c r="P365" s="7" t="s">
        <v>3081</v>
      </c>
      <c r="Q365">
        <v>10599</v>
      </c>
      <c r="R365" s="6">
        <v>9.19</v>
      </c>
    </row>
    <row r="366" spans="1:18">
      <c r="A366" t="s">
        <v>1711</v>
      </c>
      <c r="B366" s="1">
        <v>27.4</v>
      </c>
      <c r="C366" s="2" t="s">
        <v>3082</v>
      </c>
      <c r="D366" t="s">
        <v>1930</v>
      </c>
      <c r="E366" s="3">
        <v>135766.4233576642</v>
      </c>
      <c r="F366" s="3">
        <v>3720000</v>
      </c>
      <c r="G366" t="s">
        <v>1931</v>
      </c>
      <c r="H366" t="s">
        <v>1932</v>
      </c>
      <c r="I366" t="s">
        <v>1933</v>
      </c>
      <c r="J366" s="6">
        <v>21.33</v>
      </c>
      <c r="K366" t="s">
        <v>23</v>
      </c>
      <c r="L366" t="s">
        <v>24</v>
      </c>
      <c r="M366" s="2" t="s">
        <v>3083</v>
      </c>
      <c r="N366" t="s">
        <v>1934</v>
      </c>
      <c r="O366" t="s">
        <v>1935</v>
      </c>
      <c r="P366" s="7" t="s">
        <v>3084</v>
      </c>
      <c r="Q366">
        <v>9788</v>
      </c>
      <c r="R366" s="6">
        <v>13.87</v>
      </c>
    </row>
    <row r="367" spans="1:18">
      <c r="A367" t="s">
        <v>1711</v>
      </c>
      <c r="B367" s="1">
        <v>20.2</v>
      </c>
      <c r="C367" s="2" t="s">
        <v>3085</v>
      </c>
      <c r="D367" t="s">
        <v>1756</v>
      </c>
      <c r="E367" s="3">
        <v>175247.52475247529</v>
      </c>
      <c r="F367" s="3">
        <v>3540000</v>
      </c>
      <c r="G367" t="s">
        <v>1936</v>
      </c>
      <c r="H367" t="s">
        <v>1937</v>
      </c>
      <c r="I367" t="s">
        <v>1938</v>
      </c>
      <c r="J367" s="6">
        <v>21.24</v>
      </c>
      <c r="K367" t="s">
        <v>23</v>
      </c>
      <c r="L367" t="s">
        <v>24</v>
      </c>
      <c r="M367" s="2" t="s">
        <v>3086</v>
      </c>
      <c r="N367" t="s">
        <v>1939</v>
      </c>
      <c r="O367" t="s">
        <v>662</v>
      </c>
      <c r="P367" s="7" t="s">
        <v>3087</v>
      </c>
      <c r="Q367">
        <v>8314</v>
      </c>
      <c r="R367" s="6">
        <v>21.08</v>
      </c>
    </row>
    <row r="368" spans="1:18">
      <c r="A368" t="s">
        <v>1711</v>
      </c>
      <c r="B368" s="1">
        <v>28</v>
      </c>
      <c r="C368" s="2" t="s">
        <v>3088</v>
      </c>
      <c r="D368" t="s">
        <v>1743</v>
      </c>
      <c r="E368" s="3">
        <v>160714.28571428571</v>
      </c>
      <c r="F368" s="3">
        <v>4500000</v>
      </c>
      <c r="G368" t="s">
        <v>1940</v>
      </c>
      <c r="H368" t="s">
        <v>1941</v>
      </c>
      <c r="I368" t="s">
        <v>1942</v>
      </c>
      <c r="J368" s="6">
        <v>32.950000000000003</v>
      </c>
      <c r="K368" t="s">
        <v>23</v>
      </c>
      <c r="L368" t="s">
        <v>24</v>
      </c>
      <c r="M368" s="2" t="s">
        <v>3089</v>
      </c>
      <c r="N368" t="s">
        <v>1943</v>
      </c>
      <c r="O368" t="s">
        <v>1944</v>
      </c>
      <c r="P368" s="7" t="s">
        <v>3090</v>
      </c>
      <c r="Q368">
        <v>2693</v>
      </c>
      <c r="R368" s="6">
        <v>59.68</v>
      </c>
    </row>
    <row r="369" spans="1:18">
      <c r="A369" t="s">
        <v>1711</v>
      </c>
      <c r="B369" s="1">
        <v>13.3</v>
      </c>
      <c r="C369" s="2" t="s">
        <v>3091</v>
      </c>
      <c r="D369" t="s">
        <v>1945</v>
      </c>
      <c r="E369" s="3">
        <v>178195.48872180449</v>
      </c>
      <c r="F369" s="3">
        <v>2370000</v>
      </c>
      <c r="G369" t="s">
        <v>1946</v>
      </c>
      <c r="H369" t="s">
        <v>1947</v>
      </c>
      <c r="I369" t="s">
        <v>1948</v>
      </c>
      <c r="J369" s="6">
        <v>19.940000000000001</v>
      </c>
      <c r="K369" t="s">
        <v>23</v>
      </c>
      <c r="L369" t="s">
        <v>24</v>
      </c>
      <c r="M369" s="2" t="s">
        <v>3092</v>
      </c>
      <c r="N369" t="s">
        <v>1949</v>
      </c>
      <c r="O369" t="s">
        <v>1950</v>
      </c>
      <c r="P369" s="7" t="s">
        <v>3093</v>
      </c>
      <c r="Q369">
        <v>2963</v>
      </c>
      <c r="R369" s="6">
        <v>60.14</v>
      </c>
    </row>
    <row r="370" spans="1:18">
      <c r="A370" t="s">
        <v>1711</v>
      </c>
      <c r="B370" s="1">
        <v>10.7</v>
      </c>
      <c r="C370" s="2" t="s">
        <v>3094</v>
      </c>
      <c r="D370" t="s">
        <v>1951</v>
      </c>
      <c r="E370" s="3">
        <v>80094.672897196273</v>
      </c>
      <c r="F370" s="3">
        <v>857013</v>
      </c>
      <c r="G370" t="s">
        <v>1952</v>
      </c>
      <c r="H370" t="s">
        <v>1947</v>
      </c>
      <c r="I370" t="s">
        <v>1953</v>
      </c>
      <c r="J370" s="6">
        <v>80.900000000000006</v>
      </c>
      <c r="K370" t="s">
        <v>901</v>
      </c>
      <c r="L370" t="s">
        <v>24</v>
      </c>
      <c r="M370" s="2" t="s">
        <v>3095</v>
      </c>
      <c r="N370" t="s">
        <v>1954</v>
      </c>
      <c r="O370" t="s">
        <v>1109</v>
      </c>
      <c r="P370" s="7" t="s">
        <v>3096</v>
      </c>
      <c r="Q370">
        <v>2715</v>
      </c>
      <c r="R370" s="6">
        <v>29.5</v>
      </c>
    </row>
    <row r="371" spans="1:18">
      <c r="A371" t="s">
        <v>1711</v>
      </c>
      <c r="B371" s="1">
        <v>25.8</v>
      </c>
      <c r="C371" s="2" t="s">
        <v>3097</v>
      </c>
      <c r="D371" t="s">
        <v>1955</v>
      </c>
      <c r="E371" s="3">
        <v>205426.3565891473</v>
      </c>
      <c r="F371" s="3">
        <v>5300000</v>
      </c>
      <c r="G371" t="s">
        <v>1956</v>
      </c>
      <c r="H371" t="s">
        <v>1957</v>
      </c>
      <c r="I371" t="s">
        <v>1958</v>
      </c>
      <c r="J371" s="6">
        <v>34.700000000000003</v>
      </c>
      <c r="K371" t="s">
        <v>23</v>
      </c>
      <c r="L371" t="s">
        <v>24</v>
      </c>
      <c r="M371" s="2" t="s">
        <v>3098</v>
      </c>
      <c r="N371" t="s">
        <v>1959</v>
      </c>
      <c r="O371" t="s">
        <v>1960</v>
      </c>
      <c r="P371" s="7" t="s">
        <v>3099</v>
      </c>
      <c r="Q371">
        <v>10480</v>
      </c>
      <c r="R371" s="6">
        <v>19.600000000000001</v>
      </c>
    </row>
    <row r="372" spans="1:18">
      <c r="A372" t="s">
        <v>1711</v>
      </c>
      <c r="B372" s="1">
        <v>15.8</v>
      </c>
      <c r="C372" s="2" t="s">
        <v>3100</v>
      </c>
      <c r="D372" t="s">
        <v>1718</v>
      </c>
      <c r="E372" s="3">
        <v>92405.063291139231</v>
      </c>
      <c r="F372" s="3">
        <v>1460000</v>
      </c>
      <c r="G372" t="s">
        <v>1961</v>
      </c>
      <c r="H372" t="s">
        <v>1962</v>
      </c>
      <c r="I372" t="s">
        <v>1963</v>
      </c>
      <c r="J372" s="6">
        <v>6.33</v>
      </c>
      <c r="K372" t="s">
        <v>23</v>
      </c>
      <c r="L372" t="s">
        <v>24</v>
      </c>
      <c r="M372" s="2" t="s">
        <v>3027</v>
      </c>
      <c r="N372" t="s">
        <v>1846</v>
      </c>
      <c r="O372" t="s">
        <v>1766</v>
      </c>
      <c r="P372" s="7" t="s">
        <v>3028</v>
      </c>
      <c r="Q372">
        <v>13144</v>
      </c>
      <c r="R372" s="6">
        <v>7.03</v>
      </c>
    </row>
    <row r="373" spans="1:18">
      <c r="A373" t="s">
        <v>1711</v>
      </c>
      <c r="B373" s="1">
        <v>15.8</v>
      </c>
      <c r="C373" s="2" t="s">
        <v>3101</v>
      </c>
      <c r="D373" t="s">
        <v>1964</v>
      </c>
      <c r="E373" s="3">
        <v>119620.253164557</v>
      </c>
      <c r="F373" s="3">
        <v>1890000</v>
      </c>
      <c r="G373" t="s">
        <v>1965</v>
      </c>
      <c r="H373" t="s">
        <v>1966</v>
      </c>
      <c r="I373" t="s">
        <v>1967</v>
      </c>
      <c r="J373" s="6">
        <v>17.29</v>
      </c>
      <c r="K373" t="s">
        <v>23</v>
      </c>
      <c r="L373" t="s">
        <v>24</v>
      </c>
      <c r="M373" s="2" t="s">
        <v>3102</v>
      </c>
      <c r="N373" t="s">
        <v>1968</v>
      </c>
      <c r="O373" t="s">
        <v>729</v>
      </c>
      <c r="P373" s="7" t="s">
        <v>3103</v>
      </c>
      <c r="Q373">
        <v>2186</v>
      </c>
      <c r="R373" s="6">
        <v>54.72</v>
      </c>
    </row>
    <row r="374" spans="1:18">
      <c r="A374" t="s">
        <v>1711</v>
      </c>
      <c r="B374" s="1">
        <v>24.2</v>
      </c>
      <c r="C374" s="2" t="s">
        <v>3104</v>
      </c>
      <c r="D374" t="s">
        <v>1756</v>
      </c>
      <c r="E374" s="3">
        <v>175206.61157024789</v>
      </c>
      <c r="F374" s="3">
        <v>4240000</v>
      </c>
      <c r="G374" t="s">
        <v>1969</v>
      </c>
      <c r="H374" t="s">
        <v>1966</v>
      </c>
      <c r="I374" t="s">
        <v>1970</v>
      </c>
      <c r="J374" s="6">
        <v>33.369999999999997</v>
      </c>
      <c r="K374" t="s">
        <v>23</v>
      </c>
      <c r="L374" t="s">
        <v>24</v>
      </c>
      <c r="M374" s="2" t="s">
        <v>3105</v>
      </c>
      <c r="N374" t="s">
        <v>1971</v>
      </c>
      <c r="O374" t="s">
        <v>1703</v>
      </c>
      <c r="P374" s="7" t="s">
        <v>3106</v>
      </c>
      <c r="Q374">
        <v>14430</v>
      </c>
      <c r="R374" s="6">
        <v>12.14</v>
      </c>
    </row>
    <row r="375" spans="1:18">
      <c r="A375" t="s">
        <v>1711</v>
      </c>
      <c r="B375" s="1">
        <v>39.299999999999997</v>
      </c>
      <c r="C375" s="2" t="s">
        <v>3107</v>
      </c>
      <c r="D375" t="s">
        <v>1756</v>
      </c>
      <c r="E375" s="3">
        <v>244783.71501272271</v>
      </c>
      <c r="F375" s="3">
        <v>9620000</v>
      </c>
      <c r="G375" t="s">
        <v>1972</v>
      </c>
      <c r="H375" t="s">
        <v>1966</v>
      </c>
      <c r="I375" t="s">
        <v>1973</v>
      </c>
      <c r="J375" s="6">
        <v>80.790000000000006</v>
      </c>
      <c r="K375" t="s">
        <v>23</v>
      </c>
      <c r="L375" t="s">
        <v>24</v>
      </c>
      <c r="M375" s="2" t="s">
        <v>3108</v>
      </c>
      <c r="N375" t="s">
        <v>1974</v>
      </c>
      <c r="O375" t="s">
        <v>1975</v>
      </c>
      <c r="P375" s="7" t="s">
        <v>3109</v>
      </c>
      <c r="Q375">
        <v>7410</v>
      </c>
      <c r="R375" s="6">
        <v>33.03</v>
      </c>
    </row>
    <row r="376" spans="1:18">
      <c r="A376" t="s">
        <v>1711</v>
      </c>
      <c r="B376" s="1">
        <v>49.8</v>
      </c>
      <c r="C376" s="2" t="s">
        <v>3110</v>
      </c>
      <c r="D376" t="s">
        <v>1847</v>
      </c>
      <c r="E376" s="3">
        <v>116666.6666666667</v>
      </c>
      <c r="F376" s="3">
        <v>5810000</v>
      </c>
      <c r="G376" t="s">
        <v>1976</v>
      </c>
      <c r="H376" t="s">
        <v>1966</v>
      </c>
      <c r="I376" t="s">
        <v>1977</v>
      </c>
      <c r="J376" s="6">
        <v>16.64</v>
      </c>
      <c r="K376" t="s">
        <v>23</v>
      </c>
      <c r="L376" t="s">
        <v>24</v>
      </c>
      <c r="M376" s="2" t="s">
        <v>3111</v>
      </c>
      <c r="N376" t="s">
        <v>1978</v>
      </c>
      <c r="O376" t="s">
        <v>1979</v>
      </c>
      <c r="P376" s="7" t="s">
        <v>3112</v>
      </c>
      <c r="Q376">
        <v>9528</v>
      </c>
      <c r="R376" s="6">
        <v>12.24</v>
      </c>
    </row>
    <row r="377" spans="1:18">
      <c r="A377" t="s">
        <v>1711</v>
      </c>
      <c r="B377" s="1">
        <v>79.7</v>
      </c>
      <c r="C377" s="2" t="s">
        <v>3113</v>
      </c>
      <c r="D377" t="s">
        <v>1843</v>
      </c>
      <c r="E377" s="3">
        <v>97867.001254705145</v>
      </c>
      <c r="F377" s="3">
        <v>7800000</v>
      </c>
      <c r="G377" t="s">
        <v>1980</v>
      </c>
      <c r="H377" t="s">
        <v>1981</v>
      </c>
      <c r="I377" t="s">
        <v>1982</v>
      </c>
      <c r="J377" s="6">
        <v>29.95</v>
      </c>
      <c r="K377" t="s">
        <v>23</v>
      </c>
      <c r="L377" t="s">
        <v>24</v>
      </c>
      <c r="M377" s="2" t="s">
        <v>3114</v>
      </c>
      <c r="N377" t="s">
        <v>1983</v>
      </c>
      <c r="O377" t="s">
        <v>1579</v>
      </c>
      <c r="P377" s="7" t="s">
        <v>3115</v>
      </c>
      <c r="Q377">
        <v>5358</v>
      </c>
      <c r="R377" s="6">
        <v>18.27</v>
      </c>
    </row>
    <row r="378" spans="1:18">
      <c r="A378" t="s">
        <v>1711</v>
      </c>
      <c r="B378" s="1">
        <v>15</v>
      </c>
      <c r="C378" s="2" t="s">
        <v>3116</v>
      </c>
      <c r="D378" t="s">
        <v>1712</v>
      </c>
      <c r="E378" s="3">
        <v>168666.66666666669</v>
      </c>
      <c r="F378" s="3">
        <v>2530000</v>
      </c>
      <c r="G378" t="s">
        <v>1984</v>
      </c>
      <c r="H378" t="s">
        <v>1981</v>
      </c>
      <c r="I378" t="s">
        <v>1985</v>
      </c>
      <c r="J378" s="6">
        <v>39.49</v>
      </c>
      <c r="K378" t="s">
        <v>23</v>
      </c>
      <c r="L378" t="s">
        <v>24</v>
      </c>
      <c r="M378" s="2" t="s">
        <v>3117</v>
      </c>
      <c r="N378" t="s">
        <v>1986</v>
      </c>
      <c r="O378" t="s">
        <v>1987</v>
      </c>
      <c r="P378" s="7" t="s">
        <v>3118</v>
      </c>
      <c r="Q378">
        <v>4623</v>
      </c>
      <c r="R378" s="6">
        <v>36.479999999999997</v>
      </c>
    </row>
    <row r="379" spans="1:18">
      <c r="A379" t="s">
        <v>1711</v>
      </c>
      <c r="B379" s="1">
        <v>17.399999999999999</v>
      </c>
      <c r="C379" s="2" t="s">
        <v>3119</v>
      </c>
      <c r="D379" t="s">
        <v>1988</v>
      </c>
      <c r="E379" s="3">
        <v>177011.49425287361</v>
      </c>
      <c r="F379" s="3">
        <v>3080000</v>
      </c>
      <c r="G379" t="s">
        <v>1989</v>
      </c>
      <c r="H379" t="s">
        <v>1990</v>
      </c>
      <c r="I379" t="s">
        <v>1991</v>
      </c>
      <c r="J379" s="6">
        <v>26.26</v>
      </c>
      <c r="K379" t="s">
        <v>23</v>
      </c>
      <c r="L379" t="s">
        <v>24</v>
      </c>
      <c r="M379" s="2" t="s">
        <v>3120</v>
      </c>
      <c r="N379" t="s">
        <v>1992</v>
      </c>
      <c r="O379" t="s">
        <v>233</v>
      </c>
      <c r="P379" s="7" t="s">
        <v>3121</v>
      </c>
      <c r="Q379">
        <v>9662</v>
      </c>
      <c r="R379" s="6">
        <v>18.32</v>
      </c>
    </row>
    <row r="380" spans="1:18">
      <c r="A380" t="s">
        <v>1711</v>
      </c>
      <c r="B380" s="1">
        <v>56.3</v>
      </c>
      <c r="C380" s="2" t="s">
        <v>3122</v>
      </c>
      <c r="D380" t="s">
        <v>1712</v>
      </c>
      <c r="E380" s="3">
        <v>101243.3392539965</v>
      </c>
      <c r="F380" s="3">
        <v>5700000</v>
      </c>
      <c r="G380" t="s">
        <v>1993</v>
      </c>
      <c r="H380" t="s">
        <v>1990</v>
      </c>
      <c r="I380" t="s">
        <v>1994</v>
      </c>
      <c r="J380" s="6">
        <v>20.350000000000001</v>
      </c>
      <c r="K380" t="s">
        <v>23</v>
      </c>
      <c r="L380" t="s">
        <v>24</v>
      </c>
      <c r="M380" s="2" t="s">
        <v>3123</v>
      </c>
      <c r="N380" t="s">
        <v>1995</v>
      </c>
      <c r="O380" t="s">
        <v>1996</v>
      </c>
      <c r="P380" s="7" t="s">
        <v>3124</v>
      </c>
      <c r="Q380">
        <v>9090</v>
      </c>
      <c r="R380" s="6">
        <v>11.14</v>
      </c>
    </row>
    <row r="381" spans="1:18">
      <c r="A381" t="s">
        <v>1711</v>
      </c>
      <c r="B381" s="1">
        <v>26.1</v>
      </c>
      <c r="C381" s="2" t="s">
        <v>3125</v>
      </c>
      <c r="D381" t="s">
        <v>1839</v>
      </c>
      <c r="E381" s="3">
        <v>111034.4827586207</v>
      </c>
      <c r="F381" s="3">
        <v>2898000</v>
      </c>
      <c r="G381" t="s">
        <v>1997</v>
      </c>
      <c r="H381" t="s">
        <v>1990</v>
      </c>
      <c r="I381" t="s">
        <v>1998</v>
      </c>
      <c r="J381" s="6">
        <v>32.020000000000003</v>
      </c>
      <c r="K381" t="s">
        <v>23</v>
      </c>
      <c r="L381" t="s">
        <v>24</v>
      </c>
      <c r="M381" s="2" t="s">
        <v>3126</v>
      </c>
      <c r="N381" t="s">
        <v>1999</v>
      </c>
      <c r="O381" t="s">
        <v>247</v>
      </c>
      <c r="P381" s="7" t="s">
        <v>3127</v>
      </c>
      <c r="Q381">
        <v>1330</v>
      </c>
      <c r="R381" s="6">
        <v>83.48</v>
      </c>
    </row>
    <row r="382" spans="1:18">
      <c r="A382" t="s">
        <v>1711</v>
      </c>
      <c r="B382" s="1">
        <v>20.9</v>
      </c>
      <c r="C382" s="2" t="s">
        <v>3128</v>
      </c>
      <c r="D382" t="s">
        <v>1756</v>
      </c>
      <c r="E382" s="3">
        <v>211483.25358851679</v>
      </c>
      <c r="F382" s="3">
        <v>4420000</v>
      </c>
      <c r="G382" t="s">
        <v>2000</v>
      </c>
      <c r="H382" t="s">
        <v>1990</v>
      </c>
      <c r="I382" t="s">
        <v>2001</v>
      </c>
      <c r="J382" s="6">
        <v>69.180000000000007</v>
      </c>
      <c r="K382" t="s">
        <v>23</v>
      </c>
      <c r="L382" t="s">
        <v>24</v>
      </c>
      <c r="M382" s="2" t="s">
        <v>3129</v>
      </c>
      <c r="N382" t="s">
        <v>2002</v>
      </c>
      <c r="O382" t="s">
        <v>61</v>
      </c>
      <c r="P382" s="7" t="s">
        <v>3130</v>
      </c>
      <c r="Q382">
        <v>11347</v>
      </c>
      <c r="R382" s="6">
        <v>18.64</v>
      </c>
    </row>
    <row r="383" spans="1:18">
      <c r="A383" t="s">
        <v>1711</v>
      </c>
      <c r="B383" s="1">
        <v>17.2</v>
      </c>
      <c r="C383" s="2" t="s">
        <v>3131</v>
      </c>
      <c r="D383" t="s">
        <v>1756</v>
      </c>
      <c r="E383" s="3">
        <v>159883.72093023261</v>
      </c>
      <c r="F383" s="3">
        <v>2750000</v>
      </c>
      <c r="G383" t="s">
        <v>2003</v>
      </c>
      <c r="H383" t="s">
        <v>1990</v>
      </c>
      <c r="I383" t="s">
        <v>2004</v>
      </c>
      <c r="J383" s="6">
        <v>10.55</v>
      </c>
      <c r="K383" t="s">
        <v>23</v>
      </c>
      <c r="L383" t="s">
        <v>24</v>
      </c>
      <c r="M383" s="2" t="s">
        <v>3132</v>
      </c>
      <c r="N383" t="s">
        <v>2005</v>
      </c>
      <c r="O383" t="s">
        <v>1806</v>
      </c>
      <c r="P383" s="7" t="s">
        <v>3133</v>
      </c>
      <c r="Q383">
        <v>8134</v>
      </c>
      <c r="R383" s="6">
        <v>19.66</v>
      </c>
    </row>
    <row r="384" spans="1:18">
      <c r="A384" t="s">
        <v>1711</v>
      </c>
      <c r="B384" s="1">
        <v>89.4</v>
      </c>
      <c r="C384" s="2" t="s">
        <v>3134</v>
      </c>
      <c r="D384" t="s">
        <v>1743</v>
      </c>
      <c r="E384" s="3">
        <v>82550.33557046979</v>
      </c>
      <c r="F384" s="3">
        <v>7380000</v>
      </c>
      <c r="G384" t="s">
        <v>2006</v>
      </c>
      <c r="H384" t="s">
        <v>2007</v>
      </c>
      <c r="I384" t="s">
        <v>2008</v>
      </c>
      <c r="J384" s="6">
        <v>10.11</v>
      </c>
      <c r="K384" t="s">
        <v>23</v>
      </c>
      <c r="L384" t="s">
        <v>24</v>
      </c>
      <c r="M384" s="2" t="s">
        <v>3135</v>
      </c>
      <c r="N384" t="s">
        <v>2009</v>
      </c>
      <c r="O384" t="s">
        <v>43</v>
      </c>
      <c r="P384" s="7" t="s">
        <v>3136</v>
      </c>
      <c r="Q384">
        <v>2808</v>
      </c>
      <c r="R384" s="6">
        <v>29.4</v>
      </c>
    </row>
    <row r="385" spans="1:18">
      <c r="A385" t="s">
        <v>1711</v>
      </c>
      <c r="B385" s="1">
        <v>14.1</v>
      </c>
      <c r="C385" s="2" t="s">
        <v>3137</v>
      </c>
      <c r="D385" t="s">
        <v>1756</v>
      </c>
      <c r="E385" s="3">
        <v>256028.3687943262</v>
      </c>
      <c r="F385" s="3">
        <v>3610000</v>
      </c>
      <c r="G385" t="s">
        <v>2010</v>
      </c>
      <c r="H385" t="s">
        <v>2007</v>
      </c>
      <c r="I385" t="s">
        <v>2011</v>
      </c>
      <c r="J385" s="6">
        <v>32.25</v>
      </c>
      <c r="K385" t="s">
        <v>23</v>
      </c>
      <c r="L385" t="s">
        <v>24</v>
      </c>
      <c r="M385" s="2" t="s">
        <v>3138</v>
      </c>
      <c r="N385" t="s">
        <v>2012</v>
      </c>
      <c r="O385" t="s">
        <v>387</v>
      </c>
      <c r="P385" s="7" t="s">
        <v>3139</v>
      </c>
      <c r="Q385">
        <v>2386</v>
      </c>
      <c r="R385" s="6">
        <v>107.3</v>
      </c>
    </row>
    <row r="386" spans="1:18">
      <c r="A386" t="s">
        <v>1711</v>
      </c>
      <c r="B386" s="1">
        <v>37.9</v>
      </c>
      <c r="C386" s="2" t="s">
        <v>3140</v>
      </c>
      <c r="D386" t="s">
        <v>2013</v>
      </c>
      <c r="E386" s="3">
        <v>141424.80211081801</v>
      </c>
      <c r="F386" s="3">
        <v>5360000</v>
      </c>
      <c r="G386" t="s">
        <v>2014</v>
      </c>
      <c r="H386" t="s">
        <v>2015</v>
      </c>
      <c r="I386" t="s">
        <v>2016</v>
      </c>
      <c r="J386" s="6">
        <v>32.979999999999997</v>
      </c>
      <c r="K386" t="s">
        <v>23</v>
      </c>
      <c r="L386" t="s">
        <v>24</v>
      </c>
      <c r="M386" s="2" t="s">
        <v>3141</v>
      </c>
      <c r="N386" t="s">
        <v>2017</v>
      </c>
      <c r="O386" t="s">
        <v>2018</v>
      </c>
      <c r="P386" s="7" t="s">
        <v>3142</v>
      </c>
      <c r="Q386">
        <v>18744</v>
      </c>
      <c r="R386" s="6">
        <v>7.55</v>
      </c>
    </row>
    <row r="387" spans="1:18">
      <c r="A387" t="s">
        <v>1711</v>
      </c>
      <c r="B387" s="1">
        <v>75.099999999999994</v>
      </c>
      <c r="C387" s="2" t="s">
        <v>3143</v>
      </c>
      <c r="D387" t="s">
        <v>2019</v>
      </c>
      <c r="E387" s="3">
        <v>69241.011984021316</v>
      </c>
      <c r="F387" s="3">
        <v>5200000</v>
      </c>
      <c r="G387" t="s">
        <v>2020</v>
      </c>
      <c r="H387" t="s">
        <v>2015</v>
      </c>
      <c r="I387" t="s">
        <v>2021</v>
      </c>
      <c r="J387" s="6">
        <v>5.14</v>
      </c>
      <c r="K387" t="s">
        <v>23</v>
      </c>
      <c r="L387" t="s">
        <v>24</v>
      </c>
      <c r="M387" s="2" t="s">
        <v>3144</v>
      </c>
      <c r="N387" t="s">
        <v>2022</v>
      </c>
      <c r="O387" t="s">
        <v>1149</v>
      </c>
      <c r="P387" s="7" t="s">
        <v>3145</v>
      </c>
      <c r="Q387">
        <v>15227</v>
      </c>
      <c r="R387" s="6">
        <v>4.55</v>
      </c>
    </row>
    <row r="388" spans="1:18">
      <c r="A388" t="s">
        <v>1711</v>
      </c>
      <c r="B388" s="1">
        <v>14.9</v>
      </c>
      <c r="C388" s="2" t="s">
        <v>3146</v>
      </c>
      <c r="D388" t="s">
        <v>1712</v>
      </c>
      <c r="E388" s="3">
        <v>169127.51677852351</v>
      </c>
      <c r="F388" s="3">
        <v>2520000</v>
      </c>
      <c r="G388" t="s">
        <v>2023</v>
      </c>
      <c r="H388" t="s">
        <v>2015</v>
      </c>
      <c r="I388" t="s">
        <v>2024</v>
      </c>
      <c r="J388" s="6">
        <v>12.65</v>
      </c>
      <c r="K388" t="s">
        <v>23</v>
      </c>
      <c r="L388" t="s">
        <v>24</v>
      </c>
      <c r="M388" s="2" t="s">
        <v>3147</v>
      </c>
      <c r="N388" t="s">
        <v>2025</v>
      </c>
      <c r="O388" t="s">
        <v>2026</v>
      </c>
      <c r="P388" s="7" t="s">
        <v>3148</v>
      </c>
      <c r="Q388">
        <v>8108</v>
      </c>
      <c r="R388" s="6">
        <v>20.86</v>
      </c>
    </row>
    <row r="389" spans="1:18">
      <c r="A389" t="s">
        <v>1711</v>
      </c>
      <c r="B389" s="1">
        <v>20.8</v>
      </c>
      <c r="C389" s="2" t="s">
        <v>3149</v>
      </c>
      <c r="D389" t="s">
        <v>2027</v>
      </c>
      <c r="E389" s="3">
        <v>96153.846153846156</v>
      </c>
      <c r="F389" s="3">
        <v>2000000</v>
      </c>
      <c r="G389" t="s">
        <v>2028</v>
      </c>
      <c r="H389" t="s">
        <v>2029</v>
      </c>
      <c r="I389" t="s">
        <v>2030</v>
      </c>
      <c r="J389" s="6">
        <v>5.59</v>
      </c>
      <c r="K389" t="s">
        <v>23</v>
      </c>
      <c r="L389" t="s">
        <v>24</v>
      </c>
      <c r="M389" s="2" t="s">
        <v>3150</v>
      </c>
      <c r="N389" t="s">
        <v>2031</v>
      </c>
      <c r="O389" t="s">
        <v>2032</v>
      </c>
      <c r="P389" s="7" t="s">
        <v>3151</v>
      </c>
      <c r="Q389">
        <v>8108</v>
      </c>
      <c r="R389" s="6">
        <v>11.86</v>
      </c>
    </row>
    <row r="390" spans="1:18">
      <c r="A390" t="s">
        <v>1711</v>
      </c>
      <c r="B390" s="1">
        <v>30.8</v>
      </c>
      <c r="C390" s="2" t="s">
        <v>3152</v>
      </c>
      <c r="D390" t="s">
        <v>1884</v>
      </c>
      <c r="E390" s="3">
        <v>85714.28571428571</v>
      </c>
      <c r="F390" s="3">
        <v>2640000</v>
      </c>
      <c r="G390" t="s">
        <v>2033</v>
      </c>
      <c r="H390" t="s">
        <v>2029</v>
      </c>
      <c r="I390" t="s">
        <v>2034</v>
      </c>
      <c r="J390" s="6">
        <v>4.99</v>
      </c>
      <c r="K390" t="s">
        <v>23</v>
      </c>
      <c r="L390" t="s">
        <v>24</v>
      </c>
      <c r="M390" s="2" t="s">
        <v>3150</v>
      </c>
      <c r="N390" t="s">
        <v>2031</v>
      </c>
      <c r="O390" t="s">
        <v>2032</v>
      </c>
      <c r="P390" s="7" t="s">
        <v>3151</v>
      </c>
      <c r="Q390">
        <v>8108</v>
      </c>
      <c r="R390" s="6">
        <v>10.57</v>
      </c>
    </row>
    <row r="391" spans="1:18">
      <c r="A391" t="s">
        <v>673</v>
      </c>
      <c r="B391" s="1">
        <v>310.2</v>
      </c>
      <c r="C391" s="2" t="s">
        <v>3153</v>
      </c>
      <c r="D391" t="s">
        <v>343</v>
      </c>
      <c r="E391" s="3">
        <v>14775.30625402966</v>
      </c>
      <c r="F391" s="3">
        <v>4583300</v>
      </c>
      <c r="G391" t="s">
        <v>2035</v>
      </c>
      <c r="H391" t="s">
        <v>2036</v>
      </c>
      <c r="I391" t="s">
        <v>2037</v>
      </c>
      <c r="J391" s="6">
        <v>2.0499999999999998</v>
      </c>
      <c r="K391" t="s">
        <v>23</v>
      </c>
      <c r="L391" t="s">
        <v>24</v>
      </c>
      <c r="M391" s="2" t="s">
        <v>3154</v>
      </c>
      <c r="N391" t="s">
        <v>2038</v>
      </c>
      <c r="O391" t="s">
        <v>929</v>
      </c>
      <c r="P391" s="7" t="s">
        <v>3155</v>
      </c>
      <c r="Q391">
        <v>2057</v>
      </c>
      <c r="R391" s="6">
        <v>7.18</v>
      </c>
    </row>
    <row r="392" spans="1:18">
      <c r="A392" t="s">
        <v>1879</v>
      </c>
      <c r="B392" s="1">
        <v>519.6</v>
      </c>
      <c r="C392" s="2" t="s">
        <v>3156</v>
      </c>
      <c r="D392" t="s">
        <v>2039</v>
      </c>
      <c r="E392" s="3">
        <v>4170.9006928406461</v>
      </c>
      <c r="F392" s="3">
        <v>2167200</v>
      </c>
      <c r="G392" t="s">
        <v>2040</v>
      </c>
      <c r="H392" t="s">
        <v>2041</v>
      </c>
      <c r="I392" t="s">
        <v>2042</v>
      </c>
      <c r="J392" s="6">
        <v>0.5</v>
      </c>
      <c r="K392" t="s">
        <v>23</v>
      </c>
      <c r="L392" t="s">
        <v>24</v>
      </c>
      <c r="M392" s="2" t="s">
        <v>3157</v>
      </c>
      <c r="N392" t="s">
        <v>2043</v>
      </c>
      <c r="O392" t="s">
        <v>1838</v>
      </c>
      <c r="P392" s="7" t="s">
        <v>3158</v>
      </c>
      <c r="Q392">
        <v>2335</v>
      </c>
      <c r="R392" s="6">
        <v>1.79</v>
      </c>
    </row>
    <row r="393" spans="1:18">
      <c r="A393" t="s">
        <v>2048</v>
      </c>
      <c r="B393" s="1">
        <v>294.7</v>
      </c>
      <c r="C393" s="2" t="s">
        <v>3159</v>
      </c>
      <c r="D393" t="s">
        <v>2049</v>
      </c>
      <c r="E393" s="3">
        <v>12046.148625721071</v>
      </c>
      <c r="F393" s="3">
        <v>3550000</v>
      </c>
      <c r="G393" t="s">
        <v>2050</v>
      </c>
      <c r="H393" t="s">
        <v>2051</v>
      </c>
      <c r="I393" t="s">
        <v>2052</v>
      </c>
      <c r="J393" s="6">
        <v>52.15</v>
      </c>
      <c r="K393" t="s">
        <v>592</v>
      </c>
      <c r="L393" t="s">
        <v>24</v>
      </c>
      <c r="M393" s="2" t="s">
        <v>3160</v>
      </c>
      <c r="N393" t="s">
        <v>2053</v>
      </c>
      <c r="O393" t="s">
        <v>152</v>
      </c>
      <c r="P393" s="7" t="s">
        <v>3161</v>
      </c>
      <c r="Q393">
        <v>909</v>
      </c>
      <c r="R393" s="6">
        <v>13.25</v>
      </c>
    </row>
  </sheetData>
  <conditionalFormatting sqref="K1:K383">
    <cfRule type="containsText" dxfId="11" priority="6" operator="containsText" text="PP">
      <formula>NOT(ISERROR(SEARCH("PP",K1)))</formula>
    </cfRule>
  </conditionalFormatting>
  <conditionalFormatting sqref="K1">
    <cfRule type="containsText" dxfId="8" priority="4" operator="containsText" text="PP">
      <formula>NOT(ISERROR(SEARCH("PP",K1)))</formula>
    </cfRule>
    <cfRule type="containsText" dxfId="9" priority="5" operator="containsText" text="PP">
      <formula>NOT(ISERROR(SEARCH("PP",K1)))</formula>
    </cfRule>
  </conditionalFormatting>
  <conditionalFormatting sqref="K1:K393">
    <cfRule type="containsText" dxfId="5" priority="3" operator="containsText" text="PP">
      <formula>NOT(ISERROR(SEARCH("PP",K1)))</formula>
    </cfRule>
  </conditionalFormatting>
  <conditionalFormatting sqref="K1">
    <cfRule type="containsText" dxfId="2" priority="1" operator="containsText" text="PP">
      <formula>NOT(ISERROR(SEARCH("PP",K1)))</formula>
    </cfRule>
    <cfRule type="containsText" dxfId="3" priority="2" operator="containsText" text="PP">
      <formula>NOT(ISERROR(SEARCH("PP",K1)))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2022-08-13T12:27:38Z</dcterms:created>
  <dcterms:modified xsi:type="dcterms:W3CDTF">2022-08-13T14:06:58Z</dcterms:modified>
</cp:coreProperties>
</file>