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4519" fullCalcOnLoad="1"/>
</workbook>
</file>

<file path=xl/sharedStrings.xml><?xml version="1.0" encoding="utf-8"?>
<sst xmlns="http://schemas.openxmlformats.org/spreadsheetml/2006/main" count="3228" uniqueCount="1634">
  <si>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</si>
  <si>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</si>
  <si>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</si>
  <si>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</si>
  <si>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</si>
  <si>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</si>
  <si>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</si>
  <si>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</si>
  <si>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 xml:space="preserve">H3 чел/кв.м </t>
  </si>
  <si>
    <t>Чел/кв.м</t>
  </si>
  <si>
    <t>Ком/кв.м</t>
  </si>
  <si>
    <t>Жителей h3</t>
  </si>
  <si>
    <t>Жителей в округе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</si>
  <si>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</si>
  <si>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</si>
  <si>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</si>
  <si>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</si>
  <si>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</si>
  <si>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</si>
  <si>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</si>
  <si>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</si>
  <si>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Нежилое помещение с кадастровым номером 01:04:0400018:53, площадью 890,5 квадратного метра, количество этажей: этаж № 1, этаж № 2.Республика Адыгея, Майкопский район, станица Абадзехская, улица Телеграфная, дом 2 Е.</t>
  </si>
  <si>
    <t>Нежилое помещение, Этаж: 1, общей площадью 87,6 кв.м, с кадастровым номером 01:08:0513012:505, по адресу: Республика Адыгея, г. Майкоп, ул. Димитрова, д. 25.</t>
  </si>
  <si>
    <t>нежилое здание с  кадастровым номером 02:27:031001:268, общей площадью 330.9 кв.м, расположенного по адресу: Республика Башкортостан, Илишевский район, д.Кызыл-Юлдуз, ул. Ленина, 21а, с земельным участком с кадастровым номером 02:27:031001:53, площадью 3478 кв.м.</t>
  </si>
  <si>
    <t>нежилое здание с  кадастровым номером 02:27:060701:203, общей площадью 169 кв.м, расположенного по адресу: Республика Башкортостан, р-н. Илишевский, с. Игметово, ул. Ленина, д. 7, с земельным участком с кадастровым номером 02:27:060701:80, площадью 1887 кв.м.</t>
  </si>
  <si>
    <t>- наименование: нежилое помещение;- кадастровый номер: 02:33:030101:661;- адрес: Республика Башкортостан, Краснокамский район, д.Раздолье, ул. Новая, д. 10, кв.6;- площадь: 61,4;- год постройки: 1984;- этаж: 1;- фундамент: ленточный бетонный;- стены: толщиной 75 см., кирпичные;- кровля: шифер по дощатой обрешетке;- полы: бетонные, дощатые;- окна: деревянные, двойное остекление;- внутренняя отделка стен: покраска;- электроснабжение, водоснабжение, газоснабжение – центральное, теплоснабжение автономное от котла типа АГВ, канализация шамбо.</t>
  </si>
  <si>
    <t>Нежилое помещение общей площадью 93,3 кв.м, кадастровый номер 02:52:110306:227, расположенное по адресу: Республика Башкортостан, Чишминский район, с. Сафарово, ул.Молодежная, д.2</t>
  </si>
  <si>
    <t>Лот №41(повторно): Нежилое помещение, площадь 116,2 кв.м., адрес - Республика Башкортостан, Уфимский р-н, д. Вавилово, ул. Заречная, д. 2/1, кадастровый №02:47:110701:3806. Собственник (правообладатель) – ООО «Юлчы». Обременение: арест. Начальная стоимость: 1 647 300,00 руб. Сумма задатка: 411 825,00 руб. Шаг аукциона (1% от начальной цены): 16 473,00 руб.</t>
  </si>
  <si>
    <t>Лот №12(повторно): Нежилое помещение, площадью 447.4 кв.м., адрес - Республика Башкортостан, г. Уфа, ул. Новоженова, д. 86, корп. 2. №02:55:020534:661. Собственник (правообладатель) – ООО «Сантехбыт». Обременение: арест. Начальная цена: 8 236 330,00 руб. Сумма задатка: 2 059 082,50 руб. Шаг аукциона (1% от начальной цены): 82 363,30 руб.</t>
  </si>
  <si>
    <t>нежилые помещения №№  27-29, 31-35, 37-43, 48-50 с кадастровым номером 02:57:020403:547, общей площадью 211,2 кв.м. на первом этаже жилого шестиэтажного кирпичного здания, расположенного по адресу: Республика Башкортостан, г. Октябрьский, ул. Первомайская, д. 3а.</t>
  </si>
  <si>
    <t>Лот №30(повторно): Нежилое помещение, земляная плотина, площадь 140.4 кв.м., адрес - Республика Башкортостан, Чишминский р-н, с. Салихово, кадастровый №02:52:000000:4139. Собственник (правообладатель) – ООО «Рыбхоз». Обременение: арест. Начальная стоимость: 3 595 500,00 руб.  с учетом НДС.Сумма задатка: 898 875,00 руб. Шаг аукциона (1% от начальной цены): 35 955,00 руб.</t>
  </si>
  <si>
    <t>нежилые помещения с кадастровым номером 02:57:020502:2539, общей площадью 107,5 кв.м. в цокольном этаже пятиэтажного жилого здания, расположенного по адресу: Республика Башкортостан, г. Октябрьский, мкр. 34-й, д. 11, корп. 2.</t>
  </si>
  <si>
    <t>Лот №64: Нежилое помещение, площадь 36,9 кв.м., адрес - Республика Башкортостан, г.Нефтекамск, ул. Социалистическая, д.39, кадастровый №02:66:010106:3944. Собственник (правообладатель) – ООО «ТЕСЛО». Обременение: арест. Начальная стоимость: 1 120 000,00 руб. Сумма задатка: 280 000,00 руб. Шаг аукциона (1% от начальной цены): 11 200,00 руб.</t>
  </si>
  <si>
    <t>нежилые помещения второго этажа двухэтажного нежилого здания по адресу: Республика Башкортостан, г. Уфа, Ленинский район, ул. Рабочая, д. 36, кадастровый номер здания02:55:010423:312, площадь 232,0 кв.м., кроме того места общего пользования 16,2кв.м., год постройки – 1958, материал стен – кирпич, высота помещений – 3,80м., износ – 47%, коммуникации – электроснабжение.</t>
  </si>
  <si>
    <t>нежилое помещение,  площадью 103,4 кв., кадастровый номер 02:56:030204:974, расположенное на 2 этаже жилого дома по адресу: Республика Башкортостан, г. Стерлитамак, ул. Мира, 57, пом. III.</t>
  </si>
  <si>
    <t>Лот №29(повторно): Нежилое помещение, площадью 105,8 кв.м., Республика Башкортостан, г. Нефтекамск, ул. Ленина, д. 66 В, кадастровый №02:66:010113:4926. Собственник (правообладатель) – Бырлиба Николай Иванович. Обременение: арест. Начальная стоимость: 4 033 250,00 руб. Сумма задатка: 1 008 312,50 руб. Шаг аукциона (1% от начальной цены): 40 332,50 руб.</t>
  </si>
  <si>
    <t>Лот №65: Нежилое помещение, склад, площадь 67,4 кв.м., адрес - Республика Башкортостан, г. Уфа, ул. Шота Руставелли, д. 26, к. 4, кадастровый №02:55:020202:986. Собственник (правообладатель) – ООО «Легор». Обременение: арест. Начальная стоимость: 2 600 000,00 руб. Сумма задатка: 650 000,00 руб. Шаг аукциона (1% от начальной цены): 26 000,00 руб.</t>
  </si>
  <si>
    <t>нежилые помещения  с кадастровым номером 02:57:050601:226, общей площадью 138,2 кв.м. на первом этаже девятиэтажного жилого здания, расположенного по адресу: Республика Башкортостан, г. Октябрьский, ул. Клинова, д. 9, пом. 365</t>
  </si>
  <si>
    <t>Нежилые помещения цокольного этажа девятиэтажного жилого здания и одноэтажного нежилого пристроя к нему (кадастровый номер: 02:55:010807:79), расположенного по адресу: Республика Башкортостан, г. Уфа, Кировский район, ул. Менделеева, 108. Площадь объекта 69,8кв.м., в том числе: литера А – 36,6 кв.м., литера А2 (пристрой) – 33,2кв.м., этаж / этажность: литера А - цоколь / 9, литера А2 – 1 / 1, Год постройки: литера А – 1998, литера А2 - 2000, материал стен: кирпич, высота помещений: литера А – 2,95м., литера А2 – 3,63 м., износ: литера А - 15%, литера А2 – 5%, коммуникации: литера А – центральное отопление, электроснабжение, водоснабжение, канализация, литера А2 - электроснабжение</t>
  </si>
  <si>
    <t>Нежилое помещение общей площадью 143,7 кв.м., с кадастровым № 02:55:010802:1098, расположенное по адресу: Республика Башкортостан, г. Уфа, ул. Менделеева, д. 10, офис 5</t>
  </si>
  <si>
    <t>Нежилое помещение общей площадью 104,0 кв.м., с кадастровым № 02:55:010802:1099, расположенное по адресу: Республика Башкортостан, г. Уфа, ул. Менделеева, д. 10, офис 6</t>
  </si>
  <si>
    <t>нежилые помещения второго этажа шестнадцатиэтажного жилого здания, по адресу: Республика Башкортостан, г. Уфа, Октябрьский район, ул. Энтузиастов, 2, кадастровый номер 02:55:020613:833, площадь 27,3 кв.м., год постройки – 1992, материал стен: кирпич, высота помещений – 2,44м., износ – 12%, коммуникации: центральное отопление, центральное водоснабжение, канализация, электроснабжение.Этаж / этажность2 / 16</t>
  </si>
  <si>
    <t>Лот №52(повторно): Нежилое помещение, площадью 33 кв.м., адрес - Республика Башкортостан, г. Уфа, Октябрьский, пр-кт. Октября, д. 63, корп. 4, кв. 20, кадастровый №02:55:020110:4865. Собственник (правообладатель) - Быковских Алексей Александрович. Обременение: арест. Начальная цена: 2 690 250,00 руб. Сумма задатка: 672 562,50 руб. Шаг аукциона (1% от начальной цены): 26 902,50 руб.</t>
  </si>
  <si>
    <t>Нежилые помещения первого этажа четырехэтажного жилого здания (кадастровый номер: 02:55:010506:346), расположенного по адресу: Республика Башкортостан, г. Уфа, Советский район, проспект Октября, 3. Площадь 15,9 кв.м. Этаж / этажность - 1 / 4. Год постройки – 1953, материал стен – кирпич, высота помещений – 4,20м., износ – 41%, коммуникации: центральное отопление, электроснабжение</t>
  </si>
  <si>
    <t>Объект незавершённого строительства, расположенный по адресу: Республика Бурятия, г. Улан-Удэ, ул. Гранитная, д.1, площадь 278,30 кв.м., кадастровый номер 03:24:011412:128.</t>
  </si>
  <si>
    <t>нежилые помещения, площадь 547,0 м2, этажность: 1,2, местонахождение: 671710, Республика Бурятия, Северо-Байкальский район, пос. Нижнеангарск, ул. Победы, д.55, кадастровый номер 03:17:080241:159</t>
  </si>
  <si>
    <t>Нежилое помещение общей площадью 56,2 кв.м. (этаж 1), расположенного по адресу: Российская Федерация, Республика Бурятия, Прибайкальский район, село Турунтаево, улица Ленина, дом 94 , кадастровый номер 03:16:340137:179</t>
  </si>
  <si>
    <t>Нежилое помещение, расположенное по адресу: Республика Бурятия, г. Улан-Удэ, ул. Гастелло, д. 7, площадь 40,4 кв.м., кадастровый номер 03:24:021628:453.</t>
  </si>
  <si>
    <t>Нежилое помещение, расположенное по адресу: Республика Бурятия, г. Улан-Удэ, пер. Невского, д. 4А, пом. II, площадь 154,70 кв.м., кадастровый номер 03:24:000000:18599.</t>
  </si>
  <si>
    <t>Нежилое помещение с кадастровым номером 10:01:0030127:357, общей площадью 104,4 кв.м, расположенное в цокольном этаже многоквартирного дома</t>
  </si>
  <si>
    <t>Нежилое помещение, расположенное по адресу: Республика Карелия, г. Костомукша, ул.Октябрьская, дом 3, пом.92</t>
  </si>
  <si>
    <t>нежилое помещение (кадастровый номер 10:20:0040101:852), общей площадью 104,2 кв.м., расположенное на первом этаже здания по адресу: Республика Карелия, р-н Прионежский, п. Мелиоративный, ул. Строительная, д. 6а, пом. 1</t>
  </si>
  <si>
    <t>Нежилое помещение с кадастровым номером 10:01:0200127:747, общей площадью 17,6 кв.м, расположенное на 1 этаже многоквартирного дома</t>
  </si>
  <si>
    <t>Представляют собой обособленные нежилые помещения на 1м этаже здания в центре г.Сортавала.Характеристика Объекта: пол – деревянный (линолеум); стены – бетонные (частично обои, частично окрашено); потолок – бетонный (частично побелка, покраска, оклеено потолочными панелями из пенопласта); двери – деревянные внутренние, железная внешняя; электричество – имеется – открытая проводка, розетки, светильники; водоснабжение/водоотведение – есть санузел непосредственно в помещениях.</t>
  </si>
  <si>
    <t>Часть здания профилактория по заявочному ремонту автобусов (Литер А) (номера помещений на поэтажном плане №1, 3, 4, 4а, 5, 6, 6а, 6б, 6в, 7, 7а, 11, 14-26), назначение: нежилое помещение, этаж №1, площадь 567 кв.м., адрес объекта: Республика Коми, г.Ухта, ул. Моторная, д. 1/9, кадастровый номер 11:20:0607002:858.</t>
  </si>
  <si>
    <t>80-03-22 Нежилое помещение площадью 1362,40 кв.м, расположенное по адресу: Республика Коми, г. Ухта, ул. Железнодорожная, 16а, кадастровый № 11:20:0606001:661. Вид права: собственность</t>
  </si>
  <si>
    <t>3-04-22 Нежилое помещение (здание УПК) общей площадью 500,80 кв. м., расположенное по адресу: Республика Коми, г. Печора, ул. Гагарина, д. 53А, 2 этажа, кадастровый № 11:12:1701003:126. Вид права: собственность. – 2 475 700,00 руб.; Земельный участок, назначение: для обслуживания здания учебно-производственного корпуса, общей площадью 1230 кв. м. Местоположение установлено относительно ориентира, расположенного за пределами участка. Почтовый адрес ориентира: Республика Коми, г. Печора, ул. Гагарина, з/у 53А, кадастровый № 11:12:1701003:1016. – 275 800,00 руб.</t>
  </si>
  <si>
    <t>Бюджетно-страховая аптека №120, назначение: нежилое, площадь 242,9 кв.м, этаж №1, адрес объекта: Республика Коми, г.Ухта, п. Шудаяг, ул. Шахтинская, д.5а, кадастровый номер 11:20:0901001:3342</t>
  </si>
  <si>
    <t>Помещение, назначение: нежилое, этаж № 1, площадь 92,3 кв.м., адрес объекта: Российская Федерация, Республика Коми, городской округ Ухта, г. Ухта, пгт. Ярега, ул. Строительная, д.1, пом. Н-III, кадастровый номер 11:20:1001002:8627</t>
  </si>
  <si>
    <t>15-22-22 Нежилое здание (здание конторы управления), назначение: нежилое, общей площадью 612,3 кв.м., расположенное по адресу: Республика Коми, Сысольский район, с. Визинга, ул. Советская, д. 13а, кадастровый номер 11:03:2001002:631, вид права: собственность. По информации, представленной судебным приставом-исполнителем, сведения о зарегистрированных правах на земельный участок под объектом недвижимости отсутствуют</t>
  </si>
  <si>
    <t>15-09-22 Здание, назначение: нежилое, общей площадью 112,5 кв.м., расположенное по адресу: Республика Коми, Сыктывдинский район, с. Ыб, м. Погост, д. 90. Здание деревянное, двухэтажное. Кадастровый номер 11:04:5201003:88, вид права: собственность. – 983 400,00 руб.; Земельный участок, назначение: для реконструкции магазина, общей площадью 885 кв.м., расположенный по адресу: Республика Коми, Сыктывдинский район, с. Ыб, м. Погост, д. 90, на земельном участке расположено нежилое здание магазина, кадастровый номер 11:04:5201003:20, вид права: собственность. – 451 800,00 руб.;</t>
  </si>
  <si>
    <t>99-03-22 Нежилое помещение – магазин «Озан», назначение: нежилое, общей площадью 70 кв.м., расположенное по адресу: Республика Коми, г. Ухта, пр-кт Ленина, д. 41, пом. 1.012, кадастровый номер 11:20:0602005:5960, вид права: собственность</t>
  </si>
  <si>
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</si>
  <si>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</si>
  <si>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</si>
  <si>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</si>
  <si>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</si>
  <si>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>Краткая характеристика помещения: год постройки – 1991. Площадь- 475,70 кв.м., этаж 1. Фундамент - железобетонный, перекрытие - железобетонное, наружные стены - кирпичные; внутренняя отделка помещения: пол – плитка, стены – штукатурка, окраска, побелка, окна двустворчатые, дверь металлическая. В помещении имеется центральное отопление, водопровод, электричество.</t>
  </si>
  <si>
    <t>год постройки: 1957. Площадь – 155,2 кв.м, этаж цокольный. Фундамент – бутовый ленточный, наружные стены – кирпичные, перекрытие – железобетонное отепленное, полы – дощатые окрашенные, двери – простые, внутренняя отделка: штукатурка, окраска, оклейка. В помещении имеется центральное отопление, электроосвещение, водопровод, канализация.</t>
  </si>
  <si>
    <t>. Краткая характеристика помещения: год постройки – 1986. Площадь – 173,6 кв.м., этаж 1. Фундамент – железобетонные блоки, перекрытие железобетонные плиты, стены – кирпичные, полы – линолеум, двери – входная ПВХ, окна ПВХ, внутренняя отделка – окраска, побелка, панели ПВХ. В помещении имеется электроосвещение, центральное отопление, водопровод, канализация.</t>
  </si>
  <si>
    <t>помещение, назначение: нежилое, кадастровый номер 13:24:0102057:2602, общая площадь 76,9 кв.м., расположенное по адресу: Республика Мордовия, г. Ковылкино,                  ул. Королева, дом 1, помещение 1</t>
  </si>
  <si>
    <t>помещение, назначение: нежилое, кадастровый номер 13:24:0102057:2591, общая площадь 71 кв.м., расположенное по адресу: Республика Мордовия, г. Ковылкино,                 ул. Королева, дом 1, помещение 2</t>
  </si>
  <si>
    <t>помещение, назначение: нежилое, кадастровый номер 13:24:0102057:2635, общая площадь 113,8 кв.м., расположенное по адресу: Республика Мордовия, г. Ковылкино,                             ул. Королева, дом 1, помещение 3</t>
  </si>
  <si>
    <t>Краткая характеристика помещения: год постройки – 1964. Площадь – 137,3 кв.м., этаж 1. Фундамент – бутовый ленточный, перекрытие – железобетонные, наружные стены – кирпичные, полы – дощатые, окрашенные, двери – простые, окна – двойные створчатые, внутренняя отделка: штукатурка, оклейка, наружная отделка: облицовочный кирпич. В помещении имеется электроосвещение, центральное отопление, водопровод, канализация.</t>
  </si>
  <si>
    <t>Краткая характеристика помещения: год постройки – 1980. Площадь – 126,5 кв.м., этаж 2. Фундамент – железобетонные блоки, перекрытие – железобетонное, наружные стены – конструкции сборного железобетона, крыша - мягкая кровля, полы – линолеум, дверь – простая металлическая, наружная отделка: штукатурка, побелка. В помещении имеется электроосвещение, центральное отопление, водопровод, канализация</t>
  </si>
  <si>
    <t>нежилое помещение общей площадью 36,40 кв.м., кад. № 13:22:0115010:1189,  принадлежащее должнику Якшамкину Е.А. Сведениями о размере задолженности по коммунальным и иным платежам организатор торгов не располагает.</t>
  </si>
  <si>
    <t>Краткая характеристика помещений: год постройки  - 1990 г. Площадь – 12,3 кв.м, и 10,7 кв.м, этаж 1. Фундамент – железобетонный ленточный, наружные стены – кирпичные, перекрытие – железобетонные плиты, полы – линолеум, окна – ПВХ стеклопакет, двери – простая, металлическая, внутренняя отделка – оклейка обоями, панели ПВХ. В помещении имеется центральное отопление, электроосвещение.</t>
  </si>
  <si>
    <t>Краткая характеристика помещения: год постройки – 1954. Площадь – 179,9 кв.м, этаж 1. Фундамент – железобетонные блоки, перекрытие – железобетонное, наружные стены – кирпичные, полы – линолеум, двери – простые, деревянные, окна – двойные створные, внутренняя отделка – побелка, обои, окраска. В помещении имеется электроосвещение, центральное отопление, водопровод, канализация.</t>
  </si>
  <si>
    <t>постановление Администрации городского округа Саранск от 25 июля                  2022 года № 1045 «Об утверждении решений об условиях приватизации муниципального имущества».</t>
  </si>
  <si>
    <t>Нежилое помещение №1000, общей площадью 563,7 кв.м, кадастровый номер: 16:38:130101:773</t>
  </si>
  <si>
    <t>помещения 1 этажа по ул.Главная, д.69б, пом.1004, Площадь –217,8 кв.м,кадастровый номер 16:50:000000:10993</t>
  </si>
  <si>
    <t>Помещение 1002, нежилое, Этаж № 1</t>
  </si>
  <si>
    <t>помещения мансарды по ул.Галиаскара Камала, д.20/7, пом.1201, Площадь –160,6 кв.м, кадастровый номер 16:50:011816:115</t>
  </si>
  <si>
    <t>Нежилое помещение (назначение: нежилое помещение, площадь 330,4 кв.м, этаж цокольный, номера на поэтажном плане 1-28, 37)</t>
  </si>
  <si>
    <t>Нежилые помещения, назначение: нежилое помещение, площадь 124 кв. м., этаж: Цокольный, кадастровый номер: 18:29:003393:968</t>
  </si>
  <si>
    <t>«Помещение», назначение: нежилое помещение, площадь 114 кв.м., этаж: цокольный, кадастровый номер: 18:29:004516:421, Помещение расположено в многоквартирном пятиэтажном кирпичном доме.Отличное местоположение с удобной транспортной развязкой. В помещении сделан косметический ремонт. Все коммуникации в исправном состоянии. Рядом остановка общественного транспорта, имеется парковка.</t>
  </si>
  <si>
    <t>нежилое помещение,  общей площадью 372,1 кв.м. (Литера: А, а;  этаж: цокольный, этаж № 1,  номера на поэтажном плане: цокольный этаж литера А: 1-8, литера а: 1,2;  1 этаж литера А: 9-32, согласно техническому паспорту  помещения   от 11.09.2014 г.),  расположенное по адресу: Удмуртская Республика, г. Ижевск, ул. Четырнадцатая, д. 60а, кадастровый номер 18:26:040586:212.</t>
  </si>
  <si>
    <t>нежилое помещение, общей площадью 143 кв.м. (Литера: А; а1, П; этаж: цокольный, номера на поэтажном плане:  цокольный этаж литера А: 1-7, литера а1: 1, литера П: 1; согласно кадастровому паспорту помещения № 1800/501/14-339294 от 04.12.2014г.), расположенное по адресу: Удмуртская Республика, г. Ижевск, ул. Четырнадцатая, д. 60а, кадастровый номер 18:26:040586:211.</t>
  </si>
  <si>
    <t>Нежилое помещение (назначение: нежилое, общая площадь 346 кв.м, этаж 2, мансардный этаж, номера на поэтажном плане 2 этаж: № 1-27; мансардный этаж: № 1-8)</t>
  </si>
  <si>
    <t>нежилое помещение, общей площадью 289,3 кв.м. (Литера: А; этаж 1; номера помещений: 23-43, согласно техническому паспорту нежилого помещения № 36088 от 27.12.2016 г.), расположенное по адресу: Удмуртская Республика, г. Ижевск, городок Машиностроителей, д. 66, пом.2, кадастровый номер 18:26:040487:2048.</t>
  </si>
  <si>
    <t>Нежилое здание (магазин), литер «А», общей площадью 256,7 кв.м., кадастровый номер 20:11:0101032:67, расположенное по адресу Чеченская Республика, г. Урус-Мартан, ул. М.Мерзоева, б/н.</t>
  </si>
  <si>
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</si>
  <si>
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</si>
  <si>
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</si>
  <si>
    <t>Лот№6 Магазин-склад, кад. № 22:57:050101:574, S-167,6 кв.м., адрес: АК, Целинный р-он, с. Победа, ул. Ленина, 12. Нач.цена 650187 руб. 44 коп. (Ботвинкина Т.В., Ботвинкин М.Ф, ипотека, запрет на р/д) (1068) (повторные).</t>
  </si>
  <si>
    <t>Лот№12 Нежилое помещение, кадастровый №22:65:011433:119, площадь - 2368, 60 м2, этаж - 1, 2, адрес: АК, г. Бийск, территория ОАО "Полиэкс" пом. Н-1. Нач.цена 9498125 руб. 25 коп. Начальная цена лота указана без НДС. Окончательный размер НДС в договоре купли-продажи будет рассчитан после проведения аукциона (ООО «Новосил», запрет на р/д) (1112)</t>
  </si>
  <si>
    <t>нежилое помещение общей площадью 218,0 кв.м., расположенное по адресу: Алтайский край, Благовещенский район, р.п. Благовещенка, ул. 40 лет Октября, 2/3</t>
  </si>
  <si>
    <t>495/1000 долей (150,1 кв.м) в праве собственности на нежилое помещение Н2 общей площадью 303,1 кв.м по ул.Ярных, 79.</t>
  </si>
  <si>
    <t>Нежилое помещение Н1 на 1-м этаже общей площадью 81,4 кв.м по ул.Юбилейной, 1а, с.Гоньба.</t>
  </si>
  <si>
    <t>168/1000 долей (109 кв.м) в праве собственности на здание теплового пункта №525 литер А общей площадью 650,3 кв.м по ул.Попова, 60.</t>
  </si>
  <si>
    <t>525/1000 долей (156,2 кв.м) в праве собственности на нежилое помещение Н1 общей площадью 297,4 кв.м по ул.Ярных, 79.</t>
  </si>
  <si>
    <t>Лот№3 Магазин – часть здания торгового центра, назначение - нежилое, кадастровый № 22:33:021102:561, площадь 60,2 кв.м., этаж – 1, адрес: Алтайский край, Первомайский район, с. Сорочий Лог, ул. Центральная, д. 5А, пом. 2. Начальная цена 544 040 руб. 80 коп. (Арзамазов К.В., ипотека, запреты на совершение регистрационных действий) (1020) (повторные).</t>
  </si>
  <si>
    <t>317/1000 долей (305,2 кв.м) в праве собственности на здание теплового пункта общей площадью 961,4 кв.м по ул.Солнечная Поляна, 49а.</t>
  </si>
  <si>
    <t>Нежилое помещение, кадастровый № 22:63:050111:265, площадь 260,50 кв.м., адрес: Алтайский край, г. Барнаул, ул. Чкалова, д. 21, пом. Н2</t>
  </si>
  <si>
    <t>825/1000 долей (331,7 кв.м) в праве собственности на нежилое помещение Н5 на 1-м этаже общей площадью 402,3 кв.м по ул.Сизова, 26.</t>
  </si>
  <si>
    <t>795/1000 долей (222,9 кв.м) в праве собственности на нежилое помещение Н3 на 1-м этаже общей площадью 280,3 кв.м по пр-кту Дзержинского, 7, р.п.Южный.</t>
  </si>
  <si>
    <t>нежилое помещение №10, расположенное по адресу: Алтайский край, г. Алейск, ул. Советская, 7а, общей площадью 55,6 кв.м., кадастровый номер объекта: 22:62:020713:157</t>
  </si>
  <si>
    <t>нежилое помещение №9, расположенное по адресу: Алтайский край, г. Алейск, ул. Советская, 7а, общей площадью 29 кв.м., кадастровый номер объекта: 22:62:020713:156</t>
  </si>
  <si>
    <t>нежилое помещение №64, расположенное по адресу: Алтайский край, г. Алейск, ул. Советская, 7а, общей площадью 36,0 кв.м., кадастровый номер объекта: 22:62:020713:53</t>
  </si>
  <si>
    <t>Нежилое помещение Н2 на 1-м этаже общей площадью 172,2 кв.м по ул.П.С.Кулагина, 4.</t>
  </si>
  <si>
    <t>Нежилое помещение, кадастровый № 22:63:030406:871, площадь 21,70 кв.м., этаж 2, адрес: Алтайский край, г. Барнаул, ул. Малахова, д. 134А, бокс 206</t>
  </si>
  <si>
    <t>Нежилые помещения с кадастровым номером 23:38:0103001:974 (№ 3-7, 9,11, 1-й этаж), общей площадью 60,1 квадратных метра, расположенные по адресу: Краснодарский край, город Армавир, улица Азовская, 24</t>
  </si>
  <si>
    <t>Нежилые помещения с кадастровым номером 23:38:0114024:307 (№130,132,133 (мезонин), общей площадью 28,7 квадратных метра, расположенные по адресу: город Армавир, улица Кирова, 48</t>
  </si>
  <si>
    <t>Реализация здания, назначение: нежилое здание, общей площадью 22,9 кв.м.,кадастровый номер 23:30:0903035:455 с земельным участком площадью 88 кв.м. кадастровый номер 23:30:0903035:504, находящегося в собственности администрации Старотитаровского сельского поселения Темрюкского района</t>
  </si>
  <si>
    <t>Помещения №14-16; 18; 39-42 общей площадью 75,3 кв.м, адрес (местоположение): Краснодарский край, г.Геленджик, ул.Полевая, д.26, кадастровый номер 23:40:0403009:172</t>
  </si>
  <si>
    <t>Нежилое помещение № 1, площадью 150,4 кв. м, с кадастровым номером 23:47:0305011:328</t>
  </si>
  <si>
    <t>Фундамент ленточные железобетонные. Материал стен кирпич. Целевое назначение: нежилое. Отопление централизованное. Электроснабжение центральное. Техническая документация: Кадастровый паспорт. Состояние помещения удовлетворительное, требуется капитальный ремонт.</t>
  </si>
  <si>
    <t>Общежитие, назначение: нежилое здание, площадь 1 460 кв. м. Число этажей-2. Земельный участок – земли населенных пунктов. Площадь – 2 592 кв. м. Виды разрешенного использования: деловое управление.</t>
  </si>
  <si>
    <t>Здание, кадастровый номер: 24:43:0109019:64, площадь:806.8 кв.м., количество этажей, в том числе подземных этажей: 2, в том числе подземных 0, материал наружных стен: кирпичные, год завершения строительства: 1917. Земельный участок, кадастровый номер: 24:43:0109019:82, площадь: 999кв.м., категория земель: земли населенных пунктов, виды разрешенного использования: бытовое обслуживание.</t>
  </si>
  <si>
    <t>Нежилое здание, кадастровый номер: 24:43:0000000:1939, площадь: 341.2кв.м., количество этажей, в том числе подземных этажей: 1, в том числе подземных 0, материал наружных стен: каменные, кирпичные, год завершения строительства: 1947.Земельный участок, кадастровый номер: 24:43:0201010:72,  площадь: 858кв.м., категория земель: земли населенных пунктов,  виды разрешенного использования: для размещения бани. На земельном участке расположено сооружение электроэнергетики – КТП-15а-25-18, протяженностью 7,2кв.м.,  кадастровый номер:24:43:0201008:554.</t>
  </si>
  <si>
    <t>Нежилое помещение № 1, расположенное по адресу: Красноярский край, г. Енисейск, ул. Красноармейская, 23. Характеристика здания: наименование –  помещение, площадью 96,9 кв.м., назначение – нежилое, материал наружных стен – кирпичные, реестровый номер 1-14-000236, кадастровый номер 24:47:0010213:71, обременения: не зарегистрированы. Отчет об оценке № 1895/01 от 07.07.2022.</t>
  </si>
  <si>
    <t>Здание, кадастровый номер: 24:43:0115010:600; площадь: 646.4 кв.м.; количество этажей, в том числе подземных этажей: 1, в том числе подземных 0; материал наружных стен: кирпичные; год завершения строительства: 1986; ограничение прав и обременение объекта недвижимости: не зарегистрировано.Земельный участок, кадастровый номер: 24:43:0115010:608; площадь: 680 кв. м.; категория земель: земли населенных пунктов; виды разрешенного использования: обслуживание автотранспорта.</t>
  </si>
  <si>
    <t>Помещение  1 – 78,6 кв.м.; помещение  4- 17 кв.м.; помещение  5– 11,3 кв.м.; помещение 6 -  168,1 кв.м.; помещение 7 -16 кв.м.; помещение 8 – 14,9 кв.м., помещение 9 – 12,1 кв.м.; помещение 10 – 66,0 кв.м., помещение 11 – 16,8 кв.м., стены- деревянные рубленые; полы-дощатые; проемы дверные – металл; внутренняя отделка-простая; год завершения строительства-1950.</t>
  </si>
  <si>
    <t>Помещение  1- общей площадью 272  кв.м; , помещение 2 -  общей площадью 258  кв.м., помещение 3 - общей площадью 85.9  кв.м., год завершения строительства – 1917;  число этажей – 1; стены – кирпичные; крыша- асбестоцементная; полы –деревянные; проемы оконные-двойные, дверные- дерево; внутренняя отделка – простая; наличие отопления, водоснабжения, канализации, электроосвещения.</t>
  </si>
  <si>
    <t>Здание-столовая/библиотека, количество этажей -1. Материал наружных стен: из прочих материалов.  Площадь – 671 кв.м. Земельный участок – земли населенных пунктов. Площадь -1754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кв.м.</t>
  </si>
  <si>
    <t>Здание – столовая/кафе, назначение: нежилое. Количество этажей -1. Материал наружных стен: из прочих материалов.  Площадь- 942 кв. м. Земельный участок – земли населенных пунктов. Площадь -2 352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 м.</t>
  </si>
  <si>
    <t>Прачечная, назначение: нежилое, количество этажей: 1, год постройки -1913, стены -  кирпичные, общая площадь 601 кв. м.. г. Ачинск, микрорайон  Авиатор, зд. 62.  Состояние крыши неудовлетворительное. Баня, назначение: нежилое, количество этажей: 1,общая площадь 397 кв.м., стены -  кирпичные. Земельный участок, категория земель: земли населенных пунктов, разрешенное использование: для эксплуатации нежилых зданий, общая площадь 3430 кв. м.</t>
  </si>
  <si>
    <t>Нежилое здание, кадастровый номер:24:43:0126016:17, площадь:320.5 кв.м; количество этажей, в том числе подземных этажей: 1, в том числе подземных 0, материал наружных стен: кирпичные, год завершения строительства: 1967.  Здание находится в полуразрушенном состоянии.  Земельный участок, кадастровый номер: 24:43:0126016:4, площадь:527кв.м; категория земель: земли населенных пунктов, виды разрешенного использования: под объектами бытового обслуживания.</t>
  </si>
  <si>
    <t>Нежилое здание, кадастровый номер:24:43:0103011:20, площадь:270.7 кв.м; наименование: баня с котельной, количество этажей, в том числе подземных этажей: 1, в том числе подземных 0, материал наружных стен: кирпичные,  год завершения строительства: 1982. Земельный участок, кадастровый номер: 24:43:0103011:9, площадь:779.7кв.м; категория земель: земли населенных пунктов, виды разрешенного использования: под объектами бытового обслуживания (для эксплуатации бани).На земельном участке расположено сооружение электроэнергетики - линия уличного освещения, протяженностью 276м.,  кадастровый номер:24:43:0103011:74.</t>
  </si>
  <si>
    <t>Число этажей -1;общая площадь помещения- 237,9 кв.м.; стены- кирпичные; крыша-рулонная; полы-бетонные.</t>
  </si>
  <si>
    <t>Помещение 4 – 53,7 кв.м.   Помещение 5 -189,9 кв.м. Помещение 6 – 486,6 кв.м.   Помещение 1 – 22,8 кв.м., число этажей -1; стены- кирпичные; полы- бетонные; проемы оконные-двойные; проемы дверные – дерево; внутренняя отделка-простая; год завершения строительства-1943.</t>
  </si>
  <si>
    <t>назначение: нежилое; кадастровый номер: 24:43:0000000:27011; площадь: 162.5 кв.м.; наименование: здание подстанции S 1; количество этажей, в том числе подземных этажей: 1, в том числе подземных 0; материал наружных стен: из прочих материалов; ограничение прав и обременение объекта недвижимости-не зарегистрировано.Земельный участок, кадастровый номер: 24:43:0129005:124; площадь: 698 кв.м.; категория земель: земли населенных пунктов; виды разрешенного использования: коммунальное обслуживание, ограничение прав и обременение объекта недвижимости - не зарегистрировано.На территории земельного участка расположен  объект  коммунального хозяйства - тепловая сеть,  кадастровый номер: 24:43:0134001:348.</t>
  </si>
  <si>
    <t>Здание, кадастровый номер: 24:43:0108011:35, общей площадью 113,8  кв.м., количество этажей, в том числе подземных этажей: 1, в том числе подземных 0, материал наружных стен: деревянные, год завершения строительства: 1978. Здание находится в полуразрушенном состоянии. Земельный участок, кадастровый номер: 24:43:0108011:54, площадь: 635кв.м., категория земель – земли населенных пунктов, виды разрешенного использования: под объектами складского назначения.</t>
  </si>
  <si>
    <t>Число этажей -1;общая площадь помещения - 102,8 кв.м.; стены- железобетонные, крупнопанельные; крыша-рулонная; полы-деревянные дощатые; проемы оконные-двойные; проемы дверные – дерево; внутренняя отделка-простая; год завершения строительства-1985.</t>
  </si>
  <si>
    <t>Здание, кадастровый номер: 24:43:0109019:76, площадь: 117.9 кв. м;  количество этажей, в том числе подземных этажей: 1, в том числе подземных 0, материал наружных стен: кирпичные, год завершения строительства: 1971.Земельный участок, кадастровый номер: 24:43:0109019:86, Площадь:225кв.м; категория земель: земли населенных пунктов, виды разрешенного использования: Бытовое обслуживание.</t>
  </si>
  <si>
    <t>объект недвижимого имущества - нежилое помещение, общей площадью 279,4 кв. м, расположенное по адресу: Красноярский край, р-н. Таймырский Долгано-Ненецкий, г. Дудинка, ул. Советская, д. 6А, пом. 4, кадастровый номер 84:03:0020001:528</t>
  </si>
  <si>
    <t>нежилое помещение № 324 по пр-кту Молодежному, д. 1 общей площадью 43,1 кв. м,                                  с кадастровым номером 24:50:0400007:1261 расположено на первом этаже девятиэтажного жилого дома 1984 года постройки, отдельный вход отсутствует; нежилое помещение № 325 по пр-кту Молодежному, д. 1 общей площадью 65,0 кв. м, с кадастровым номером 24:50:0400007:1258 расположено на первом этаже девятиэтажного жилого дома 1984 года постройки, отдельный вход имеется.</t>
  </si>
  <si>
    <t>Нежилое здание, кол-во эт.1, пл.567,7 кв.м., кад№25:04:000000:1104, адрес: Приморский край, Кавалеровский район, п. Рудный, ул. Б.Шершакова, 3, соб-к Минин Н.Н.</t>
  </si>
  <si>
    <t>нежилое помещение, кадастровый номер: 25:32:010202:653, этаж: 1, общей площадью 139,7 кв.м</t>
  </si>
  <si>
    <t>нежилое помещение 21 общей площадью 260,4 кв.м, кадастровый номер 25:26:010309:268, расположенное на первом этаже здания по адресу: Приморский край, г. Арсеньев, ул. Победы, 26. Состояние помещения неудовлетворительное. Год постройки здания – 1974.</t>
  </si>
  <si>
    <t>Нежилое помещение, эт.1, пл.62,4кв.м., кад№25:34:017102:1838, адрес: Приморский край, г. Уссурийск, ул. Русская, д. 1, пом. 6, соб-к Вихрева М.Н.</t>
  </si>
  <si>
    <t>Наименование: нежилые помещения, назначение: нежилое, лит. А2 помещения № 1 ‒ 4, лит. а7 помещение № 5, площадью 135,7 кв.м, этаж: 0, кадастровый номер 26:12:022314:498, по адресу: Ставропольский край,       город Ставрополь, улица Ясеновская, 56.</t>
  </si>
  <si>
    <t>Наименование: нежилое, назначение: нежилое, помещения в литере «А», № 7 ‒ 12, 64, площадью 99,8 кв.м, этаж: 0 (полуподвал), кадастровый номер 26:12:030717:644, по адресу: Ставропольский край, город Ставрополь, проезд Врачебный, 49.</t>
  </si>
  <si>
    <t>Наименование: нежилое, назначение: нежилое, помещение № 11 в литере М, площадью 54,9 кв.м, этаж: 1, кадастровый номер 26:12:022318:778,  по адресу: Ставропольский край, город Ставрополь, улица Орджоникидзе, 29.</t>
  </si>
  <si>
    <t>Нежилые помещения, цокольный этаж, кадастровый № 26:33:130304:851, площадью 183,5 кв.м.Местоположение: г. Пятигорск, проспект Калинина, 2, корп. 3</t>
  </si>
  <si>
    <t>Нежилое помещение, 2 этаж, кадастровый № 26:33:230204:265, площадью 160,4 кв.м.Местоположение: г. Пятигорск, улица Теплосерная, дом № 30</t>
  </si>
  <si>
    <t>муниципальное имущество, нежилые помещения с адресом - Ставропольский край, город Невинномысск, улица Революционная, дом 6, этаж 1, общей площадью 332,2 кв. метра, в том числе: нежилое помещение, кадастровый номер: 26:16:060109:905, площадью 53,0 кв. метра.нежилое помещение, кадастровый номер: 26:16:000000:1523, площадью 279,2 кв. метра, помещение 22-37</t>
  </si>
  <si>
    <t>Нежилое помещение, назначение нежилое помещение, этаж полуподвал, площадью 60,7 кв. м, кадастровый номер 26:31:010126:1260</t>
  </si>
  <si>
    <t>Нежилое помещение, назначение - нежилое, этаж полуподвал, площадью 43,7 кв. м, кадастровый номер 26:31:010123:376</t>
  </si>
  <si>
    <t>Нежилые помещения, полуподвал,  кадастровый номер 26:33:250101:850, площадью 43,7 кв.м.Местоположение: г. Пятигорск, улица Московская, дом № 76, корп. № 1</t>
  </si>
  <si>
    <t>Нежилое помещение, назначение нежилое помещение, этаж 1, площадь 18,6 кв. м, кадастровый номер 26:31:020332:171</t>
  </si>
  <si>
    <t>назначение нежилое помещение, этаж: 3, площадь: 15,8 кв. м, кадастровый номер 26:31:020137:428</t>
  </si>
  <si>
    <t>нежилое помещение, этаж 1, кадастровый номер: 26:16:040416:1214, площадью 26,8 кв. метра, с адресом - Ставропольский край, город Невинномысск, переулок Клубный, дом 19</t>
  </si>
  <si>
    <t>функциональное помещение, общей площадью 340,2 кв. м, с кадастровым номером: 27:01:0000038:2189, расположенное по адресу: Хабаровский край, Амурский район, с. Вознесенское ул. 35 лет Победы, 2Г</t>
  </si>
  <si>
    <t>- Механическая мастерская - нежилое помещение, год постройки 1998, стены кирпичные, фундамент бетонный ленточный, 1-этажобщая площадь 401,1 кв.м., 2-й этаж общая площадь 63,0 кв.м., расположенное по адресу: Хабаровский край, Хабаровский район, с. Виноградовка, ул. Лесная, 7а. - Земельный участок – кадастровый номер 27:17:0300201:705, общая площадь 4469 кв.м., расположенный по адресу: Хабаровский край, Хабаровский район, с. Виноградовка, ул. Лесная, 7А.</t>
  </si>
  <si>
    <t>нежилое функциональное помещение 0 (24-27;43) общей площадью  48,1 кв. м., (кадастровый номер 27:23:0030119:800) расположенное по адресу: Хабаровский край,  г. Хабаровск, б-р. Амурский,д.18, пом. 0 (24-27;43).</t>
  </si>
  <si>
    <t>нежилое помещение №9 цокольного этажа площадью 26,2 кв.м. кадастровый номер: 27:17:0300401:694; - нежилое помещение №7,14 цокольного этажа площадью 34,9 кв.м. кадастровый номер: 27:17:0300401:695;- нежилое помещение №11-13,15 цокольного этажа площадью 36,6 кв.м, кадастровый номер: 27:17:0300401:696;расположенные в цокольном этаже 3-х этажного жилого дома по адресу: Хабаровский край, Хабаровский район, с. Воронежское - 2, ул. Пионерская, 6А</t>
  </si>
  <si>
    <t>нежилое функциональное помещение              -I (28,34,38-41) общей площадью  25 кв. м., (кадастровый номер 27:23:0030115:916) расположенное по адресу: Хабаровский край,  г. Хабаровск, Центральный, б-р. Амурский,д.36, пом. -I (28,34,38-41).</t>
  </si>
  <si>
    <t>Магазин, общей площадью 165,1 кв.м., кад. номер 28:06:010201:308, находящийся на земельном участке, общей площадью 242,38 кв.м., кад. номер 28:06:010201:73.</t>
  </si>
  <si>
    <t>Помешение; Назначение: Нежилое; Адрес (местоположение): Амурская область, г Райчихинск, ул Победы, д 61; Площадь: 50,8 кв. м.; Кадастровый номер: 28:04:010320:1002; Этаж: 1</t>
  </si>
  <si>
    <t>Помещение; Назначение: Нежилое; Адрес (местоположение): Амурская область, г Райчихинск, ул Победы, д 61; Площадь: 51,5 кв. м.; Кадастровый номер: 28:04:010320:998; Этаж: 1</t>
  </si>
  <si>
    <t>Нежилое помещение, общей площадью 34,3 кв.м., кадастровый номер 28:01:130176:512</t>
  </si>
  <si>
    <t>встроенное нежилое помещение в пятиэтажном многоквартирном доме, этаж – первый,  фундамент – железобетонные блоки, состояние удовлетворительное; стены – кирпичные, состояние удовлетворительное; окна – металлопластиковые, состояние удовлетворительное: внутренняя отделка отсутствует: полы – бетонные без отделки; двери: входная металлическая, межкомнатные отсутствуют; системы инженерного обеспечения: отопление - от центральных сетей города, исправно; электроснабжение – отсутствует электрооборудование, имеется подвод от центральных сетей города, в помещении местами наружная проводка, освещение не исправно; водоснабжение и водоотведение – имеется подвод от центральных сетей города, отсутствует сантехническое оборудование.</t>
  </si>
  <si>
    <t>1)Нежилое помещение, расположенное по адресу: Архангельская область, г. Коряжма, ул. Лермонтова, д.31, кадастровый номер 29:23:010207:3751, общая площадь 32,3 кв. м, назначение: нежилое, этаж № 1. 2) Нежилые помещения №1, 5, первого этажа, расположенные по адресу: Архангельская область, г. Коряжма, ул. Лермонтова, д.31, кадастровый номер 29:23:010207:3780, общая площадь 13,6 кв. м, назначение: нежилое, этаж № 1.</t>
  </si>
  <si>
    <t>Нежилое помещение, расположенное по адресу: Архангельская область, г. Коряжма, ул. Лермонтова, д.31, кадастровый номер 29:23:010207:3753, общая площадь 109,2 кв. м, назначение: нежилое, этаж    № 2. Право правообладателя МУП «Благоустройство» подтверждается выпиской из Единого государственного реестра недвижимости об основных характеристиках и зарегистрированных правах на объект недвижимости, удостоверяющая проведенную государственную регистрацию от 29.11.2019, о чем в Едином государственном реестре недвижимости 29.11.2019, сделана запись регистрации, номер государственной регистрации права 29:23:010207:3753-29/006/2019-1.</t>
  </si>
  <si>
    <t>кадастровый номер 29:23:010207:1275, общая площадь 65,2 кв.м, назначение: нежилое, этаж 1, год постройки 1969</t>
  </si>
  <si>
    <t>кадастровый номер 29:23:010207:283, общая площадь 136,8 кв.м, назначение: нежилое, этаж 1, год постройки 1969</t>
  </si>
  <si>
    <t>Нежилое помещение, 163021, Архангельская область, г. Архангельск, ул. Маслова, д. 35, пом. 3-Н, кадастровый номер: 29:22:020901:184, назначение – нежилое помещение, 1 этаж, общая площадь 81 кв.м.год ввода в эксплуатацию – 1973, материал стен – панельные, высота помещений 3 м., количество комнат – 9.</t>
  </si>
  <si>
    <t>Нежилое помещение, площадью 38,1 кв.м., кадастровый номер: 29:22:050404:5503, адрес: Россия, обл Архангельская, г. Архангельск, пр-кт Ленинградский, д. 1</t>
  </si>
  <si>
    <t>Нежилое помещение, площадью 10,3 кв.м., кадастровый номер: 29:22:050404:5502,адрес: Россия, обл Архангельская, г. Архангельск, пр-кт Ленинградский, д. 1</t>
  </si>
  <si>
    <t>нежилое помещение, расположенное по адресу: г. Астрахань, Кировский район, ул. 3-я Интернациональная/ ул. Победы, д. 16/7, пом. 001, общей площадью 87,9 кв.м, кадастровый номер 30:12:010156:168. В цокольном этаже 1-этажного жилого дома (лит.А), вход с дворовой территории. Состояние требует капитального ремонта. Стены кирпичные, перекрытия деревянные. Высота 1,9 м. Год постройки до 1917г</t>
  </si>
  <si>
    <t>нежилые помещения, расположенные по адресу: г. Астрахань, Ленинский район, ул. Аксакова, д. 7в, пом. 3а, общей площадью 12,1 кв.м, кадастровый номер 30:12:020163:1618; пом. 3б, общей площадью 3,4 кв.м, кадастровый номер 30:12:020163:1619; пом. 3в, общей площадью 23,5 кв.м, кадастровый номер 30:12:020163:1620.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</si>
  <si>
    <t>нежилые помещения, расположенные по адресу: г. Астрахань, Ленинский район, ул. Акса-кова, д. 7в, пом. 2-3, общей площадью 73,2 кв.м, кадастровый номер 30:12:020163:1623; пом. 4-7, общей площадью 105,2 кв.м, кадастровый номер 30:12:020163:1624.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</si>
  <si>
    <t>Нежилое помещение, расположенное по адресу: Астраханская область, Лиманский район, р.п. Лиман, ул.  Комсомольская, д. 69, помещение 12, площадь 130,1 кв. м, назначение: нежилое, номер, тип этажа, на котором расположено помещение: Этаж №1, кадастровый номер 30:07:240102:2578</t>
  </si>
  <si>
    <t>нежилое помещение, расположенное по адресу: г. Астрахань, Советский район, ул. Н. Островского, д. 113 пом. 2, общей площадью 159,1 кв.м, кадастровый номер 30:12:030791:531. На 1 этаже 9-этажного жилого дома (ранее – общежитие). Вход через помещения общего пользования (подъезд). Стены – ж/бетонные стеновые панели, перекрытия железобетонные. Год постройки 1990г. Требует капитального ремонта.</t>
  </si>
  <si>
    <t>нежилое  помещение,  расположенное  по  адресу:  г. Астрахань,   Трусовский район, ул. Гагарина/ пер. Некрасова/ ул. Тянь-Шаньская, д. 21/1/32а пом.7, общей площадью 49,8 кв.м, кадастровый номер 30:12:040416:40. На 1 этаже 2-этажного здания. Отдельный вход с торца здания. Стены – пластинные, облицованные кирпичом, перекрытия деревянные. Год постройки 1920г. Требует ремонта</t>
  </si>
  <si>
    <t>нежилое  помещение,  расположенное  по  адресу:  г. Астрахань, Трусовский район, ул. Парковая, д.10 пом.141, общей площадью 77,1 кв.м, кадастровый номер 30:12:040085:332. На 1 этаже 5-этажного жилого дома. Отдельный вход с дворовой территории. Стены кирпичные, перекрытия железобетонные. Год постройки 1974г.</t>
  </si>
  <si>
    <t>нежилое  помещение,  расположенное  по  адресу:  г. Астрахань, Советский район, ул. Фунтовское шоссе, д.10 пом.108, общей площадью 39,0 кв.м, кадастровый номер 30:12:030355:533. На 1 этаже 5-этажного жилого дома (ранее – общежития). Вход с торца дома через общий коридор. Стены – панельные, перекрытия железобетонные. Год постройки 1975г. Требует ремонта</t>
  </si>
  <si>
    <t>Нежилое здание, площадью 367,7 кв.м., КН:31:01:0313002:60. Земельный участок, площадью 14014 кв.м., КН:31:01:0313001:54. Имущество обременено: арест, запрещение регистрации. Имущество принадлежит на праве собственности Новикову М.П. Основание реализации: исполнительный лист Ивнянского районного суда №ФС021896914 от 28.07.2020</t>
  </si>
  <si>
    <t>Нежилое здание, площадью 190,90 кв.м., КН:31:14:0903002:177. Нежилое здание, площадью 373,20 кв.м., КН: 31:14:0903002:179. Имущество обременено: арест, запрещение регистрации. Имущество принадлежит на праве собственности Мамонтову В.Н. Основание реализации: судебный участок №1 мирового судьи Борисовского района Белгородской области №2а-552/2021 от 08.04.2021</t>
  </si>
  <si>
    <t>Нежилое помещение, площадью 62,7 кв.м., КН:31:16:0101001:13641. Имущество обременено: арест, запрещение регистрации. Имущество принадлежит на праве собственности ООО «НСТР Космические системы». Основание реализации: постановление о передаче арестованного имущества №31010/22/517723 от 20.06.2022 судебного пристава-исполнителя ОСП по г.Белгороду УФССП России по Белгородской области</t>
  </si>
  <si>
    <t>Помещение нежилое, площадью 95,40 кв.м., КН:31:15:1305014:302. Имущество обременено: арест, ипотека, запрещение регистрации. Имущество принадлежит на праве собственности ООО «Агро-инвест». Основание реализации: исполнительный лист Октябрьского районного суда г.Белгорода серия ФС№037051241 от 02.08.2021</t>
  </si>
  <si>
    <t>Нежилое помещение, общей площадью 17,8 кв. м, кадастровый номер 31:23:0204007:472, находящееся по адресу: Белгородская область, г. Алексеевка, ул. Республиканская, д. 67</t>
  </si>
  <si>
    <t>Нежилое помещение площадью 160,3 кв.м, кадастровый номер 31:06:0322001:535, по адресу: Белгородская обл., г. Старый Оскол, пр-к Губкина, д.5</t>
  </si>
  <si>
    <t>Нежилое помещение, площадью 159,10 кв.м., КН:31:16:0101001:4441. Имущество обременено: арест, запрещение регистрации. Имущество принадлежит на праве собственности ЗАО «Благо». Основание реализации: постановление судебного пристава-исполнителя ОСП по г.Белгороду УФССП России по Белгородской области №31010/22/111688 от 05.07.2022</t>
  </si>
  <si>
    <t>Нежилое помещение, площадью 126,3 кв.м., КН:31:16:0117018:6665. Имущество обременено: арест, запрещение регистрации. Имущество принадлежит на праве собственности ООО «ПРОМАВТОТЕХСНАБ». Основание реализации: постановление судебного пристава-исполнителя ОСП по г.Белгороду УФССП России по Белгородской области №31010/20/341756 от 04.12.2020</t>
  </si>
  <si>
    <t>Нежилое помещение, площадью 45,7 кв.м., КН:31:16:0109015:4766. Имущество обременено: арест, запрещение регистрации. Имущество принадлежит на праве собственности Алиеву Садагат Багман Кызы. Основание реализации: исполнительный лист Октябрьского районного суда г.Белгорода №ФС037050889 от 06.07.2021</t>
  </si>
  <si>
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9. Характеристика недвижимого имущества: Нежилое помещение, общая площадь 130.7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освещение.Кадастровый номер: 32:31:0010320:534.</t>
  </si>
  <si>
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11 Характеристика недвижимого имущества: Нежилое помещение, общая площадь 138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освещение, Кадастровый номер: 32:31:0010320:536.</t>
  </si>
  <si>
    <t>Находящееся в муниципальной собственности нежилое помещение площадью 261,6 кв.м. (этаж № 1), расположенное по адресу: Брянская область, г.Брянск, пер.Камвольный, д.10, кадастровый номер 32:28:0011603:1372</t>
  </si>
  <si>
    <t>Находящееся в муниципальной собственности нежилое помещение площадью 495,7 кв.м. (этаж № 1), расположенное по адресу: Брянская область, г.Брянск, ул.Одесская, д.3, пом.1, кадастровый номер 32:28:0021313:262</t>
  </si>
  <si>
    <t>Находящееся в муниципальной собственности нежилое помещение площадью 428,9 кв.м. (этаж № 1), расположенное по адресу: Брянская область, г. Брянск, ул. Шоссейная, д.61, пом.I, кадастровый номер 32:28:0013104:175</t>
  </si>
  <si>
    <t>Находящееся в муниципальной собственности нежилое помещение площадью 300,4 кв.м. (этаж № 1), расположенное по адресу: Брянская область, г.Брянск, ул.Почтовая, д.130, кадастровый номер 32:28:0011703:1911</t>
  </si>
  <si>
    <t>Находящееся в муниципальной собственности нежилое помещение площадью 105,4 кв.м. (этаж № 1), расположенное по адресу: Брянская область, г.Брянск, ул.Володарского, д.70, кадастровый номер 32:28:0021202:615</t>
  </si>
  <si>
    <t>Находящееся в муниципальной собственности нежилое помещение площадью 131,8 кв.м. (этаж № 1), расположенное по адресу: Брянская область, г.Брянск, ул.Вокзальная, д.170, кадастровый номер 32:28:0010501:2348</t>
  </si>
  <si>
    <t>Находящееся в муниципальной собственности нежилое помещение площадью 36,9 кв.м. (этаж № 1), расположенное по адресу: Брянская область, г.Брянск, пр-кт Московский, д.81, к.1, пом.I, кадастровый номер 32:28:0041511:735</t>
  </si>
  <si>
    <t>Находящееся в муниципальной собственности помещение площадью 52,8 кв.м. (этаж № 1), расположенное по адресу: Брянская область, г.Брянск, рп Белые Берега, ул.Коминтерна, д.24, кадастровый номер 32:28:0040410:304</t>
  </si>
  <si>
    <t>Находящаяся в муниципальной собственности лифтерная ЖЭУ № 2 площадью 25 кв.м. (этаж № 1), расположенная по адресу: Брянская область, г.Брянск, ул.Мало-Завальская, д.5, кадастровый номер 32:28:0031622:1292</t>
  </si>
  <si>
    <t>Находящееся в муниципальной собственности нежилое помещение площадью 93,4 кв.м. (этаж № 1), расположенное по адресу: Брянская область,    г. Брянск, ул.Киевская, д.63, кадастровый номер 32:28:0042004:1356</t>
  </si>
  <si>
    <t>нежилое помещение с кадастровым номером 33:21:010114:207, общей площадью   433,6  кв. м, расположенное по адресу: Владимирская область, Вязниковский район, город Вязники, Мельничный проезд, д. 4</t>
  </si>
  <si>
    <t>Нежилое помещение I, расположенное по адресу: Владимирская область, г. Ковров, ул. Фрунзе, д. 2</t>
  </si>
  <si>
    <t>нежилое помещение с кадастровым номером 33:08:000000:1455, общей площадью 59,9 кв. м, расположенное по адресу: Владимирская область, Вязниковский район, поселок Никологоры, ул. Урожайная, д. 45.</t>
  </si>
  <si>
    <t>нежилое помещение, назначение: нежилое помещение, общей площадью 57,6 кв. м, этаж № 1, с кадастровым номером: 33:17:0000404:1312, по адресу: Владимирская обл., г. Александров, ул. Революции, д. 51</t>
  </si>
  <si>
    <t>Нежилое помещение VI, ул. Фрунзе, д. 2</t>
  </si>
  <si>
    <t>нежилое помещение, назначение: нежилое помещение, общей площадью 32,9 кв. м, этаж № 1, с кадастровым номером: 33:17:0000501:642, по адресу: Владимирская обл., г. Александров, ул. Советская, д. 48.</t>
  </si>
  <si>
    <t>Нежилое помещение площадью 575,6 кв.м (цокольный этаж), кадастровый номер 34:34:030028:879. Цокольный этаж -575,6 кв.м. Волгоград, Дзержинский район, ул. им. Савкина, д. 13. Полная информация приведена в файле с Информационным сообщением.</t>
  </si>
  <si>
    <t>Нежилое помещение площадью 96,6 кв.м, цокольный этаж (кадастровый номер 34:34:010064:2666). Цокольный этаж- 96,6 кв.м. Волгоград, Тракторозаводский район, ул. им Луговского, д. 3.Полная информация приведена в файле с Информационным сообщением.</t>
  </si>
  <si>
    <t>Нежилое помещение площадью 195,4 кв.м (цокольный этаж), кадастровый номер 34:34:060022:7444. Цокольный этаж- 195,4 кв.м. Волгоград, Советский район, ул. Авиаторская, д. 5. Полная информация приведена в файле с Информационным сообщением.</t>
  </si>
  <si>
    <t>Нежилое помещение площадью 60,8 кв.м (1 этаж) , кадастровый номер 34:34:010011:4301. Волгоград, Тракторозаводский район, ул. Героев Шипки, д. 49. Полная информация приведена в файле с Информационным сообщением.</t>
  </si>
  <si>
    <t>Нежилое помещение площадью  62,8  кв.м, цокольный этаж(кадастровый номер 34:34:070001:1854). Цокольный этаж- 62,8 кв.м. Волгоград, Кировский район, ул. 64-й Армии, д. 137. Полная информация приведена в файле с Информационным сообщением.</t>
  </si>
  <si>
    <t>Нежилое помещение общей площадью 182,7 кв. м (кадастровый номер 34:35:030212:12772), расположенное на 1 этаже жилого дома по адресу: ул. Дружбы, 79, г. Волжский,  Волгоградская  область. Объект не используется. Вход отдельный. Есть санузел.</t>
  </si>
  <si>
    <t>Нежилое помещение в многоквартирном доме площадью 76,8 кв.м (1 этаж), кадастровый номер  34:34:080071:775. Волгоград, Красноармейский район, ул. им. Доценко, дом 39, пом. I. Полная информация приведена в файле с Информационным сообщением.</t>
  </si>
  <si>
    <t>Нежилые помещения кадастровый номер 35:28:0201067:161, общей площадью 939,8 кв.м., этажность- 1,2 назначение -нежилое, литер- А номера на поэтажном плане 1-26, 28-50 на первом этаже, 1-14,17, 19-28 на втором этаже по адресу объекта: Вологодская область, Грязовецкий район, д.Фрол, д.42</t>
  </si>
  <si>
    <t>Нежилое помещение общей площадью 529,6 кв.м, с кадастровым номером 35:25:0203022:734, расположенное по адресу: Вологодская область, Вологодский район, Федотовское сельское поселение, п.Федотово, д. 32 (4 этаж).</t>
  </si>
  <si>
    <t>Нежилое помещение, площадью 98,4 кв.м., расположенное по адресу: Вологодская обл., Череповецкий р-он, с/с Абакановский, с. Абаканово, ул. Костромцова, д. 25, пом. 1, этаж 01, к/н 35:22:0111041:653</t>
  </si>
  <si>
    <t>Нежилое помещение с кадастровым номером 35:21:0401020:3832 площадью 228,2 кв. м, расположенное по адресу: Вологодская область, г. Череповец, пр. Строителей, д. 23А, этаж – 1.</t>
  </si>
  <si>
    <t>нежилые помещения с кадастровым номером 35:24:0402013:5534 общей площадью 81,8 кв. м, расположенные по адресу: Вологодская область, г. Вологда, ул. Возрождения, д. 74в.</t>
  </si>
  <si>
    <t>Нежилое помещение с кадастровым номером 35:21:0401010:3922 площадью 44,6 кв. м, расположенное по адресу: Вологодская область, г. Череповец, пр. Луначарского, д. 32, этаж – 1.</t>
  </si>
  <si>
    <t>Нежилое помещение с кадастровым номером 35:21:0401010:3921 площадью 56,6 кв. м, расположенное по адресу: Вологодская область, г. Череповец, пр. Луначарского, д. 32, этаж – 1.</t>
  </si>
  <si>
    <t>нежилое здание площадью 130,6 кв.м., кадастровый номер: 36:14:0016401:12, расположенное по адресу: Воронежская область, Лискинский район, г. Лиски, ул. Улица Ульяны Громовой, здание 37/1,- земельный участок площадью 218 кв.м., кадастровый номер: 36:14:0016401:3, расположенный по адресу: Воронежская область, Лискинский район, г.Лиски, ул. Улица Ульяны Громовой, 37/1</t>
  </si>
  <si>
    <t>Нежилое помещение I, назначение: нежилое, площадь 249,0 кв.м, этаж № 1, кадастровый номер: 36:34:0209020:4737, расположенное по адресу: г. Воронеж, ул. Еремеева, д. 35, пом. I. Свободное</t>
  </si>
  <si>
    <t>Помещение XI, назначение: нежилое, площадь 125,9 кв.м, цокольный этаж, кадастровый номер: 36:34:0105038:2717, расположенное по адресу: г. Воронеж, ул. Минская, д. 63а, пом. XI. Свободное</t>
  </si>
  <si>
    <t>Помещение X, назначение: нежилое, площадь 96,3 кв.м, цокольный этаж, кадастровый номер: 36:34:0105038:2716, расположенное по адресу: г. Воронеж, ул. Минская, д. 63а, пом. X. Свободное</t>
  </si>
  <si>
    <t>Нежилое встроенное помещение II в лит. А, назначение: нежилое, площадь 85,7 кв.м, этаж № 1, кадастровый номер: 36:34:0606014:216, расположенное по адресу: г. Воронеж, ул. Комиссаржевской, д. 21, пом. II. Свободное</t>
  </si>
  <si>
    <t>помещение, назначение: нежилое помещение, наименование: нежилое помещение, общая площадь 277,8 кв. м, этаж - 2, помещения 7,8,9,10,11,12,13, кадастровый номер 37:25:011114:530, адрес объекта: Ивановская область, г. Кинешма, ул. Маршала Василевского, д. 2, пом. 1002.</t>
  </si>
  <si>
    <t>Помещение магазин</t>
  </si>
  <si>
    <t>Нежилое помещение с кадастровым номером 37:24:010134:369 площадью                   282,5  кв.м, расположенного по адресу: г. Иваново, ул. Марии Рябининой, дом 26/26, помещения 1 этажа 29-46, помещения 2 этажа 74-86.</t>
  </si>
  <si>
    <t>Нежилое помещение с кадастровым номером 37:24:010132:767 площадью                  158,7 кв.м, расположенное по адресу: г. Иваново, ул. Третьего Интернационала, д. 42, пом. 1002.</t>
  </si>
  <si>
    <t>Нежилое помещение, назначение: нежилое, кадастровый номер: 38:26:040105:1606, расположенное по адресу: Иркутская область, город Ангарск, квартал 73, дом 6, помещение 58, общей площадью 191,6 кв.м.</t>
  </si>
  <si>
    <t>Нежилое помещение, назначение: нежилое помещение, кадастровый номер: 38:26:040502:7515, расположенное по адресу: Российская Федерация, Иркутская область, Ангарский городской округ, город Ангарск, квартал 206, дом 3, помещение 203а, общей площадью 686,1 кв.м.</t>
  </si>
  <si>
    <t>Нежилое помещение, назначение: нежилое помещение, кадастровый номер: 38:26:040404:8245, расположенное по адресу: Российская Федерация, Иркутская область, Ангарский городской округ, город Ангарск, микрорайон 8, дом 8, помещение 14а, общей площадью 237,5 кв.м.</t>
  </si>
  <si>
    <t>Вторичные торги Лот № 5 – нежилое помещение общей площадью 111,6 кв.м. (кад.№38:26:040902:1959) по адресу: Иркутская обл., г. Ангарск, кв-л 14, д. 5, пом. 2б. Правообладатель: Клейн Ю.Л. Обременение: арест. Начальная цена 1 060 800 руб.</t>
  </si>
  <si>
    <t>Нежилое помещение, назначение: нежилое, кадастровый номер: 38:26:040502:6491, расположенное по адресу: Иркутская область, г. Ангарск, квартал 182, д.14, помещение 50, общей площадью 69,3 кв.м.</t>
  </si>
  <si>
    <t>Нежилое помещение, назначение: нежилое помещение, кадастровый номер: 38:26:040107:286, расположенное по адресу: Иркутская область, г. Ангарск, кв-л. 93-й, д. 5, пом. 101, общей площадью 49,2 кв.м</t>
  </si>
  <si>
    <t>Нежилое помещение, назначение: нежилое помещение, кадастровый номер: 38:26:040401:6304, расположенное по адресу: Иркутская область, г. Ангарск,мкр. 11-й, д. 7а, пом. 111, общей площадью 45,2 кв.м.</t>
  </si>
  <si>
    <t>Расположено в 2-хэтажном кирпичном здании, включает в себя несколько помещений</t>
  </si>
  <si>
    <t>нежилое, площадь 42,2м2, этаж 1, адрес (местонахождение) объекта: Иркутская область, г.Нижнеудинск, ул. Комсомольская, д.1, пом.70/2, кадастровый номер:38:37:020204:2735</t>
  </si>
  <si>
    <t>Нежилое помещение, расположенное по адресу: Российская Федерация, Иркутская область, город Братск, жилой район Энергетик, улица Мечтателей, дом 7А, помещение 1004, кадастровый номер 38:34:021801:1348, общая площадь – 50,1 кв.м.</t>
  </si>
  <si>
    <t>Нежилое помещение – административное, общей площадью 108,0 кв.м по адресу: Российская Федерация, Иркутская область, город Братск, жилой район Центральный, улица Снежная, 37А, помещение 1002, кадастровый номер 38:34:014501:3127</t>
  </si>
  <si>
    <t>Помещение, назначение: нежилое, этаж № 1, общей площадью 46,6 кв.м, кадастровый номер 38:36:000021:23523, расположенное по адресу: г. Иркутск, ул. Депутатская, д. 48</t>
  </si>
  <si>
    <t>Нежилое здание (детский сад) с кадастровым номером 39:11:020033:122, общей площадью 574,8 кв.м; земельный участок из земель населенных пунктов с кадастровым номером 39:11:020039:180, общей площадью 1239,0 кв.м, с разрешенным использованием – дошкольное, начальное и среднее общее образование, расположенные по адресу: Калининградская область, Правдинский район, п .Железнодорожный, ул. Коммунистическая, д. 74.</t>
  </si>
  <si>
    <t>Нежилое здание (детский сад № 7) с кадастровым номером 39:11:080103:24, общей площадью 273,6 кв.м., расположенное по адресу: Калининградская область, Правдинский район, п. Фрунзенское, ул. Центральная, д. 7; земельный участок из земель населенных пунктов с кадастровым номером 39:11:080103:42, общей площадью 1900кв.м, с разрешенным использованием – для обслуживания детского сада № 7, местоположение: Калининградская область, Правдинский район, п. Фрунзенское, ул. Центральная, 7.</t>
  </si>
  <si>
    <t>Нежилое здание (учебный корпус) с КН 39:11:020024:21, общей площадью 369,2 кв.м. расположенное по адресу: Калининградская область, Правдинский район, п. Железнодорожный, ул. Коммунистическая, д. 17; нежилое здание (хранилище) с КН 39:11:020034:11, общей площадью 39,5 кв.м, расположенное по адресу: Калининградская область, Правдинский район, п. Железнодорожный, ул. Коммунистическая, д. 17А; земельный участок из земель населенных пунктов с КН 39:11:020025:4, общей площадью 1212 кв.м, с разрешенным использованием – под общеобразовательной школой, местоположение: Калининградская область, Правдинский район, п. Железнодорожный, ул. Коммунистическая, д. 17</t>
  </si>
  <si>
    <t>нежилое помещение</t>
  </si>
  <si>
    <t>Нежилое помещение, площадью 50.6 кв.м, цокольный этаж №1, кадастровый номер: 39:15:000000:9391, находящееся по адресу: г. Калининград, ул. Шахматная, д.4 В, помещение VI.</t>
  </si>
  <si>
    <t>Нежилое помещение с кадастровым номером 39:11:010008:282, общей площадью 152,9 кв. м, расположенное по адресу: Калининградская область, город Правдинск, улица Школьная, дом 8д, помещение № 1.</t>
  </si>
  <si>
    <t>Нежилое помещение с кадастровым номером 39:11:010008:285, общей площадью 74,6 кв. м, расположенное по адресу: Калининградская область, город Правдинск, улица Школьная, дом 8д, помещение № 2.</t>
  </si>
  <si>
    <t>Нежилое помещение с кадастровым номером 39:11:010008:290, общей площадью 57,2 кв. м, расположенное по адресу: Калининградская область, город Правдинск, улица Школьная, дом 8д, помещение № 7.</t>
  </si>
  <si>
    <t>Нежилое помещение с кадастровым номером 39:11:010008:289, общей площадью 60,6 кв. м, расположенное по адресу: Калининградская область, город Правдинск, улица Школьная, дом 8д, помещение № 6.</t>
  </si>
  <si>
    <t>Нежилое помещение с кадастровым номером 39:11:010008:286, общей  площадью 76,6 кв. м, расположенное по адресу: Калининградская область, город Правдинск, улица Школьная, дом 8д, помещение № 3.</t>
  </si>
  <si>
    <t>Нежилое помещение с кадастровым номером 39:11:010008:292, общей площадью 51,2 кв. м, расположенное по адресу: Калининградская область, город Правдинск, улица Школьная, дом 8д, помещение № 9.</t>
  </si>
  <si>
    <t>Нежилое помещение с кадастровым номером 39:11:010008:287, общей площадью 55,8 кв. м, расположенное по адресу: Калининградская область, город Правдинск, улица Школьная, дом 8д, помещение № 4.</t>
  </si>
  <si>
    <t>Нежилое помещение с кадастровым номером 39:11:010008:283, общей  площадью 39,7 кв. м, расположенное по адресу: Калининградская область, город Правдинск, улица Школьная, дом 8д, помещение № 10.</t>
  </si>
  <si>
    <t>Нежилое помещение с кадастровым номером 39:11:010008:288, общей площадью 40,6 кв. м, расположенное по адресу: Калининградская область, город Правдинск, улица Школьная, дом 8д, помещение № 5.</t>
  </si>
  <si>
    <t>Нежилые помещения поз. 1 - 4, цокольного этажа в жилом доме, общая площадь 56,5 квадратных метров, кадастровый номер объекта 41:01:0010127:1952, расположенные по адресу: Камчатский край, город Петропавловск-Камчатский, улица Капитана Беляева, дом 2</t>
  </si>
  <si>
    <t>Нежилое помещение площадью 202,7 кв.м по адресу: Кемеровская область-Кузбасс, г.Новокузнецк, ул.Метелкина, д. 16, пом. 105</t>
  </si>
  <si>
    <t>Нежилое помещение, 1 - этажное, общая площадь 72,3 кв. м, адрес объекта: Кемеровская область, р-н Топкинский, п.Центральный, ул.Советская, д.15, Кадастровый номер 42:14:0101001:2730.</t>
  </si>
  <si>
    <t>Помещение общей площадью 266,8 кв. м, кадастровый номер 42:32:0103013:35218, Кемеровская область - Кузбасс, г. Прокопьевск, ул. Есенина, д. 48</t>
  </si>
  <si>
    <t>Ушакова ул., 1Нежилое помещениеКадастровый номер:42:24:0301013:3435</t>
  </si>
  <si>
    <t>Леонова ул., 26а Нежилое помещение  № 58Кадастровый номер:42:24:0301014:10998</t>
  </si>
  <si>
    <t>Нежилое помещение общей площадью 89,4 кв.м, кадастровый номер 42:32:0101023:2791, Кемеровская область - Кузбасс, г. Прокопьевск, квартал 1 МЖК, д. 5, помещение 1п</t>
  </si>
  <si>
    <t>Советский просп., 31Нежилое помещениеКадастровый номер:42:24:0101049:6740</t>
  </si>
  <si>
    <t>Нежилое помещение общей площадью 247,70 кв. м., кадастровый номер 42:33:0000000:492 (реестровый номер федерального имущества П13430001562), расположенное по адресу: Кемеровская область, г. Тайга, ул. Интернациональная, д. 42</t>
  </si>
  <si>
    <t>Кузнецкий просп., 135бНежилое помещение Кадастровый номер:42:24:0101033:1796</t>
  </si>
  <si>
    <t>Нежилое помещение общей площадью 146,1 кв.м, расположенное по адресу: г. Кемерово, ул. Предзаводская, 1аКадастровый номер:42:24:0101015:2046</t>
  </si>
  <si>
    <t>Нежилое помещение общей площадью 81,80 кв.м, кадастровый номер 42:21:0601004:973, расположенного по адресу: Кемеровская обл., Беловский городской округ, пгт Бачатский, Финский мкр, д.27, пом.31</t>
  </si>
  <si>
    <t>Встроенное нежилое помещение</t>
  </si>
  <si>
    <t>Нежилое помещение общей площадью 173,60 кв.м, кадастровый номер 42:21:0401006:447, расположенного по адресу: Кемеровская обл., Беловский городской округ, пгт Новый Городок, ул.Гражданская, д.4, пом 25.</t>
  </si>
  <si>
    <t>Помещение для размещения аптеки</t>
  </si>
  <si>
    <t>Нежилое помещение общей площадью 38,40 кв.м, кадастровый номер 42:21:0101001:705, расположенного по адресу: Кемеровская область, г.Белово, пгт Грамотеино, ул.Колмогоровская, д.12.</t>
  </si>
  <si>
    <t>Нежилое помещение общей площадью 124,30 кв.м, кадастровый номер 42:21:0603003:810, расположенного по адресу: Кемеровская область, Беловский городской округ, пгт Бачатский, ул.50 лет Октября, д.26.</t>
  </si>
  <si>
    <t>Нежилое помещение общей площадью 27,60 кв.м, кадастровый номер 42:21:0701005:2791, расположенного по адресу: Кемеровская область, Беловский городской округ, пгт Грамотеино, ул.Светлая, д.10 пом.42.</t>
  </si>
  <si>
    <t>Нежилое помещение общей площадью 58,50 кв.м, кадастровый номер 42:21:0501005:1116, расположенного по адресу: Кемеровская область, Беловский городской округ, пгт Инской, ул.Приморская, д.25, помещение 2.</t>
  </si>
  <si>
    <t>Нежилое помещение общей площадью 107,60 кв.м, кадастровый номер 42:21:0108007:1212, расположенного по адресу: Кемеровская обл., Беловский городской округ, г.Белово, пер.Толстого, д.6, пом.77.</t>
  </si>
  <si>
    <t>Нежилое помещение площадью 70,8 кв.м по адресу: Кемеровская область-Кузбасс, г.Новокузнецк, ул.Рокоссовского, д. 21</t>
  </si>
  <si>
    <t>Нежилое помещение  общей площадью 38,8 кв.м, расположенное по адресу: г. Кемерово, ул. Свободы,11.Кадастровый номер:42:24:0101001:4770</t>
  </si>
  <si>
    <t>Помещение спортивного зала № 1001 площадью 183,6 кв.м с кадастровым номером 43:31:010101:535 (реестровый номер федерального имущества П13440000555), расположенное по адресу: Кировская область, Советский р-н, г. Советск, ул. Энгельса, д. 59.</t>
  </si>
  <si>
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</si>
  <si>
    <t>нежилое помещение с кадастровым номером 43:40:000733:521 расположено на первом этаже, общая площадь составляет 123,6 кв. метра, год постройки 1953.</t>
  </si>
  <si>
    <t>Нежилое помещение, назначение: нежилое, общая площадь 45,5 кв.м, кадастровый номер 44:27:020111:78</t>
  </si>
  <si>
    <t>г. Курган, ул. Станционная, д. 43, нежилые помещения в здании общежития, этаж № цокольный, кадастровый номер: 45:25:070301:972, общей площадью 334,7 кв.м.</t>
  </si>
  <si>
    <t>г. Курган, ул. Карельцева, д. 13, нежилое помещение, кадастровый номер: 45:25:070211:1874, общей площадью 74,7 кв.м.</t>
  </si>
  <si>
    <t>г. Курган, ул. Коли Мяготина, д. 143/I, нежилое помещение, кадастровый номер: 45:25:070305:2800, общей площадью 84,9 кв.м.</t>
  </si>
  <si>
    <t>Помещение, расположенное по адресу: Курская обл., г. Курчатов, коммунально – складская зона, ком. №№ 1-5, 10-12, 14, 17-38 площадь объекта 410,10 кв.м., кадастровый номер 46:31:010506:2393, запись регистрации № 46-46/013-46/013/006/2015-509/1 от 05.03.2015Характеристика объекта: назначение – нежилое помещение, год постройки – 1982, этажность: 1.Существующие ограничения (обременения) права: не зарегистрированы.</t>
  </si>
  <si>
    <t>– нежилое помещение, общей площадью 58,5 кв.м., пом.1, с кадастровым номером 46:16:010101:1498. Обременений не зарегистрировано. Расположенное по адресу: Курская область, Обоянский район, г. Обоянь, ул. Ленина, д.70А, пом.1</t>
  </si>
  <si>
    <t>Помещение, назначение: нежилое помещение (кадастровый номер 46:20:270207:988) и помещение, назначение: нежилое (кадастровый номер 46:20:270207:983), общей площадью 65,9 кв.м.. Этаж:1, расположенные по адресу: Курская область, Рыльский район, г. Рыльск, ул. К. Либкнехта, д.3, комнаты 10, 11, 12, 13, 14, 25</t>
  </si>
  <si>
    <t>Нежилое помещение №IХ с кадастровым номером 46:20:270206:506</t>
  </si>
  <si>
    <t>Здание бассейна: нежилое, общей площадью 599,2 кв.м, этаж 1, КН 47:29:0000000:20244 , расположенное по адресу: Ленинградская область, Лужский район, Заклинское сельское поселение, д. Заклинье, шоссе Батецкое, д. 3, с земельным участком: категория земель: земли населенных пунктов, разрешенное использование: спорт, площадь 1087 кв.м, КН 47:29:0630001:131, расположенным по адресу: Ленинградская область, Лужский район, Заклинское сельское поселение, д. Заклинье, ш. Батецкое, 3.</t>
  </si>
  <si>
    <t>Встроенное нежилое помещение первого этажа общей площадью 44,5 кв.м, кадастровый номер 47:01:0000000:45402, расположенное по адресу: Ленинградская область, Выборгский район, г. Светогорск, ул. Красноармейская, д. 24</t>
  </si>
  <si>
    <t>Здание бани, общей площадью 335,6 кв.м, кадастровый номер 49:01:020129:158, 1967 года постройки, расположенное по адресу: Магаданская область, Ольский район, пос. Ола, ул. Каширина, д.7А.Продажа объекта осуществляется одновременно с отчуждением земельного участка, категория земель: земли населенных пунктов, разрешенное использование: под баню, общая площадь  1524, 0 кв. м,  кадастровый номер  49:01:020129:41, расположенный по адресу: Магаданская область, Ольский район, пос. Ола, ул. Каширина, д.7А.</t>
  </si>
  <si>
    <t>Продажа нежилого помещения 694,3 кв.м. в г.о. Луховицы</t>
  </si>
  <si>
    <t>Продажа нежилого помещения 335,2 кв.м в г.о. Луховицы</t>
  </si>
  <si>
    <t>Продажа нежилого помещения 258 кв.м в г.о. Павловский Посад</t>
  </si>
  <si>
    <t>Продажа нежилого помещения 116,1 кв.м. в г.о. Коломна</t>
  </si>
  <si>
    <t>Продажа нежилого помещения 165,5 кв.м в г.о. Серпухов</t>
  </si>
  <si>
    <t>Продажа нежилого помещения 171,8 кв.м. в г.о. Коломна</t>
  </si>
  <si>
    <t>Продажа нежилого помещения 99,2 кв.м в г.о. Электросталь</t>
  </si>
  <si>
    <t>Продажа нежилого помещения 154,8 кв.м в г.о. Электросталь</t>
  </si>
  <si>
    <t>Продажа нежилого помещения 283,7 кв.м. в г.о. Долгопрудный</t>
  </si>
  <si>
    <t>Продажа нежилого помещения 101,6 кв.м. в г.о. Домодедово</t>
  </si>
  <si>
    <t>Продажа нежилого помещения 64,8 кв.м. в г.о. Пушкинский</t>
  </si>
  <si>
    <t>Продажа нежилого помещения 228,3 кв.м. в г.о. Долгопрудный</t>
  </si>
  <si>
    <t>Продажа нежилого помещения 243,8 кв.м. в Богородском г.о.</t>
  </si>
  <si>
    <t>Продажа нежилого помещения 30,9 кв.м в г.о. Коломна</t>
  </si>
  <si>
    <t>Продажа нежилого помещения 95,9 кв.м. в г.о. Лыткарино</t>
  </si>
  <si>
    <t>Продажа нежилого помещения 149,9 кв.м в Богородском г.о.</t>
  </si>
  <si>
    <t>Продажа нежилого помещения 156,6 кв.м в г.о. Серпухов</t>
  </si>
  <si>
    <t>Продажа нежилого помещения 82,9 кв.м в Богородском г.о.</t>
  </si>
  <si>
    <t>Продажа нежилого помещения 74,2 кв.м. в Богородском г.о.</t>
  </si>
  <si>
    <t>Продажа нежилого помещения 48,6 кв.м в г.о. Пушкинский</t>
  </si>
  <si>
    <t>Продажа нежилого помещения 74,6 кв.м. в г.о. Электрогорск</t>
  </si>
  <si>
    <t>Продажа нежилого помещения 19,9 кв.м. в  г.о. Химки</t>
  </si>
  <si>
    <t>Продажа нежилого помещения 19,3 кв.м. в г.о. Химки</t>
  </si>
  <si>
    <t>Продажа нежилого помещения 29,6 кв.м в Богородском г.о.</t>
  </si>
  <si>
    <t>Продажа нежилого помещения 26,6 кв.м в Богородском г.о.</t>
  </si>
  <si>
    <t>Продажа нежилого помещения 35,4 кв.м в г.о. Лыткарино</t>
  </si>
  <si>
    <t>Продажа нежилого помещения 20,5 кв.м в Богородском г.о.</t>
  </si>
  <si>
    <t>Продажа нежилого помещения 20,1 кв.м. в г.о. Долгопрудный</t>
  </si>
  <si>
    <t>Техническое состояние удовлетворительное</t>
  </si>
  <si>
    <t>помещение, назначение: нежилое, кадастровый номер 51:14:0030401:1873, площадью 569,8 кв.м., этаж: 1, номер на поэтажном плане IV(32), расположенное по адресу: Мурманская область, город Апатиты, улица Сосновая, дом 4, IV(32)</t>
  </si>
  <si>
    <t>помещение, назначение: нежилое, кадастровый номер 51:14:0030401:1872, площадью 570,0 кв.м., этаж: 1, номер на поэтажном плане IV (31), расположенное по адресу: Мурманская область, город Апатиты, улица Сосновая, дом 4, IV(31)</t>
  </si>
  <si>
    <t>помещение, назначение: нежилое, кадастровый номер 51:14:0030401:1871, площадью 569,7 кв.м., этаж: 1, номер на поэтажном плане IV (30), расположенное по адресу: Мурманская область, город Апатиты, улица Сосновая, дом 4, IV(30)</t>
  </si>
  <si>
    <t>Нежилое помещение (часть здания склада), площадь 292.40 кв. м, кадастровый № 51:20:0003048:360, адрес:  г. Мурманск, ул. Карла Либкнехта, д.54, цокольный этаж. Вид права: собственность. Ограничение (обременение) права: запрещение регистрации. По итогам торгов по данному лоту победитель производит оплату за имущество по цене, увеличенной на сумму НДС (20 %). Должник ООО "Шип-Мастер".</t>
  </si>
  <si>
    <t>Нежилое помещение, площадь 339.40 кв. м, кадастровый № 51:14:0030303:56, адрес: Мурманская обл., г.Апатиты, ул. Ленина, д.33, пом.1. Вид права: собственность. Ограничение (обременение) права: запрещение регистрации, арест. Должник ООО "Эверест".</t>
  </si>
  <si>
    <t>Нежилое помещение по проезду Молодежному, дом 11, цоколь, площадь 211,9 кв.м, кадастровый номер 51:20:0001007:1460, номера на поэтажном плане: А/цоколь/1а(1-15)</t>
  </si>
  <si>
    <t>Нежилое помещение по улице Крупской, дом 40а, цоколь, площадь 173,7 кв.м, кадастровый номер 51:20:0001313:2483, номера на поэтажном плане: А/цоколь/VI(1-5,5а,6-11)</t>
  </si>
  <si>
    <t>Нежилое помещение (гостиница), площадь 387.60 кв. м, кадастровый № 51:28:0040003:1004, адрес: Мурманская обл., МО г. Полярные Зори, ул. Ломоносова, д.16. Вид права: собственность. Ограничение (обременение) права: запрещение регистрации, ипотека в силу закона.  Должник Крепель Н.А.</t>
  </si>
  <si>
    <t>Нежилое помещение, площадь 33.10 кв. м, кадастровый № 51:20:0002125:2444, адрес: г. Мурманск, проспект Ленина, д.72. Вид права: собственность. Ограничение (обременение) права: запрещение регистрации. Должник ООО "ПКМС".</t>
  </si>
  <si>
    <t>наименование: «Помещение офиса» кадастровый номер: 51:05:0010203:3055,адрес (местоположение) объекта: Мурманская обл., МО Ковдорский р-н, г. Ковдор, ул. Кошица, д. 24,площадь объекта: 79,6 кв. мхарактеристика объекта: - нежилое;- год постройки: 1983;- этажность: 1;- фундаменты: сборные железобетонные блоки;- стены: сборные железобетонные панели заводского изготовления;- перегородки: гипсолитовые;- перекрытия: сборные железобетонные панели;- крыша: совмещенная рулонная;- полы: дощатые, окрашенные, покрытие линолеум, в санузлах плиточные;- дверные проемы: филенчатые; - оконные проемы: переплеты двойные створные;- внутренняя отделка: оклейка стен обоями, в санузлах керамическая плитка, окраска масляной краской; - отопление: централизованное;- водопровод: трубы стальные;- канализация: трубы чугунные;- горячее водоснабжение: централизованное; - электроосвещение: проводка скрытая.Правообладатель, вид права: Мурманская область, собственность</t>
  </si>
  <si>
    <t>Нежилое помещение, площадь 120.00 кв.м, кадастровый № 51:23:0010101:98, адрес: Мурманская обл., МО ЗАТО Александровск, г. Гаджиево, ул. Ленина, д. 56/1, этаж 1. Вид права: собственность. Ограничение (обременение) права: запрещение регистрации. Должник ООО "Лео".</t>
  </si>
  <si>
    <t>общей площадью 286,3 кв.м.</t>
  </si>
  <si>
    <t>Общая площадь 61,6 кв.м., этажность-1, год постройки - 1979, с кадастровым номером 52:12:1800321:11875</t>
  </si>
  <si>
    <t>Нежилое помещение расположено на первом и втором этажах двухэтажного нежилого здания. Имеется 3 отдельных входа.</t>
  </si>
  <si>
    <t>Нежилое помещение расположено на четвертом этаже четырехэтажного нежилого здания. Вход совместный с другими пользователями.</t>
  </si>
  <si>
    <t>Помещение, наименование: нежилое помещение, назначение: нежилое помещение, площадь: 61,7 кв.м, цокольный этаж, кадастровый номер: 52:25:0010809:444. Адрес: Нижегородская область, р-н Кстовский, г.Кстово, пл. Мира, д. 6</t>
  </si>
  <si>
    <t>Помещение (нежилое) общей площадью 73,9 кв.м, этаж – 1, кадастровый (или условный) номер 52:18:0010091:879. Адрес: г. Нижний Новгород, ул. Культуры, д. 6, пом П3. Должник – Капринин А.В.</t>
  </si>
  <si>
    <t>назначение: нежилое, площадью 30 кв.м, этаж: 1, с кадастровым номером №53:11:1700204:4186, расположенное по адресу: Новгородская область, Новгородский район, Ермолинское сельское поселение, д. Сырково, ул. Пролетарская, д.10</t>
  </si>
  <si>
    <t>назначение: нежилое, площадью 20 кв.м, этаж: 1, с кадастровым номером №53:11:1700204:4187, расположенное по адресу: Новгородская область, Новгородский район, Ермолинское сельское поселение, д. Сырково, ул. Пролетарская, д.10</t>
  </si>
  <si>
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электроснабжение.</t>
  </si>
  <si>
    <t>Нежилое помещение, площадь: 81,1 кв.м. Кадастровый номер: 54:11:011831:254. Адрес (местоположение): Новосибирская область, Коченевский муниципальный район, сельское поселение Прокудский сельсовет, с.Прокудское, улица  Новая, здание 10, помещение № 3.</t>
  </si>
  <si>
    <t>Помещение, площадь 196,8 кв.м., назначение: нежилое помещение, кадастровый номер: 54:35:064185:1221, расположенное по адресу: Новосибирская область, город Новосибирск, улица Титова, дом 22.</t>
  </si>
  <si>
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электроснабжение, канализация.</t>
  </si>
  <si>
    <t>Помещение, площадь 52,3 кв.м., назначение: нежилое помещение, кадастровый номер: 54:35:032970:362, расположенное по адресу: Новосибирская область, город Новосибирск, улица Овражная, дом 8</t>
  </si>
  <si>
    <t>Нежилое помещение, № 2П (общетоварный склад), назначение: нежилое, общей площадью 478,8 кв.м., количество этажей 2, инвентарный номер 6662800, кадастровый номер 55:36:010107:1348, по адресу: Омская область, мкр Береговой, ул. П.Г. Косенкова, д. 69, РНФИ П13560002203.</t>
  </si>
  <si>
    <t>лот 7837, Нежилое помещение, площадью 270,8 кв.м., кадастровый номер 55:20:220302:5334, Омская область, Омский р-н, с. Троицкое, пр-кт Яснополянский, д. 15, пом. 18 П, Собственник (должник) Дмитриев О.И.</t>
  </si>
  <si>
    <t>лот 7757 Нежилые помещения-столовая с подсобными помещениями, общей площадью 217,7 кв.м., кадастровый номер 55:36:050203:2473, Омская область, г. Омск, 1-я Заводская, д. 23, Собственник (должник) Воловик И.А.</t>
  </si>
  <si>
    <t>Объект незавершенного строительства, нежилое помещение, назначение: нежилое, площадь 407,8 кв.м., этаж  2,3, кадастровый номер 55:34:010406:46, по адресу: Омская область, Калачинский район, г. Калачинск, ул. Ленина, д.49, пом. 4П, РНФИ П12560007001.</t>
  </si>
  <si>
    <t>Нежилое помещение, назначение: нежилое, площадь 78,20 кв.м., этаж № 1, кадастровый номер 55:36:090205:7303, по адресу: Омская область, г. Омск, ул. Полосухина, д. 86, пом. 1П, РНФИ П13560000680</t>
  </si>
  <si>
    <t>лот 7812, Нежилое помещение, общей площадью 102,4 кв.м., кадастровый номер 55:36:190804:1910,  Омская обл., г. Омск, мкр Входной, д. 22/1, пом. 5 П, Собственник (должник) МП г. Омска «Тепловая компания»</t>
  </si>
  <si>
    <t>Нежилое помещение, назначение: нежилое, общей площадью 204,70 кв.м., этаж № 1, инвентарный номер 3186/5П-А, кадастровый номер 55:36:050206:11996, по адресу: Омская область, г. Омск, ул. Мамина-Сибиряка, д. 3, пом. 5П, РНФИ П13560001962.</t>
  </si>
  <si>
    <t>Школа- назначение: нежилое, количество этажей, в том числе подземных этажей: 2, в том числе подземных 1, материал наружных стен: кирпичные, 1992 год ввода в эксплуатацию по завершении строительства, площадью 1219 кв.м., с кадастровым №56:32:1601001:247; котельная - назначение: нежилое, количество этажей, в том числе подземных этажей: 1, в том числе подземных 0, материал наружных стен: кирпичные, 1998 год завершения строительства, площадью 20,5 кв.м., с кадастровым № 56:32:1601001:286; газопровод - назначение: сооружение, 2006 год ввода в эксплуатацию по завершении строительства, протяженность 136 м, с кадастровым №56:32:1601001:288; земельный участок- площадью 4528 кв.м., кадастровый номер 56:32:1601001:138, категория земель: земли населенных пунктов, разрешенное использование: для нужд образования.</t>
  </si>
  <si>
    <t>Нежилое помещение площадью 273,4 м2, расположенное по адресу: Оренбургская область, г. Бугуруслан, Пилюгинское шоссе, д.3, кадастровый номер 56:37:0106050:282</t>
  </si>
  <si>
    <t>нежилое помещение с кадастровым номером 56:33:1301008:327,   площадью 137,1 кв.м, расположенное по адресу: Оренбургская область, Тюльганский район, п. Тюльган, ул. Шахтостроительная, дом 20, помещение № 6, расположено на первом этаже, отдельный вход.</t>
  </si>
  <si>
    <t>помещение, назначение: нежилое, наименование: помещение № 1, номер, тип этажа, на котором расположено помещение: этаж № 01, площадь 62,4 кв. м, местоположение: Российская Федерация, Оренбургская область, город Оренбург, с. Краснохолм, ул. Некрасова, д. 35, кадастровый номер: 56:44:1001001:3845</t>
  </si>
  <si>
    <t>Нежилое помещение, назначение: нежилое, площадь 88,4 кв.м., этаж: 1, адрес (местонахождение): Российская Федерация, Оренбургская область, Оренбургский район, поселок Первомайский, улица Симонова, дом 3, помещение 3/1, кадастровый номер: 56:21:1701006:1610</t>
  </si>
  <si>
    <t>помещение, назначение: нежилое, номер, тип этажа, на котором расположено помещение: цокольный этаж № -, площадь 29,2 кв. м, местоположение: Российская Федерация, Оренбургская область, город Оренбург, ул. Попова, д. 87, помещение 1, кадастровый номер: 56:44:0429004:85</t>
  </si>
  <si>
    <t>Нежилое помещение, назначение: нежилое, количество этажей 1, общая площадь 218,2 кв.м., кадастровый номер 57:04:0290101:846, адрес объекта: Российская Федерация, Орловская область, Шаблыкинский р-н, с. Хотьково,  ул. Тургенева, д.9, пом.2.</t>
  </si>
  <si>
    <t>Нежилое помещение, расположенное по адресу: г. Орёл, ул. Машиностроительная, д. 3, площадь 108,8 кв.м, этаж 1</t>
  </si>
  <si>
    <t>Нежилое помещение, расположенное по адресу: г. Орёл, ул. Карачевская, д. 31, пом. 1, площадь 131,5 кв.м., этаж 2</t>
  </si>
  <si>
    <t>Нежилое помещение, расположенное по адресу: г. Орёл, ул. Матросова, д. 48, площадь 47,8 кв.м., этаж цокольный</t>
  </si>
  <si>
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</si>
  <si>
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</si>
  <si>
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</si>
  <si>
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</si>
  <si>
    <t>Помещение, площадь 60,4 кв.м, кад.№: 58:05:0160203:870, адрес: Пензенская обл., Бессоновский р-н, с. Кижеватово, ул. Молодежная, д.28, кв. 7</t>
  </si>
  <si>
    <t>Нежилое помещение, общ.площадь 58,6 кв.м, этаж 1, кад.№: 58:34:0010141:710, адрес: Пензенская обл., г. Заречный, ул. Зеленая, 10Д, пом. 40,41,41а,42,43а</t>
  </si>
  <si>
    <t>Лот №3. Помещения, расположенные на 2-ом этаже, кадастровый номер 81:07:0099002:222, назначение: нежилое, площадь 221,7 кв. м, по адресу: Российская Федерация, Пермский край, м.о. Кудымкарский, г. Кудымкар, пер. Гончарный, д. 7.</t>
  </si>
  <si>
    <t>нежилые помещения, общей площадью 273.8 кв.м., кадастровый номер 59:16:0010124:792, находящиеся по адресу: Пермский край, г. Верещагино, ул. Советская, 43.</t>
  </si>
  <si>
    <t>нежилые помещения, общей площадью 307.1 кв.м., кадастровый номер 59:16:0010120:622, находящиеся по адресу: Пермский край, г. Верещагино, ул. Ленина, 57а.</t>
  </si>
  <si>
    <t>Нежилое помещение с долей 2/3 в праве собственности на земельный участок, Пермский край, Добрянский городской округ, г. Добрянка, пер. Строителей, д.6а (1 этаж). Общая площадь помещения с кадастровым номером 59:18:0010601:4926 - 335,8 кв.м., общая площадь земельного участка с кадастровым номером 59:18:0010601:8 - 516,0 кв.м..</t>
  </si>
  <si>
    <t>Нежилое помещение № 4, назначение: нежилое, этаж № 1, этаж № 2, общая площадь 1036,8 кв.м, кадастровый номер: 59:37:0620204:278, адрес объекта: г. Усолье, ул. Свободы, д. 155 (объект обременен договорами:  - 44 кв.м.- аренда по  19.05.2024г.; - 16,3 кв.м – аренда по 30.04.2023г.; - 66,6 кв.м – аренда по 31.05.23г.;- 80,5 кв.м – аренда по 01.11.2024г.- 92,6 кв.м. – аренда по 31.01.2024г.- 76,4 кв.м – аренда по 28.04.25г.)</t>
  </si>
  <si>
    <t>Нежилое помещение, площадь 78,9 кв. м (кадастровый номер 59:01:4413638:2214), этаж: цокольный этаж № Цокольный, по адресу: Российская Федерация, Пермский край, г.о. Пермский, г. Пермь, ул. Академика Курчатова, д. 1. Помещение пустует.</t>
  </si>
  <si>
    <t>Помещение, назначение: нежилое, этаж № 1, общая площадь 69,5 кв.м, кадастровый номер: 59:37:0510105:852, адрес объекта: с. Пыскор, ул. Мира, д. 10</t>
  </si>
  <si>
    <t>1 этаж 2-х этажного кирпичного здания (лит. А), 1968 года завершения строительства, общей площадью 279,3 кв.м., с кадастровым номером 59:18:0010602:3311, с долей в праве собственности на земельные участки с кадастровыми номерами 59:18:0010602:2949, 59:18:0010602:2950, расположенные по адресу: Пермский край, Добрянский округ, г. Добрянка, ул. Жуковского, д. 23.</t>
  </si>
  <si>
    <t>Нежилые помещения, назначение: нежилое, этаж № 1, общая площадь 279,1 кв.м, кадастровый номер: 59:37:0620302:470, адрес объекта: г. Усолье, ул. Красноармейская, д. 85а (объект обременен договорами аренды: 30,6 кв.м до 31.01.2024г.; 21,9 кв.м до 08.11.2025г.; 107,6 кв.м до 11.01.2026г.)</t>
  </si>
  <si>
    <t>Нежилое помещение, назначение: нежилое, этаж 1, общая площадь 179,1 кв.м, кадастровый номер: 59:03:0400080:4119, адрес объекта: г. Березники, пр-кт Советский, д. 12 (объект обременен договором аренды по 06.07.2027г.)</t>
  </si>
  <si>
    <t>Нежилое помещение, назначение: нежилое, этаж 1, общая площадь 111,1 кв.м, кадастровый номер: 59:03:0400080:4115, адрес объекта: г. Березники, пр-кт Советский, д. 12  (объект обременен договором  аренды по 19.11.2025)</t>
  </si>
  <si>
    <t>Нежилое помещение № 3, назначение: нежилое, этаж № 1, общая площадь 129,8 кв.м, кадастровый номер 59:37:0620204:277,  адрес объекта: г. Усолье, ул. Свободы, д. 155 (объект обременен договором аренды до 31.08.23г.). На объекте проведена неузаконенная перепланировка.</t>
  </si>
  <si>
    <t>Встроено - пристроенное  помещение, назначение: нежилое, этаж 1, номера на поэтажном плане 1,2,3,4,5,6,7,8,9,10,11,12,13,14,15,  общая площадь 188,6 кв.м, кадастровый номер: 59:03:0400165:3345, адрес объекта:  г. Березники, ул. Пятилетки, д. 126 (объект обременен договором аренды по 30.06.2024г.).</t>
  </si>
  <si>
    <t>Помещение, назначение: нежилое, этаж № 1, общей площадью 175,5 кв.м,  кадастровый номер: 59:03:0400076:4057, адрес: г. Березники, ул. Юбилейная, 117, пом. 12 (объект обременен договором аренды до 28.06.24г.)</t>
  </si>
  <si>
    <t>Встроенное нежилое помещение, общая площадь 53,4 кв.м, кадастровый номер: 59:03:0400089:9732.Встроенное нежилое помещение, общая площадь 40,2 кв.мкадастровый номер: 59:03:0400089:9729.Встроенное нежилое помещение, общая площадь 16 кв.м, кадастровый номер: 59:03:0400089:9952.Нежилое помещение, общая площадь 6,0 кв.м, кадастровый номер: 59:03:0400089:11241.</t>
  </si>
  <si>
    <t>Нежилое помещение, назначение: нежилое, общая площадь 30,5 кв.м, этаж №1, кадастровый номер: 59:03:0400076:4101, адрес объекта: г. Березники, ул. Юбилейная, д. 117 (объект обременен договором аренды до 01.02.2024г.)</t>
  </si>
  <si>
    <t>Помещение, назначение: нежилое, этаж 1, общая площадь 33,8 кв.м, кадастровый номер: 59:03:0400076:4092, адрес объекта: г. Березники, ул. Мира, д. 79 (объект обременен договором аренды до 28.10.2023г.)</t>
  </si>
  <si>
    <t>Встроенное нежилое помещение, назначение: нежилое, этаж №1, общая площадь 55,7 кв.м, кадастровый номер: 59:03:0400087:5293, адрес объекта: г. Березники, ул. Пятилетки, 93 (объект обременен договором аренды по 04.07.23г.)</t>
  </si>
  <si>
    <t>Нежилое встроенное помещение, пл.99,6кв.м., кад№59:01:4410151:278, соб-к: Гладикова Е. В., адрес: г. Пермь, ул. Пушкина,84.</t>
  </si>
  <si>
    <t>Кирпичное встроенное помещение (лит.А), на 1 этаж 4-этажного кирпичного дома, общая площадь 205,8 кв.м, кадастровый номер: 59:03:0400098:264, адрес объекта: г. Березники, ул. Пятилетки, д. 56 (объект обременен договором аренды на неопределенный срок).</t>
  </si>
  <si>
    <t>Нежилое помещение, пл.38,5кв.м., кад.№:59:07:0010604:447, соб-к: Котельникова Л.Н., адрес: г.Краснокамск, ул.К.Маркса, 41а.</t>
  </si>
  <si>
    <t>Помещение, назначение: нежилое, этаж цоколь, общая площадь 45,9 кв.м, кадастровый номер: 59:03:0400098:289, адрес объекта: г. Березники, ул. Пятилетки, д. 56 (объект обременен договором аренды до 03.04.2024г.)</t>
  </si>
  <si>
    <t>Помещение, назначение: нежилое, этаж, общая площадь 29,6 кв.м, кадастровый номер: 59:03:0400098:253, адрес объекта: г. Березники, ул. Пятилетки, д. 56 (объект обременен договором аренды до 03.04.2024г.)</t>
  </si>
  <si>
    <t>Встроенное нежилое помещение, назначение: нежилое, общая площадь 68,3 кв.м, этаж 1, номера на поэтажном плане 1,2,3,4,5,6,7, кадастровый номер: 59:03:0400103:164, адрес объекта: г. Березники, ул. Карла Маркса, д. 40 (объект обременен договором аренды по 30.09.2026г.)</t>
  </si>
  <si>
    <t>Помещение 30 расположено на цокольном этаже, отдельный вход из общего коридора цокольного этажа, оконные проемы отсутствуют. Помещение без отделки (черновая отделка), входная дверь простая. Следы воды в цоколе, протечки из стыка стен с полом, сыреют стены.В помещении 30 имеются электроснабжение теплоснабжение (радиаторы демонтированы, требуется восстановление системы отопления); не обустроены раковина и туалет</t>
  </si>
  <si>
    <t>Помещение 1005 расположено на первом этаже, отдельный вход из коридора 1 этажа, вид из окон во двор, на ул. Алексея Алехина. Внутренняя отделка простая: пол – линолеум (сильное загрязнение, вспучивание, потертости, плесень); в санузле требуется восстановление пола; потолок – покраска (шелушения, протечки, плесень), стены – обои (отслоение обоев, следы протечек, плесень), в санузле – керамическая плитка (сильное загрязнение плитки, плесень); оконные проемы – блоки ПВХ со стеклопакетами; входная дверь – металлическая; межкомнатные двери – простые филенчатые; класс инженерного оборудования – отечественное.Имеются электроснабжение теплоснабжение, водоснабжение; в помещении 1005 обустроены раковина и туалет.</t>
  </si>
  <si>
    <t>нежилое помещение, наименование: нежилое помещение, комнаты: 8, 11, 12, 13, 15, 18, 29. Площадь: общая 72 кв. м.Кадастровый (условный) номер 61:58:0001129:141</t>
  </si>
  <si>
    <t>Нежилое помещение площадью 52,1 кв. м, этаж: № 1, номера на поэтажном плане: 43, 44, кадастровый номер: 61:55:0020735:510. Расположено на первом этаже 5-и этажного жилого дома. Адрес (местоположение): Ростовская обл., г. Новочеркасск, ул. Каштанова, д. 49</t>
  </si>
  <si>
    <t>Недвижимое имущество - помещение, назначение: нежилое, с кадастровым номером 61:41:0010648:66, площадью 35,7 кв. м, расположенное по адресу: Российская Федерация, Ростовская область, Цимлянский район, Цимлянское городское поселение, г. Цимлянск, ул. Ленина, д. 103, помещение 2.</t>
  </si>
  <si>
    <t>Муниципальное нежилое помещение по адресу: Ростовская область, г. Ростов-на-Дону, пр-кт Чехова, д. 37/29, литер «А»,  этаж № 1, к.к. №№ 1,2,1а,1б,2г,1в-2б,2а-2в, общей площадью 60,2 кв.м (кадастровый номер 61:44:0040710:411)</t>
  </si>
  <si>
    <t>Муниципальное нежилое помещение, расположенное по адресу: Россия, Ростовская область, г.Ростов-на-Дону, Первомайский район, пр. Шолохова, № 266/1, литер «А», этаж 1, к.к. №№ 40, 40а, общей площадью 23,1 кв.м (кадастровый номер 61:44:0020202:996)</t>
  </si>
  <si>
    <t>нежилое помещение с кадастровым номером 62:29:0080002:339, назначение: нежилое, площадью 289,4 кв. м, полуподвал № рр, расположенное по адресу: г.Рязань, Первомайский просп., д. 40 к. 1, Н4, реестровый номер 55824</t>
  </si>
  <si>
    <t>нежилое помещение с кадастровым номером 62:29:0080036:335, назначение: нежилое, площадью 99 кв. м, полуподвал № рр, расположенное в здании, являющемся объектом культурного наследия регионального значения «Ансамбль улицы Николодворянской, пер.пол. XIX – кон. XIX вв. Жилое здание пер. пол. XIX - кон. XIX вв.», включенным в единый государственный реестр объектов культурного наследия (памятников истории и культуры) народов Российской Федерации (далее – реестр объектов культурного наследия) на основании постановления главы администрации Рязанской области от 05.08.1997 № 368 (регистрационный номер: 621410177250025), по адресу: г. Рязань, Николодворянская ул., д.20, Н1, реестровый номер 177756.</t>
  </si>
  <si>
    <t>нежилое помещение с кадастровым номером 62:29:0060002:1364, назначение: нежилое, площадью 34,4 кв. м, этаж № 13, расположенное по адресу: г. Рязань, ул. Крупской, д.15/18, Н2, реестровый номер 26168</t>
  </si>
  <si>
    <t>Нежилое помещение, расположенное по адресу: Самарская область, г. Тольятти, Комсомольский район, ул. Громовой, д. 44, площадью 573,3 кв. м, состоящее из двух нежилых помещений площадью 484,3 кв.м, подземный этаж № 1, кадастровый номер: 63:09:0201059:2417 и 89 кв.м, подземный этаж № 1, кадастровый номер 63:09:0201059:2416</t>
  </si>
  <si>
    <t>Нежилое помещение, расположенное по адресу: Самарская область,  г. Тольятти, Комсомольский район, ул. Коммунистическая, д. 53, пом. Б/Н (1005), площадью 489 кв.м, подземный этаж № 1, кадастровый номер: 63:09:0201057:3310</t>
  </si>
  <si>
    <t>Нежилое помещение, расположенное по адресу: Самарская область,  г. Тольятти, Комсомольский район, ул. Громовой, д. 24, площадью 339,6 кв.м, подземный этаж      № 1, кадастровый номер: 63:09:0201059:12825</t>
  </si>
  <si>
    <t>Нежилое помещение, расположенное по адресу: Самарская область, г. Тольятти, Центральный район, ул. Карла Маркса, д. 27А, пом. 1002, площадью 433,3 кв.м, подземный этаж № 1, кадастровый номер: 63:09:0301146:1262</t>
  </si>
  <si>
    <t>Нежилое помещение, расположенное по адресу: Самарская область, г. Тольятти, Комсомольский район, ул. Никонова, д. 6, площадью 323,5 кв.м, этаж № -1, кадастровый номер: 63:09:0201060:15519</t>
  </si>
  <si>
    <t>Нежилое помещение, расположенное по адресу: Самарская область, г. Тольятти, Центральный район, ул. Мира, д. 50, площадью 200,9 кв. м (этаж № 1, подземный этаж № 1),  кадастровый номер: 63:09:0301083:721</t>
  </si>
  <si>
    <t>Нежилое помещение, расположенное по адресу: Самарская область,             г. Тольятти, Центральный район, ул. Новопромышленная, д. 15, площадью 754,30 кв.м, состоящее из двух нежилых помещений площадью 575,5 кв.м подземный этаж № 1, пом. Б/Н (1001) кадастровый номер: 63:09:0301140:890 и 178,8 кв.м, -1 этаж: комнаты №№ 42, 43, 44, 45, 46, 50, 51, 52, 53, 54, 55, 56 кадастровый номер: 63:09:0301140:3401</t>
  </si>
  <si>
    <t>Нежилое помещение, расположенное по адресу: Самарская область,  г. Тольятти, Комсомольский район, ул. Носова, д. 5, пом. б/н, площадью 95,3 кв. м, этаж 1, номера на поэтажном плане 1 этаж комнаты №№ 11, 12, 13, 14, 15, 16, 17, 18, 19, 20, 21, 22, 23, 24, кадастровый номер: 63:09:0201060:2244, являющееся объектом культурного наследия регионального значения в соответствии с постановлением Правительства Самарской области от 08.08.2013 № 376</t>
  </si>
  <si>
    <t>Нежилое помещение, расположенное по адресу: Самарская область, г. Тольятти, Комсомольский район, ул. Никонова, д. 8, площадью 89,9 кв. м, этаж № 1, кадастровый номер: 63:09:0202054:757, являющееся объектом культурного наследия регионального значения в соответствии с постановлением Правительства Самарской области от 08.08.2013 № 376.</t>
  </si>
  <si>
    <t>Нежилое помещение площадью 91,1 кв.м, Этаж № 2, расположенное по адресу: Самарская область, г. Самара, п. Красная Глинка, ул. Батайская, д. 10. Кадастровый номер: 63:01:0301001:3131.</t>
  </si>
  <si>
    <t>Нежилое помещение (кадастровый номер 64:06:110101:422) общей площадью 841,8 кв. м, здание котельной (в составе «Комплекс строений школы») (кадастровый номер 64:06:110101:415) общей площадью 21,3 кв. м, туалет (в составе «Комплекс строений школы») (кадастровый номер 64:06:110101:420) общей площадью 64 кв. м, с земельным участком (кадастровый номер 64:06:110101:465) общей площадью 9839 кв. м по адресу: Саратовская обл., Балашовский район, с. Рассказань, ул. Ленина, д. 99А</t>
  </si>
  <si>
    <t>Нежилое помещение (кадастровый номер 64:42:010121:276), площадью 264,4 кв.м., этаж: 2;Нежилое помещение (кадастровый номер 64:42:010121:82), площадью 27,2 кв.м., этаж: 1;- Нежилое помещение (кадастровый номер 64:42:010121:268), площадью 16,6 кв.м., этаж: 1;- Нежилое помещение (кадастровый номер 64:42:010121:259), площадью 9,5 кв.м., этаж: 1;Нежилое помещение (кадастровый номер 64:42:010121:273), площадью  8 кв.м., этаж: 1;Нежилое помещение (кадастровый номер 64:42:010121:267), площадью 77,5 кв.м., этаж: 2;Нежилое помещение (кадастровый номер 64:42:010121:248), площадью 7,3 кв.м., этаж: 1;Нежилое помещение (кадастровый номер 64:42: 010121:249), площадью 13,4 кв.м., этаж: 1.</t>
  </si>
  <si>
    <t>Нежилые помещения, этаж: надземный, кадастровый номер 64:40:010247:1160, площадь 85,5 кв.м, адрес: Саратовская область, г. Балаково, ул. Ленина, д. 60</t>
  </si>
  <si>
    <t>Нежилое помещение, расположенное по адресу: Свердловская область, Пышминский район, с. Трифоново, ул. Энергостроителей, д. 12, кв. 3, общей площадью 52,6 кв. м, с кадастровым номером 66:20:1301001:874</t>
  </si>
  <si>
    <t>нежилое помещение, с кадастровым номером 66:20:2701001:341, расположенное по адресу: Свердловская область, Пышминский район, с. Тупицыно, ул. Ленина, д. 32, кв. 4, общей площадью 43,2 кв. м.</t>
  </si>
  <si>
    <t>Наименование имущества: Нежилые помещения,этаж расположения: 1,общей площадью 191,6 кв.м., кадастровый №66:57:0102031:4426, расположенные по адресу: Свердловская область, г. Новоуральск, ул. Победы,30А</t>
  </si>
  <si>
    <t>Нежилое помещение с кадастровым номером 66:08:0804006:1478, общей площадью 152,5 кв.м. расположенное по адресу: Свердловская область, город Верхняя Салда, улица 25 Октября, дом 7</t>
  </si>
  <si>
    <t>Нежилое помещение с кадастровым номером 66:08:0804006:1432, общей площадью 140,1 кв.м., расположенное по адресу: Свердловская область, город Верхняя Салда, улица 25 Октября, дом 7.</t>
  </si>
  <si>
    <t>Наименование имущества: Нежилые помещения, пом II,этаж расположения: 1,общей площадью 85,4 кв.м.,кадастровый №66:57:0102064:947, расположенные по адресу: Свердловская область, г. Новоуральск, ул. Фурманова, 39.</t>
  </si>
  <si>
    <t>В соответствии с Извещением</t>
  </si>
  <si>
    <t>Помещение, назначение: нежилое. Площадь: общая  57,7 кв.м., номера на поэтажном плане: 22.  Этаж: 1. Кадастровый номер 66:32:0402009:1093, расположенное по адресу: Российская Федерация, Свердловская область, Муниципальное образование город Алапаевск, городской округ, город Алапаевск, ул. Третьего Интернационала, дом 12.</t>
  </si>
  <si>
    <t>Нежилое помещение. Площадь: 50,3 кв.м. Этаж: 1. Кадастровый номер 66:32:0402013:1302, расположенное по адресу: Свердловская область, город Алапаевск ул. Ленина, д. 16.</t>
  </si>
  <si>
    <t>помещение, назначение: нежилое, площадь: 40,8 кв.м, этаж № 1, КН: 68:29:0101040:186, расположенное по адресу: РФ, Тамбовская область, г. Тамбов, ул. Комсомольская, дом 41, помещение 2; помещение, назначение: нежилое, площадь: 17,8 кв.м, этаж № 1, КН: 68:29:0101040:188, расположенное по адресу: РФ, Тамбовская область, г. Тамбов, ул. Комсомольская, дом 41, помещение 3; помещение, назначение: нежилое, площадь: 77,5 кв.м, этаж № 1, КН: 68:29:0101040:189, расположенное по адресу: Тамбовская область, г. Тамбов, ул. Комсомольская, дом 41, помещение 4; помещение, назначение: нежилое, площадь: 39,6 кв.м, этаж № 1, КН: 68:29:0101040:185, расположенное по адресу: РФ, Тамбовская область, г. Тамбов, ул. Комсомольская, дом 41, помещение 5; помещение, назначение: нежилое, площадь: 16,6 кв.м, этаж № 1, КН: 68:29:0101040:190, расположенное по адресу: РФ, Тамбовская область, г. Тамбов, ул. Комсомольская, дом 41, помещение 6. Продается единым лотом (см. Документы, файл Извещение)</t>
  </si>
  <si>
    <t>нежилое помещение,  назначение: нежилое,  площадью 164,1 кв.м., этаж: №2,   кадастровый номер: 68:27:0000064:519, ограничение прав и обременение объекта недвижимости: не зарегистрировано, расположенное по адресу: Тамбовская область, г. Моршанск, ул. Карла Маркса, дом 52, помещение 6.</t>
  </si>
  <si>
    <t>склад, назначение: нежилое, площадь: 114,1 кв.м, номер, тип этажа, на котором расположено помещение: этаж № 1, кадастровый номер: 68:29:0101029:139, расположенный по адресу: Тамбовская область, город Тамбов, улица Коммунальная, дом 26, помещение 37</t>
  </si>
  <si>
    <t>нежилое помещение, назначение: нежилое,  площадь: 176,9 кв.м, номер, тип этажа, на котором расположено помещение: этаж № 1, кадастровый номер: 68:29:0101047:230, расположенное по адресу: Тамбовская область,  г. Тамбов, ул. Ленинградская, д.42, пом.31</t>
  </si>
  <si>
    <t>помещение 1, площадь: 33,1 кв.м, этаж № 2, кадастровый номер: 68:29:0101040:654; помещение 2, площадь: 143,3 кв.м, этаж № 2, кадастровый номер: 68:29:0101040:996; помещение 3, площадь: 22,6 кв.м, этаж № 1, кадастровый номер: 68:29:0101040:1000; помещение 4, площадь: 15,6 кв.м, этаж № 2, кадастровый номер: 68:29:0101040:995; помещение 5, площадь: 30,6 кв.м, этаж № 2, кадастровый номер: 68:29:0101040:657, расположенные по адресу: Российская Федерация, Тамбовская область, городской округ - город Тамбов, город Тамбов, улица Советская, дом 98/27 (см. Документы, файл Извещение). Продается единым лотом. Обременение: объект культурного наследия регионального значения «Дом купца И.И. Волокитина», расположенный по адресу: Тамбовская область, г.Тамбов, ул.Советская/ул.Комсомольская, дом 98/27 (см. Охранное обязательство - Приложение № 3 к Условиям конкурса)</t>
  </si>
  <si>
    <t>помещение 1, площадь 27,3 кв.м, этаж №1, КН:68:29:0103004:263; помещение 2, площадь 18,5 кв.м, этаж №1, КН:68:29:0103004:262; помещение 3, площадь 33,5 кв.м, этаж №1, КН:68:29:0103004:244; помещение 4, площадь 25,9 кв.м, этаж  №1, КН:68:29:0103004:245; помещение 5, площадь 40,2 кв.м, этаж № 1, КН:68:29:0103004:259; помещение 6, площадь 11,3 кв.м, этаж №1, КН:68:29:0103004:258; помещение 7, площадь 9,0 кв.м, этаж №1, КН:68:29:0103004:257; помещение 8, площадь 20,1 кв.м, этаж №1, КН:68:29:0103004:247; помещение 9, площадь 27,4 кв.м, этаж №1, КН:68:29:0103004:248; помещение 10, площадь 31,6 кв.м, этаж  №1, КН:68:29:0103004:249; помещение 11, площадь 23,4 кв.м, этаж  №1, КН:68:29:0103004:253; помещение 12, площадь 36,2 кв.м, этаж  №1, КН:68:29:0103004:250; помещение 13, площадь 23,8 кв.м, этаж  №1, КН:68:29:0103004:251, расположенные по адресу: РФ, Тамбовская обл., городской округ–город Тамбов, г.Тамбов, ул.Советская, здание 61/8 (см. Документы, файл Извещение). Продается единым лотом</t>
  </si>
  <si>
    <t>Помещение, назначение объекта: нежилое, кадастровый (или условный) номер объекта: 68:29:0312001:9819, площадь объекта: 107, 90 кв.м.Собственник (правообладатель) имущества: Межуева Л.В.</t>
  </si>
  <si>
    <t>Нежилое помещение 1 этаж</t>
  </si>
  <si>
    <t>нежилое помещение, площадью 37,5 кв.м., кадастровый номер 69:19:0070113:477, расположенное по адресу: Тверская область, г. Лихославль, пер. Привокзальный, д. 7, пом. II</t>
  </si>
  <si>
    <t>Нежилое помещение на первом этаже пятиэтажного жилого дома</t>
  </si>
  <si>
    <t>Техническое состояние удовлетворительное. Нежилое помещение №1001 находится в трехэтажном здании на первом этаже. Помещение имеет отдельный вход.</t>
  </si>
  <si>
    <t>Помещение, назначение: нежилое, площадь 348,7 кв. м, этаж №1, этаж №2, кадастровый номер 70:17:0000012:2359, расположенное по адресу: Российская Федерация, Томская область, Асиновский район, г. Асино, ул. Мичурина, д. 1, пом. 1003-1004, а001, 2005-2006</t>
  </si>
  <si>
    <t>Нежилое помещение, назначение: нежилое, площадь 92,1 кв. м, этаж № 1, кадастровый номер 70:14:0122002:516, расположенное по адресу: Томская область, р-н Томский, с. Тахтамышево, ул. Советская, д. 63</t>
  </si>
  <si>
    <t>Характеристика объекта:Общая площадь 285,20 кв.м.Год постройки: 1956; фундамент – железобетонный; стены – кирпичные; перекрытия – сборные железобетонные пустотные плиты.</t>
  </si>
  <si>
    <t>нежилое помещение, общая площадь 85,5 кв.м., расположенное по адресу: Томская область, г. Асино, ул. Сельская, 31а, помещ. 1.</t>
  </si>
  <si>
    <t>Помещение, назначение: нежилое, площадь 37,6 кв. м, этаж № 2, кадастровый номер 70:21:0100081:447, расположенное по адресу: Томская область, г. Томск, п. Спутник, д. 18, пом. 2003-2006</t>
  </si>
  <si>
    <t>Нежилое помещение, общей площадью 133,4 кв.м., кадастровый номер 70:21:0100059:2234, расположенное по адресу: Томская область, г. Томск, ул. Пушкина, д. 16/3, номер на поэтажном плане 1001 (реестровый номер федерального имущества П13700001229). С отчетом об оценке нежилого помещения можно ознакомиться на сайте https://se.fedresurs.ru/Office/CompanyOffice/Message/WatchMessage/12111557</t>
  </si>
  <si>
    <t>Помещение, назначение: нежилое, площадь 37,5 кв. м, этаж № 3, кадастровый номер 70:21:0200003:3146, расположенное по адресу: Томская область, г. Томск, ул. Набережная реки Ушайки, д. 18б, пом. 3019</t>
  </si>
  <si>
    <t>Нежилое помещение общей площадью 41,3 кв.м с кадастровым номером 71:05:030203:451, расположенное по адресу: Тульская область, Веневский район, г. Венев, ул. Бундурина, д. 6, кв. 4.</t>
  </si>
  <si>
    <t>нежилое помещение второго этажа, расположенное по адресу: Тульская область, Белевский район, г. Белев, ул. Карла Маркса, д. 47, площадью 166,4 кв.м, с кадастровым номером 71:03:030211:288</t>
  </si>
  <si>
    <t>Нежилое помещение общей площадью 35,9 кв.м с кадастровым номером 71:05:030304:1002, расположенное по адресу: Тульская область, Веневский район, г.Венев, ул. Бундурина, д. 6.</t>
  </si>
  <si>
    <t>Нежилое помещение, этаж 1, кадастровый номер: 71:30:070707:522 площадью 256,2 кв.м по адресу: Тульская область, г.Тула, п. Косая Гора, ул. Генерала Горшкова, д. 12, пом. I</t>
  </si>
  <si>
    <t>нежилое помещение площадью 181 кв. м с кадастровым номером 73:19:012901:653, расположенное по адресу Ульяновская область, г. Ульяновск, Ленинский район, ул. Поливенская, д. 9</t>
  </si>
  <si>
    <t>нежилые помещения площадью 158,4 кв. м с кадастровым номером 73:24:041411:195, расположенные по адресу Ульяновская область, г. Ульяновск, Ленинский район, ул. Набережная р. Свияги, д. 162А</t>
  </si>
  <si>
    <t>нежилое помещение площадью 31,4 кв. м с кадастровым номером 73:24:030203:2523,  расположенное по адресу Ульяновская область, г. Ульяновск, Засвияжский район, ул. Артема, д. 7/59, помещение № 67</t>
  </si>
  <si>
    <t>помещения    площадью    40,7   кв.   м   с    кадастровым    номером 73:24:041901:558, расположенные по адресу Ульяновская область, г. Ульяновск, Ленинский район, ул. Дворцовая, зд. 3Б, помещения № 1, № 2 на        1 этаже; помещения площадью 76,8 кв. м с кадастровым номером 73:24:041901:559, расположенные по адресу Ульяновская область, г. Ульяновск, Ленинский район, ул. Дворцовая, зд. 3Б, помещения №№ 1-5 на          2 этаже</t>
  </si>
  <si>
    <t>Нежилое здание-баня, расположенное по адресу: Челябинская обл., Октябрьский район, с. Октябрьское, ул. Комсомольская, д. 34Б, общей площадью 337,1 кв.м., с кадастровым номером 74:17:1004070:38(далее - «Объект») и земельный участок, на котором расположено нежилое здание, общей площадью 1246кв.м.,кадастровый номер 74:17:1004070:384, (далее - «Объект»)</t>
  </si>
  <si>
    <t>Нежилое помещение № 1, площадью 303,9 кв.м., кадастровый номер: 74:24:0205037:75, расположенное по адресу: Челябинская область, Чесменский район, с.Чесма, ул.Ленина д.50</t>
  </si>
  <si>
    <t>Нежилое здание-котельная с оборудованием с земельным участком. Кадастровый номер здания: 74:12:1308007:39; кадастровый номер земельного участка: 74:12:1308003:559 .</t>
  </si>
  <si>
    <t>Нежилое помещение №2, общей площадью 158,6 (сто пятьдесят восемь целых шесть десятых) кв. метров, расположенное по адресу: Челябинская область, Саткинский район, г. Бакал, ул. Титова, д.11, этаж цоколь, кадастровый номер 74:18:1002093:1127Состояние неудовлетворительное.</t>
  </si>
  <si>
    <t>- нежилое помещение, расположенное по адресу: Челябинская область, Еткульский район, с. Шеломенцево, ул. Молодежная, д. 12, пом. 2, общей площадью 335 (триста тридцать пять) кв.м., кадастровый номер: 74:07:3900001:294, этажность 1;- земельный участок с кадастровым номером 74:07:3900001:107, общей площадью 2553 кв.м., категория земель: земли населенных пунктов, разрешенное использование: в целях эксплуатации нежилого здания детского сада, местоположение: Челябинская область, Еткульский район, с. Шеломенцево, ул. Молодежная, д. 12</t>
  </si>
  <si>
    <t>нежилое помещение №1 с кадастровым номером 74:33:1328002:146, площадью 178,7 кв.м., по адресу: Россия, Челябинская область, город Магнитогорск, улица Маяковского, дом 19, корпус 1.</t>
  </si>
  <si>
    <t>нежилое помещение №3 с кадастровым номером 74:33:1328003:461, площадью 94,9 кв.м., по адресу: Россия, Челябинская область, город Магнитогорск, улица Пионерская, дом 32.</t>
  </si>
  <si>
    <t>нежилое помещение,  площадью 251,2 кв.м., этаж:1, расположенное по адресу: Россия, Челябинская  область, г. Златоуст, ул. 1я Нижне-Заводская д.42, кадастровый номер: 74:25:0303203:650</t>
  </si>
  <si>
    <t>нежилое помещение, назначение: нежилое, общей площадью 33,6 кв.м., этаж № 01, с кадастровым номером: 74:30:0201006:266, расположенное по адресу: Россия, Челябинская область, г. Копейск, ул. Курская, д.2А</t>
  </si>
  <si>
    <t>нежилое помещение №3 с кадастровым номером 74:33:0307001:4846, площадью 95,2 кв.м., по адресу: Россия, Челябинская область, город Магнитогорск, улица Тевосяна, дом 17, корпус1.</t>
  </si>
  <si>
    <t>Наименование:Нежилое помещение № 2 – пожарное депо, расположенное по адресу: Челябинская область,                      г. Усть-Катав, ул. Заводская, д. 1, пом. 2Номер РФИ:П13740000355Кадастровый номер:74:39:0306001:256Площадь объекта (кв. м.):237,7Назначение:Нежилое помещение Количество этажей, в том числе подземных этажей:2 этажПраво:Собственность РФ. Запись регистрации в ЕГРН от 24.04.2008 № 74-74-39/001/2008-136Обременения:ОтсутствуютОКН:Как ОКН не зарегистрированМЧС:Как объект ГО не числится</t>
  </si>
  <si>
    <t>Нежилое  помещение № 8 общей площадью 61,2 кв.м, кадастровый номер 74:31:0110002:180,  расположенное по адресу: Челябинская область, город Коркино, проспект Горняков, дом 11.Наличие инженерных коммуникаций – центральное отопление, теплоснабжение, водоснабжение, электроснабжение, канализация, вентиляция. Общее техническое состояние  - удовлетворительное. Ограничений, сервитутов и других неудобств в использовании – не зарегистрировано.</t>
  </si>
  <si>
    <t>нежилое помещение №8 с кадастровым номером 74:33:0316002:1546, площадью 130,0 кв.м., по адресу: Россия, Челябинская область, город Магнитогорск, улица Набережная, дом 20.</t>
  </si>
  <si>
    <t>Наименование Имущества – нежилое помещение 000 004Кадастровый номер – 74:42:0103001:1623Адрес (местоположение) – Челябинская область, г. Трехгорный, ул. Карла Маркса,       д. 58, помещение № 000 004.Техническая характеристика:Назначение – нежилоеФактическое использование – не используетсяПлощадь – 261,2 кв. м Этаж № 1 Год ввода в эксплуатацию 1972Строительные характеристики:Наружные стены (материал)Кирпичные, облицовка – профилированная жестьПерегородки (материал)Кирпичные, гипсобетонныеПерекрытия Железобетонные плитыПолыБетонные, линолеум, керамическая плитка Дверные проемы Простые, улучшенного качества Оконные проемыПВХВнутренняя отделкаМасляная окраска, обои, керамическая плитка, побелка. Требуется косметический ремонт.Системы инженерного обеспечения: электроснабжение, отопление, водоснабжение,  канализация. Состояние удовлетворительное.</t>
  </si>
  <si>
    <t>нежилое помещение №1 с кадастровым номером 74:33:0213002:3787, площадью 20,0 кв.м., по адресу: Россия, Челябинская область, город Магнитогорск, проспект Ленина, дом 91, корпус 1.</t>
  </si>
  <si>
    <t>нежилое помещение, назначение: нежилое, общей площадью 91,10 кв.м., этаж № 01, с кадастровым номером: 74:30:0104007:3297, расположенное по адресу: Россия, Челябинская область, г. Копейск, пр-т Коммунистический,13, помещение 4Подробное описание указано в аукционной документации</t>
  </si>
  <si>
    <t>Нежилое помещение (в здании детского сада)</t>
  </si>
  <si>
    <t>Помещение, назначение: нежилое, площадь 248,5 кв.м., этаж № 1, кадастровый номер 76:20:020101:210, расположенное по адресу: Ярославская область, г. Рыбинск, ул. Вяземского, д. 9, пом. II . Земельный участок: в аренду.</t>
  </si>
  <si>
    <t>Помещение, назначение: нежилое, площадь 156,2 кв.м., этаж № 01, кадастровый номер 76:20:030710:39, расположенное по адресу: Ярославская область, Рыбинский р-н, г. Рыбинск, пер. Майский, д. 8, пом. I. Земельный участок: в долевую собственность.</t>
  </si>
  <si>
    <t>помещение, назначение: нежилое, площадь 127,8 кв.м, этаж № 02, расположенное по адресу: Ярославская область, р-н. Рыбинский, г. Рыбинск, ул. Стоялая, д.20, пом. 2. Земельный участок: в долевую собственность.</t>
  </si>
  <si>
    <t>Помещение, назначение: нежилое, площадь 573,3 кв. м, цокольный этаж, расположенное по адресу: Ярославская область, г. Рыбинск, ул. 9 Мая, д. 17, пом. I. Земельный участок: в долевую собственность.</t>
  </si>
  <si>
    <t>Помещение, назначение: нежилое, площадь 68,8 кв.м., этаж № 03, расположенное по адресу: Ярославская область, г. Рыбинск, ул. Стоялая, д. 20, пом. 3. Земельный участок: в долевую собственность.</t>
  </si>
  <si>
    <t>Нежилые помещения, в составе:помещение, назначение: нежилое, площадь 32,0 кв.м., этаж № 2; номер на поэтажном плане 1, кадастровый номер 76:20:080418:133;  помещение, назначение: нежилое, площадь 180,9 кв.м., этаж № 2; номер на поэтажном плане 2, кадастровый номер 76:20:080418:135;помещение, назначение: нежилое, площадь 187,9 кв.м., этаж № 3; номер на поэтажном плане 3, кадастровый номер 76:20:080418:134, расположенные по адресу: РФ, ЯО, г. Рыбинск, ул. Стоялая, д. 14. Земельный участок: в аренду.</t>
  </si>
  <si>
    <t>Помещение, назначение: нежилое, общая площадь 378,8  кв.м., этаж № 1, расположенное по адресу: Российская Федерация, Ярославская область, городской округ город Рыбинск, город Рыбинск, улица Ломоносова, дом 19, помещение 2а. Земельный участок: в аренду.</t>
  </si>
  <si>
    <t>Помещение, назначение: нежилое,  площадь 351,6 кв.м., этаж № 1, кадастровый номер 76:20:110105:512, расположенное по адресу: Российская Федерация, Ярославская область, г. Рыбинск, ул. Расплетина,  д. 9, пом. III-1-эт. №1-19. Земельный участок: в долевую собственность.</t>
  </si>
  <si>
    <t>недвижимое имущество общей площадью 389,3 кв. м, расположенное по адресу: г. Ярославль, ул. Дружная, д. 26, в составе:- помещений, назначение: нежилое, общая площадь 245,2 кв. м, этаж: 1, номера на поэтажном плане 1-19, 40,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зарегистрировано;- помещений, назначение: нежилое, общая площадь 144,1 кв. м, этаж: 2, номера на поэтажном плане 12-27,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зарегистрировано.</t>
  </si>
  <si>
    <t>Помещение, назначение: нежилое, площадь 226,3 кв.м., этаж № 1, кадастровый номер 76:20:020101:1197, расположенное по адресу: Ярославская область, г. Рыбинск, ул. Рокоссовского, д.9, пом. 75 - 84. Земельный участок: в долевую собственность.</t>
  </si>
  <si>
    <t>Помещение, назначение: нежилое, площадь 144,6 кв.м, этаж № 1, кадастровый номер 76:20:100205:1176, расположенное по адресу: Ярославская область, г. Рыбинск, ул. Боткина, д. 15, пом. I. Земельный участок: в долевую собственность.</t>
  </si>
  <si>
    <t>Помещение, назначение: нежилое, площадь 32,6 кв.м, этаж №1, расположенное по адресу: Ярославская область, г. Рыбинск, ул. Моторостроителей, д.11, пом VII. Земельный участок: в долевую собственность.</t>
  </si>
  <si>
    <t>помещения, назначение: нежилое, общая площадь 321,8 кв. м, этаж: 3, номера на поэтажном плане 1 – 16, вход через помещения, принадлежащие третьим лицам, расположенные по адресу: г. Ярославль, Тепловой пер., д. 13, существующие ограничения (обременения) права: не зарегистрировано.</t>
  </si>
  <si>
    <t>Помещение, назначение: нежилое, площадь 57,7 кв. м, этаж № 01, расположенное по адресу: Ярославская область, г. Рыбинск, ул. Захарова/Моховая, д. 33/2, пом. I. Земельный участок: в долевую собственность.</t>
  </si>
  <si>
    <t>ЛОТ №24 (Вторичные) Нежилое помещение, назначение: нежилое, площадь: 45,8 кв. м, кадастровый №76:23:010101:180233. Адрес: ЯО, г. Ярославль, ул. Автозаводская, напротив д. 7/2, бокс 20. Собственник имущества: Кротов Ю.А.</t>
  </si>
  <si>
    <t>недвижимое имущество общей площадью 25,1 кв. м, расположенное по адресу: г. Ярославль, ул. 1905 года, д. 6, в составе:- помещение, назначение: нежилое, общая площадь 3,2 кв. м, в том числе без разрешения перепланировано 3,2 кв. м, этаж: 1, номер на поэтажном плане 65, существующие ограничения (обременения) права: не зарегистрировано;- помещения, назначение: нежилое, общая площадь 21,9 кв. м, в том числе без разрешения перепланировано 9,2 кв. м, этаж: 1, номера на поэтажном плане 63, 64, существующие ограничения (обременения) права: не зарегистрировано.Победитель торгов обязан обеспечить через собственные помещения доступ в помещение 1 этажа, принадлежащее третьим лицам.</t>
  </si>
  <si>
    <t>помещения, назначение: нежилое, общая площадь 270,7 кв. м, этаж: 1, номера на поэтажном плане 3-17, 35, расположенные по адресу: г. Ярославль, ул. Колышкина, д. 62, существующие ограничения (обременения) права: не зарегистрировано.</t>
  </si>
  <si>
    <t>ЛОТ №6 Помещение, назначение объекта: нежилое, площадь объекта:  19 кв. м, кадастровый №76:17:101103:175. Адрес объектов: ЯО, Ярославский район, п. Красный Бор, ул. Большая Заозерная, д. 2, пом. 4. Собственник имущества: Богданов С.Н.</t>
  </si>
  <si>
    <t>ЛОТ №7 Помещение, назначение объекта: нежилое, площадь объекта:  18,6 кв. м, кадастровый №76:17:101103:166. Адрес объектов: ЯО, Ярославский район, п. Красный Бор, ул. Большая Заозерная, д. 2, пом. 5. Собственник имущества: Богданов С.Н.</t>
  </si>
  <si>
    <t>ЛОТ №3 Помещение, назначение объекта: нежилое, площадь объекта:  20,1 кв. м, кадастровый №76:17:101103:163. Адрес объектов: ЯО, Ярославский район, п. Красный Бор, ул. Большая Заозерная, д. 2, пом. 1. Собственник имущества: Богданов С.Н.</t>
  </si>
  <si>
    <t>ЛОТ №8 Помещение, назначение объекта: нежилое, площадь объекта:  18,9 кв. м, кадастровый №76:17:101103:167. Адрес объектов: ЯО, Ярославский район, п. Красный Бор, ул. Большая Заозерная, д. 2, пом. 6. Собственник имущества: Богданов С.Н.</t>
  </si>
  <si>
    <t>ЛОТ №4 Помещение, назначение объекта: нежилое, площадь объекта:  18,9 кв. м, кадастровый №76:17:101103:164. Адрес объектов: ЯО, Ярославский район, п. Красный Бор, ул. Большая Заозерная, д. 2, пом. 2. Собственник имущества: Богданов С.Н.</t>
  </si>
  <si>
    <t>ЛОТ №5 Помещение, назначение объекта: нежилое, площадь объекта:  19,1 кв. м, кадастровый №76:17:101103:165. Адрес объектов: ЯО, Ярославский район, п. Красный Бор, ул. Большая Заозерная, д. 2, пом. 3. Собственник имущества: Богданов С.Н.</t>
  </si>
  <si>
    <t>Помещение, назначение: нежилое, площадь 74,3 кв.м, этаж № 1, расположенное по адресу: Ярославская область, г. Рыбинск, ул. Крестовая, д.27, пом. III. Земельный участок: в долевую собственность.</t>
  </si>
  <si>
    <t>помещение, назначение: нежилое, площадь 127,2 кв.м., этаж № 2, кадастровый номер 76:20:080418:109, расположенное по адресу: Ярославская область, г. Рыбинск, ул. Крестовая/Стоялая, д. 31/8, пом. II. Выявленный объект культурного наследия «Гостиница Быкова 1802 г.-1890 г.». Земельный участок: в долевую собственность.</t>
  </si>
  <si>
    <t>ЛОТ №7 (Вторичные) Нежилое помещение, назначение: нежилое, площадь: 24,4 кв. м, кадастровый №76:23:010101:193241. Адрес: ЯО, г. Ярославль, ул. Рыбинская, д. 7, пом. 13. Собственник имущества: Старикова И.В.</t>
  </si>
  <si>
    <t>Проведение продажи на аукционе земельного участка общей площадью 387 кв. м, кадастровый номер 86:06:0020117:167, РНФИ П1.1.840003850, адрес: Ханты-Мансийский автономный округ - Югра, г. Белоярский, уч. 15/2, Промзона-2 с расположенным на нем объектом недвижимого имущества - нежилое здание, площадь 334,4 кв. м., кадастровый номер 86:06:0020117:254, РНФИ П 1.2.840000423</t>
  </si>
  <si>
    <t>Проведение продажи на аукционе земельного участка общей площадью 735 кв. м, кадастровый номер 86:06:0020117:168, РНФИ П1.1.840003849, адрес: Ханты-Мансийский автономный округ - Югра, г. Белоярский, уч. 15/3, Промзона - 2, с расположенным на нем объектом недвижимого имущества – нежилое здание, площадь 966,6 кв. м., кадастровый номер 86:06:0020117:255, РНФИ П1.2.840000426</t>
  </si>
  <si>
    <t>Проведение продажи на аукционе земельного участка общей площадью 512 кв. м, кадастровый номер 86:06:0020117:169, РНФИ П1.1.840003848, адрес: Ханты-Мансийский автономный округ - Югра, г. Белоярский, Промзона-2, с расположенным на нем объектом недвижимого имущества – нежилое здание, площадь 143 кв.м., кадастровый номер86:06:0020117:295, РНФИ П1.2.840000424</t>
  </si>
  <si>
    <t>Нежилое помещение, общей площадью 129,6 кв.м., с кадастровым номером Проведение продажи на аукционе нежилого помещения, общей площадью 129,6 кв.м., с кадастровым номером 86:11:0000000:74264, РНФИ П13840000614, расположенное по адресу: Ханты-Мансийский автономный округ – Югра, г. Нижневартовск, Жилая Зона, ул. Мира, д. 23а, помещения 1002, 1003, 1004</t>
  </si>
  <si>
    <t>Проведение продажи на аукционе земельного участка общей площадью 123 кв. м, кадастровый номер 86:10:0101164:930, РНФИ П11840003667, адрес: Ханты-Мансийский автономный округ - Югра, город Сургут, улица Индустриальная, (8 промузел), участок 1, с расположенным на нем объектом недвижимого имущества – нежилое здание, площадь 107,4 кв. м., кадастровый номер 86:10:0101000:4494, РНФИ П12840000540</t>
  </si>
  <si>
    <t>Нежилое помещение №1, назначение: нежилое, общая площадь 579,5 кв.м., этаж 1, этаж 2, кадастровый номер 86:19:0010412:1435, адрес (местонахождение) объекта: Ханты-Мансийский автономный округ – Югра, город Мегион, ул. Советская, д.19, пом.1</t>
  </si>
  <si>
    <t>Проведение продажи на аукционе нежилого помещения, расположенного по адресу: Ханты-Мансийский автономный округ - Югра, г. Нижневартовск, ул. Маршала Жукова, д. 5, помещение 1008, площадью 315,2 кв.м., кадастровый номер 86:11:0000000:61003, РНФИ П13840000100</t>
  </si>
  <si>
    <t>Согласно приложению № 1 к информационному сообщению</t>
  </si>
  <si>
    <t>22.08.22 15:00</t>
  </si>
  <si>
    <t>14.09.22 20:59</t>
  </si>
  <si>
    <t>30.08.22 05:00</t>
  </si>
  <si>
    <t>31.08.22 03:00</t>
  </si>
  <si>
    <t>30.08.22 12:00</t>
  </si>
  <si>
    <t>07.09.22 08:00</t>
  </si>
  <si>
    <t>04.09.22 20:59</t>
  </si>
  <si>
    <t>24.08.22 12:00</t>
  </si>
  <si>
    <t>26.08.22 19:00</t>
  </si>
  <si>
    <t>13.09.22 13:00</t>
  </si>
  <si>
    <t>05.09.22 19:00</t>
  </si>
  <si>
    <t>20.09.22 06:00</t>
  </si>
  <si>
    <t>23.08.22 09:00</t>
  </si>
  <si>
    <t>05.09.22 00:00</t>
  </si>
  <si>
    <t>25.08.22 02:00</t>
  </si>
  <si>
    <t>01.09.22 09:00</t>
  </si>
  <si>
    <t>14.09.22 09:00</t>
  </si>
  <si>
    <t>15.09.22 12:00</t>
  </si>
  <si>
    <t>10.09.22 13:30</t>
  </si>
  <si>
    <t>29.08.22 07:00</t>
  </si>
  <si>
    <t>08.09.22 21:00</t>
  </si>
  <si>
    <t>24.09.22 14:00</t>
  </si>
  <si>
    <t>29.08.22 21:00</t>
  </si>
  <si>
    <t>31.08.22 21:00</t>
  </si>
  <si>
    <t>10.09.22 14:00</t>
  </si>
  <si>
    <t>17.09.22 21:00</t>
  </si>
  <si>
    <t>23.08.22 14:00</t>
  </si>
  <si>
    <t>14.09.22 14:00</t>
  </si>
  <si>
    <t>09.09.22 14:00</t>
  </si>
  <si>
    <t>06.09.22 14:00</t>
  </si>
  <si>
    <t>26.08.22 12:00</t>
  </si>
  <si>
    <t>31.08.22 12:00</t>
  </si>
  <si>
    <t>21.08.22 13:30</t>
  </si>
  <si>
    <t>04.09.22 21:00</t>
  </si>
  <si>
    <t>30.08.22 09:00</t>
  </si>
  <si>
    <t>27.08.22 05:00</t>
  </si>
  <si>
    <t>05.09.22 13:27</t>
  </si>
  <si>
    <t>05.09.22 12:30</t>
  </si>
  <si>
    <t>29.08.22 12:30</t>
  </si>
  <si>
    <t>23.08.22 12:30</t>
  </si>
  <si>
    <t>06.09.22 13:55</t>
  </si>
  <si>
    <t>15.09.22 15:00</t>
  </si>
  <si>
    <t>12.09.22 14:00</t>
  </si>
  <si>
    <t>24.08.22 04:00</t>
  </si>
  <si>
    <t>05.09.22 08:00</t>
  </si>
  <si>
    <t>20.09.22 05:00</t>
  </si>
  <si>
    <t>22.08.22 14:00</t>
  </si>
  <si>
    <t>31.08.22 04:00</t>
  </si>
  <si>
    <t>13.09.22 10:00</t>
  </si>
  <si>
    <t>28.08.22 20:59</t>
  </si>
  <si>
    <t>25.08.22 21:00</t>
  </si>
  <si>
    <t>11.09.22 07:00</t>
  </si>
  <si>
    <t>05.09.22 15:00</t>
  </si>
  <si>
    <t>31.08.22 17:00</t>
  </si>
  <si>
    <t>05.09.22 10:00</t>
  </si>
  <si>
    <t>04.09.22 10:00</t>
  </si>
  <si>
    <t>30.08.22 10:00</t>
  </si>
  <si>
    <t>22.08.22 10:00</t>
  </si>
  <si>
    <t>12.09.22 06:00</t>
  </si>
  <si>
    <t>12.09.22 10:00</t>
  </si>
  <si>
    <t>12.09.22 02:00</t>
  </si>
  <si>
    <t>28.08.22 00:00</t>
  </si>
  <si>
    <t>12.09.22 05:00</t>
  </si>
  <si>
    <t>22.08.22 02:00</t>
  </si>
  <si>
    <t>13.09.22 15:00</t>
  </si>
  <si>
    <t>21.08.22 21:00</t>
  </si>
  <si>
    <t>25.08.22 15:00</t>
  </si>
  <si>
    <t>06.09.22 10:00</t>
  </si>
  <si>
    <t>12.09.22 07:00</t>
  </si>
  <si>
    <t>06.09.22 05:00</t>
  </si>
  <si>
    <t>16.09.22 07:00</t>
  </si>
  <si>
    <t>06.09.22 07:00</t>
  </si>
  <si>
    <t>10.09.22 08:00</t>
  </si>
  <si>
    <t>25.08.22 19:00</t>
  </si>
  <si>
    <t>16.09.22 08:00</t>
  </si>
  <si>
    <t>14.09.22 17:00</t>
  </si>
  <si>
    <t>25.08.22 14:00</t>
  </si>
  <si>
    <t>23.09.22 20:00</t>
  </si>
  <si>
    <t>09.09.22 20:59</t>
  </si>
  <si>
    <t>28.08.22 12:00</t>
  </si>
  <si>
    <t>06.09.22 20:00</t>
  </si>
  <si>
    <t>12.09.22 13:00</t>
  </si>
  <si>
    <t>07.09.22 15:00</t>
  </si>
  <si>
    <t>16.09.22 15:00</t>
  </si>
  <si>
    <t>23.08.22 15:00</t>
  </si>
  <si>
    <t>24.08.22 15:00</t>
  </si>
  <si>
    <t>29.08.22 15:00</t>
  </si>
  <si>
    <t>30.08.22 14:00</t>
  </si>
  <si>
    <t>09.09.22 10:00</t>
  </si>
  <si>
    <t>15.09.22 10:00</t>
  </si>
  <si>
    <t>29.08.22 10:00</t>
  </si>
  <si>
    <t>29.08.22 13:30</t>
  </si>
  <si>
    <t>03.09.22 14:00</t>
  </si>
  <si>
    <t>18.09.22 13:00</t>
  </si>
  <si>
    <t>21.08.22 14:30</t>
  </si>
  <si>
    <t>03.10.22 14:30</t>
  </si>
  <si>
    <t>30.08.22 14:30</t>
  </si>
  <si>
    <t>23.08.22 14:30</t>
  </si>
  <si>
    <t>07.09.22 20:59</t>
  </si>
  <si>
    <t>16.09.22 20:59</t>
  </si>
  <si>
    <t>20.09.22 13:00</t>
  </si>
  <si>
    <t>28.09.22 13:00</t>
  </si>
  <si>
    <t>31.08.22 13:00</t>
  </si>
  <si>
    <t>27.08.22 20:59</t>
  </si>
  <si>
    <t>21.09.22 20:59</t>
  </si>
  <si>
    <t>05.09.22 06:00</t>
  </si>
  <si>
    <t>29.08.22 06:00</t>
  </si>
  <si>
    <t>04.09.22 15:00</t>
  </si>
  <si>
    <t>06.09.22 15:00</t>
  </si>
  <si>
    <t>23.08.22 02:00</t>
  </si>
  <si>
    <t>29.08.22 09:00</t>
  </si>
  <si>
    <t>02.09.22 15:00</t>
  </si>
  <si>
    <t>24.08.22 20:00</t>
  </si>
  <si>
    <t>08.09.22 07:00</t>
  </si>
  <si>
    <t>18.09.22 21:00</t>
  </si>
  <si>
    <t>31.08.22 22:00</t>
  </si>
  <si>
    <t>21.08.22 17:00</t>
  </si>
  <si>
    <t>08.09.22 16:59</t>
  </si>
  <si>
    <t>25.08.22 13:00</t>
  </si>
  <si>
    <t>25.08.22 16:59</t>
  </si>
  <si>
    <t>25.08.22 05:00</t>
  </si>
  <si>
    <t>08.09.22 22:00</t>
  </si>
  <si>
    <t>22.08.22 13:00</t>
  </si>
  <si>
    <t>04.09.22 20:00</t>
  </si>
  <si>
    <t>07.09.22 14:00</t>
  </si>
  <si>
    <t>19.09.22 13:00</t>
  </si>
  <si>
    <t>24.08.22 12:30</t>
  </si>
  <si>
    <t>31.08.22 12:30</t>
  </si>
  <si>
    <t>31.08.22 14:00</t>
  </si>
  <si>
    <t>27.08.22 14:00</t>
  </si>
  <si>
    <t>01.09.22 21:00</t>
  </si>
  <si>
    <t>26.08.22 20:59</t>
  </si>
  <si>
    <t>30.08.22 20:00</t>
  </si>
  <si>
    <t>26.08.22 07:00</t>
  </si>
  <si>
    <t>26.09.22 15:00</t>
  </si>
  <si>
    <t>21.09.22 15:00</t>
  </si>
  <si>
    <t>22.09.22 15:00</t>
  </si>
  <si>
    <t>12.09.22 15:00</t>
  </si>
  <si>
    <t>19.09.22 15:00</t>
  </si>
  <si>
    <t>08.09.22 15:00</t>
  </si>
  <si>
    <t>26.08.22 15:00</t>
  </si>
  <si>
    <t>20.09.22 15:00</t>
  </si>
  <si>
    <t>31.08.22 07:00</t>
  </si>
  <si>
    <t>14.09.22 07:00</t>
  </si>
  <si>
    <t>16.09.22 20:00</t>
  </si>
  <si>
    <t>05.09.22 20:00</t>
  </si>
  <si>
    <t>09.09.22 07:00</t>
  </si>
  <si>
    <t>16.09.22 13:00</t>
  </si>
  <si>
    <t>06.09.22 20:59</t>
  </si>
  <si>
    <t>22.08.22 12:00</t>
  </si>
  <si>
    <t>23.08.22 12:00</t>
  </si>
  <si>
    <t>05.09.22 14:00</t>
  </si>
  <si>
    <t>09.09.22 09:00</t>
  </si>
  <si>
    <t>31.08.22 16:00</t>
  </si>
  <si>
    <t>05.09.22 17:59</t>
  </si>
  <si>
    <t>29.08.22 17:59</t>
  </si>
  <si>
    <t>12.09.22 12:00</t>
  </si>
  <si>
    <t>12.09.22 11:00</t>
  </si>
  <si>
    <t>25.08.22 09:00</t>
  </si>
  <si>
    <t>07.09.22 04:00</t>
  </si>
  <si>
    <t>11.09.22 06:00</t>
  </si>
  <si>
    <t>09.09.22 20:00</t>
  </si>
  <si>
    <t>24.08.22 14:00</t>
  </si>
  <si>
    <t>26.08.22 14:00</t>
  </si>
  <si>
    <t>23.08.22 21:00</t>
  </si>
  <si>
    <t>30.08.22 19:59</t>
  </si>
  <si>
    <t>25.08.22 17:00</t>
  </si>
  <si>
    <t>28.08.22 13:00</t>
  </si>
  <si>
    <t>26.08.22 13:00</t>
  </si>
  <si>
    <t>14.09.22 18:59</t>
  </si>
  <si>
    <t>25.08.22 18:59</t>
  </si>
  <si>
    <t>13.09.22 20:59</t>
  </si>
  <si>
    <t>02.09.22 14:00</t>
  </si>
  <si>
    <t>03.10.22 15:00</t>
  </si>
  <si>
    <t>01.09.22 07:00</t>
  </si>
  <si>
    <t>07.09.22 07:00</t>
  </si>
  <si>
    <t>21.09.22 13:00</t>
  </si>
  <si>
    <t>07.09.22 13:00</t>
  </si>
  <si>
    <t>09.09.22 13:00</t>
  </si>
  <si>
    <t>14.09.22 13:00</t>
  </si>
  <si>
    <t>09.09.22 05:00</t>
  </si>
  <si>
    <t>05.09.22 12:00</t>
  </si>
  <si>
    <t>06.09.22 19:59</t>
  </si>
  <si>
    <t>27.08.22 10:00</t>
  </si>
  <si>
    <t>22.08.22 14:30</t>
  </si>
  <si>
    <t>11.09.22 19:00</t>
  </si>
  <si>
    <t>18.09.22 19:00</t>
  </si>
  <si>
    <t>05.09.22 14:30</t>
  </si>
  <si>
    <t>14.09.22 14:30</t>
  </si>
  <si>
    <t>13.09.22 14:00</t>
  </si>
  <si>
    <t>28.08.22 14:00</t>
  </si>
  <si>
    <t>22.08.22 11:00</t>
  </si>
  <si>
    <t>02.09.22 10:00</t>
  </si>
  <si>
    <t>24.08.22 10:00</t>
  </si>
  <si>
    <t>21.08.22 11:00</t>
  </si>
  <si>
    <t>08.09.22 14:00</t>
  </si>
  <si>
    <t>29.08.22 04:00</t>
  </si>
  <si>
    <t>05.09.22 05:00</t>
  </si>
  <si>
    <t>30.08.22 19:00</t>
  </si>
  <si>
    <t>05.09.22 09:00</t>
  </si>
  <si>
    <t>22.08.22 09:00</t>
  </si>
  <si>
    <t>29.08.22 12:00</t>
  </si>
  <si>
    <t>05.09.22 13:00</t>
  </si>
  <si>
    <t>06.09.22 12:00</t>
  </si>
  <si>
    <t>15.09.22 14:00</t>
  </si>
  <si>
    <t>31.08.22 20:59</t>
  </si>
  <si>
    <t>12.09.22 20:59</t>
  </si>
  <si>
    <t>01.09.22 13:00</t>
  </si>
  <si>
    <t>28.08.22 07:00</t>
  </si>
  <si>
    <t>23.08.22 13:00</t>
  </si>
  <si>
    <t>06.09.22 04:00</t>
  </si>
  <si>
    <t>Респ Адыгея, Майкопский р-н, ст-ца Абадзехская, ул Телеграфная, стр 2Е/1</t>
  </si>
  <si>
    <t>г Майкоп, ул Димитрова, д 25</t>
  </si>
  <si>
    <t>Респ Башкортостан, Илишевский р-н, деревня Кызыл-Юлдуз, ул Ленина, д 21 к а</t>
  </si>
  <si>
    <t>Респ Башкортостан, Илишевский р-н, село Игметово, ул Ленина, д 7</t>
  </si>
  <si>
    <t>Респ Башкортостан, Краснокамский р-н, деревня Раздолье, ул Новая, д 10</t>
  </si>
  <si>
    <t>Респ Башкортостан, Чишминский р-н, село Сафарово, ул Молодежная, д 2, кв 1</t>
  </si>
  <si>
    <t>Респ Башкортостан, Уфимский р-н, деревня Вавилово, ул Заречная, зд 2/1</t>
  </si>
  <si>
    <t>г Уфа, ул Новоженова, д 86 к 2</t>
  </si>
  <si>
    <t>Респ Башкортостан, г Октябрьский, ул Первомайская, д 3а</t>
  </si>
  <si>
    <t>Респ Башкортостан, Чишминский р-н, село Салихово</t>
  </si>
  <si>
    <t>Респ Башкортостан, г Октябрьский, мкр 34-й, д 11 к 2</t>
  </si>
  <si>
    <t>Респ Башкортостан, г Нефтекамск, ул Социалистическая, д 39</t>
  </si>
  <si>
    <t>г Уфа, ул Рабочая, д 36</t>
  </si>
  <si>
    <t>Респ Башкортостан, г Стерлитамак, ул Мира, д 57</t>
  </si>
  <si>
    <t>Респ Башкортостан, г Нефтекамск, ул Ленина, д 66В</t>
  </si>
  <si>
    <t>Республика Башкортостан, г. Уфа, ул. Шота Руставелли, д. 26, к. 4</t>
  </si>
  <si>
    <t>Респ Башкортостан, г Октябрьский, ул Клинова, д 9, помещ 365</t>
  </si>
  <si>
    <t>г Уфа, ул Менделеева, д 108</t>
  </si>
  <si>
    <t>г Уфа, ул Менделеева, д 10, офис 5</t>
  </si>
  <si>
    <t>г Уфа, ул Менделеева, д 10, офис 6</t>
  </si>
  <si>
    <t>г Уфа, ул Энтузиастов, д 2</t>
  </si>
  <si>
    <t>г Уфа, пр-кт Октября, д 63/4, кв 20</t>
  </si>
  <si>
    <t>г Уфа, пр-кт Октября, д 3</t>
  </si>
  <si>
    <t>Республика Бурятия, г. Улан-Удэ, ул. Гранитная, д.1</t>
  </si>
  <si>
    <t>Северо-Байкальский район, пос. Нижнеангарск, ул. Победы, д.55</t>
  </si>
  <si>
    <t>Респ Бурятия, Прибайкальский р-н, село Турунтаево, ул Ленина, д 94Б</t>
  </si>
  <si>
    <t>г Улан-Удэ, ул Гастелло, д 7</t>
  </si>
  <si>
    <t>г Улан-Удэ, пер Невского, д 4А</t>
  </si>
  <si>
    <t>г Петрозаводск, р-н Октябрьский, ул Советская, д 31</t>
  </si>
  <si>
    <t>Респ Карелия, г Костомукша, ул Октябрьская, д 3</t>
  </si>
  <si>
    <t>Респ Карелия, Прионежский р-н, поселок Мелиоративный, ул Строительная, д 6а</t>
  </si>
  <si>
    <t>г Петрозаводск, р-н Сулажгора, ул Жуковского, д 63А</t>
  </si>
  <si>
    <t>Респ Карелия, г Сортавала, ул Вяйнемяйнена, д 6</t>
  </si>
  <si>
    <t>Респ Коми, г Ухта, ул Моторная, д 1/9</t>
  </si>
  <si>
    <t>Респ Коми, г Ухта, ул Железнодорожная, д 16А</t>
  </si>
  <si>
    <t>Респ Коми, г Печора, ул Гагарина, д 53а</t>
  </si>
  <si>
    <t>Респ Коми, г Ухта, пгт Шудаяг, ул Шахтинская, д 5а, помещ 1Н</t>
  </si>
  <si>
    <t>Респ Коми, г Ухта, пгт Ярега, ул Строительная, д 1</t>
  </si>
  <si>
    <t>Респ Коми, село Визинга, ул Советская, уч 13А</t>
  </si>
  <si>
    <t>Респ Коми, Сыктывдинский р-н, село Ыб, местечко Погост, д 90</t>
  </si>
  <si>
    <t>Респ Коми, г Ухта, пр-кт Ленина, д 41</t>
  </si>
  <si>
    <t>Респ Марий Эл, пгт Морки, ул Мира, д 42</t>
  </si>
  <si>
    <t>Респ Марий Эл, пгт Новый Торъял, ул Юбилейная, д 4</t>
  </si>
  <si>
    <t>г Йошкар-Ола, ул Баумана, д 100</t>
  </si>
  <si>
    <t>г Йошкар-Ола, б-р Ураева, д 6/1, помещ 4</t>
  </si>
  <si>
    <t>г Йошкар-Ола, б-р Ураева, д 6/1, помещ 1</t>
  </si>
  <si>
    <t>г. Саранск, территория Кирзавода, д. № 19 А;</t>
  </si>
  <si>
    <t>г Саранск, ул Коммунистическая, д 127</t>
  </si>
  <si>
    <t>г Саранск, ул Ульянова, д 18А</t>
  </si>
  <si>
    <t>Респ Мордовия, г Ковылкино, ул Королева, д 1, помещ 1</t>
  </si>
  <si>
    <t>Респ Мордовия, г Ковылкино, ул Королева, д 1, помещ 2</t>
  </si>
  <si>
    <t>Респ Мордовия, г Ковылкино, ул Королева, д 1, помещ 3</t>
  </si>
  <si>
    <t>г Саранск, ул Вакеева, д 5</t>
  </si>
  <si>
    <t>г Саранск, ул Косарева, д 19</t>
  </si>
  <si>
    <t>Чамзинский р-н, р.п. Комсомольский, ул. Микрорайон-2,  д. 31</t>
  </si>
  <si>
    <t>г Саранск, ул Ботевградская, д 25</t>
  </si>
  <si>
    <t>г. Саранск,                            ул. Полежаева, д. № 163.</t>
  </si>
  <si>
    <t>г Саранск, ул Федосеенко, д 17</t>
  </si>
  <si>
    <t>Респ Татарстан, Тетюшский р-н, село Кляшево, ул Ленина, д 12а, помещ 1000</t>
  </si>
  <si>
    <t>г Казань, ул Главная, д 69б, помещ 1004</t>
  </si>
  <si>
    <t>Республика Татарстан Алексеевский муниципаль-ный район, пгт.Алексеевское ул.Казакова 9Б</t>
  </si>
  <si>
    <t>г Казань, ул Галиаскара Камала, д 20/7, помещ 1201</t>
  </si>
  <si>
    <t>Удмуртская Респ, г Воткинск, ул Молодежная, д 1</t>
  </si>
  <si>
    <t>Удмуртская Респ, г Можга, ул Ленина, д 4</t>
  </si>
  <si>
    <t>Удмуртская Респ, г Можга, ул Весенняя, д 12</t>
  </si>
  <si>
    <t>г. Ижевск, ул. Четырнадцатая, д. 60а</t>
  </si>
  <si>
    <t>Удмуртская Респ, г Воткинск, ул Ленина, д 2</t>
  </si>
  <si>
    <t>г Ижевск, ул Городок Машиностроителей, д 66</t>
  </si>
  <si>
    <t>Чеченская Респ, г Урус-Мартан, ул Хаваджи Магомед-Мирзоева, д 12Б</t>
  </si>
  <si>
    <t>Чувашская республика - Чувашия, Алатырский р-н, село Стемасы, ул 141 Стрелковой дивизии, д 36</t>
  </si>
  <si>
    <t>г Чебоксары, ул Ленинского Комсомола, д 25 к 2</t>
  </si>
  <si>
    <t>г Чебоксары, ул Ленинского Комсомола, д 25 к 1</t>
  </si>
  <si>
    <t>Алтайский край, Целинный р-он, с. Победа, ул. Ленина, 12</t>
  </si>
  <si>
    <t>Алтайский край г. Бийск, территория Полиэкс</t>
  </si>
  <si>
    <t>Алтайский край, рп Благовещенка, ул 40 лет Октября, д 2/3</t>
  </si>
  <si>
    <t>г Барнаул, ул Ярных, д 79</t>
  </si>
  <si>
    <t>г Барнаул, село Гоньба, ул Юбилейная, д 1А</t>
  </si>
  <si>
    <t>г Барнаул, ул Попова, д 60</t>
  </si>
  <si>
    <t>Алтайский край, Первомайский р-н, село Сорочий Лог, ул Центральная, влд 5а</t>
  </si>
  <si>
    <t>г Барнаул, ул Солнечная Поляна, д 49А</t>
  </si>
  <si>
    <t>г Барнаул, ул Чкалова, д 21</t>
  </si>
  <si>
    <t>г Барнаул, ул Сизова, д 26</t>
  </si>
  <si>
    <t>г Барнаул, рп Южный, пр-кт Дзержинского, д 7</t>
  </si>
  <si>
    <t>Алтайский край, г Алейск, ул Советская, д 7а</t>
  </si>
  <si>
    <t>г Барнаул, ул П.С.Кулагина, д 4</t>
  </si>
  <si>
    <t>г Барнаул, ул Малахова, д 134А</t>
  </si>
  <si>
    <t>Краснодарский край, г Армавир, ул Азовская, д 24</t>
  </si>
  <si>
    <t>Краснодарский край, г Армавир, ул Кирова, д 48</t>
  </si>
  <si>
    <t>Краснодарский край, Темрюкский р-н, ст-ца Старотитаровская, ул Заводская, д 42Б</t>
  </si>
  <si>
    <t>Краснодарский край, г Геленджик, ул Полевая, д 26</t>
  </si>
  <si>
    <t>Краснодарский край, г. Новороссийск, ул. Советов/Карла Маркса/Цедрика,  д. 68/43/3.</t>
  </si>
  <si>
    <t>Красноярский край, Енисейский р-н, село Абалаково, д 3 стр 3</t>
  </si>
  <si>
    <t>г. Ачинск, микрорайон Авиатор, здание 43</t>
  </si>
  <si>
    <t>Красноярский край, г Ачинск, ул Пузановой, д 42А</t>
  </si>
  <si>
    <t>г. Ачинск, р.п. Мазульский, ул. Нагорная, д.65А.</t>
  </si>
  <si>
    <t>Красноярский край, г Енисейск, ул Красноармейская, д 23</t>
  </si>
  <si>
    <t>Красноярский край, г Ачинск, ул Трактовая, д 3А</t>
  </si>
  <si>
    <t>г. Ачинск, р.п. Мазульский, ул. Советская, зд.2, пом.1,4,5,6,7,8,9,10,11.</t>
  </si>
  <si>
    <t>Красноярский край, г Ачинск, ул Партизанская, д 28</t>
  </si>
  <si>
    <t>Красноярский край, г Ачинск, мкр Авиатор, зд 41А</t>
  </si>
  <si>
    <t>Красноярский край, г Ачинск, мкр Авиатор, зд 47</t>
  </si>
  <si>
    <t>г. Ачинск, микрорайон Авиатор, здания 60, 62</t>
  </si>
  <si>
    <t>Красноярский край, г Ачинск, ул Пешеходная, д 30</t>
  </si>
  <si>
    <t>Красноярский край, г Ачинск, ул Привокзальная</t>
  </si>
  <si>
    <t xml:space="preserve">г. Ачинск, р.п. Мазульский, ул.Чернявского (ул. Ленина), 4, пом. 1,4,5,6. </t>
  </si>
  <si>
    <t>г. Ачинск, территория Южная Промзона, квартал 2, строения  2</t>
  </si>
  <si>
    <t>Красноярский край, г Ачинск, ул Горная</t>
  </si>
  <si>
    <t>Красноярский край, г Ачинск, ул Дружбы Народов, д 9</t>
  </si>
  <si>
    <t>Красноярский край, г Ачинск, ул Пузановой, д 46</t>
  </si>
  <si>
    <t>Красноярский край, г Дудинка, ул Советская, зд 6А, помещ 4</t>
  </si>
  <si>
    <t>г. Красноярск, пр-т Молодежный, д. 1, пом. 324, 325</t>
  </si>
  <si>
    <t>Приморский край, Кавалеровский р-н, поселок Рудный, ул Заречная, д 1б</t>
  </si>
  <si>
    <t>Приморский край, г Спасск-Дальний, ул Советская, д 64</t>
  </si>
  <si>
    <t>Приморский край, г Арсеньев, ул Победы, д 26</t>
  </si>
  <si>
    <t>Приморский край, г Уссурийск, ул Русская, д 1</t>
  </si>
  <si>
    <t>г Ставрополь, ул Ясеновская, д 56</t>
  </si>
  <si>
    <t>г Ставрополь, Врачебный проезд, д 49</t>
  </si>
  <si>
    <t>г Ставрополь, ул Орджоникидзе, д 29</t>
  </si>
  <si>
    <t>Ставропольский край, г Пятигорск, пр-кт Калинина, д 2 к 3</t>
  </si>
  <si>
    <t>г. Пятигорск,  улица Теплосерная,  дом № 30</t>
  </si>
  <si>
    <t>Ставропольский край, г Невинномысск, ул Революционная, д 6</t>
  </si>
  <si>
    <t>Ставропольский край, г Железноводск, ул Ленина, д 126</t>
  </si>
  <si>
    <t>Ставропольский край, г Железноводск, ул Чапаева, д 25</t>
  </si>
  <si>
    <t>г. Пятигорск,  улица Московская,  дом № 76, корп. № 1</t>
  </si>
  <si>
    <t>Ставропольский край, г Железноводск, поселок Иноземцево, ул Некрасова, д 2</t>
  </si>
  <si>
    <t>Ставропольский край, г Железноводск, поселок Иноземцево, ул Пролетарская, д 3Г, кв 1</t>
  </si>
  <si>
    <t>Ставропольский край, г Невинномысск, Клубный пер, д 19, помещ 1</t>
  </si>
  <si>
    <t>Хабаровский край, Амурский р-н, село Вознесенское, ул 35 лет Победы, стр 2г</t>
  </si>
  <si>
    <t>Хабаровский край, Хабаровский р-н, село Виноградовка, ул Лесная, д 7а</t>
  </si>
  <si>
    <t>г Хабаровск, Амурский б-р, д 18</t>
  </si>
  <si>
    <t>Хабаровский край, Хабаровский р-н, село Воронежское-2, ул Пионерская, д 6а</t>
  </si>
  <si>
    <t>г Хабаровск, Амурский б-р, д 36</t>
  </si>
  <si>
    <t>Амурская обл, г Тында, ул Правды, д 14</t>
  </si>
  <si>
    <t>Амурская обл, г Райчихинск, ул Победы, д 61</t>
  </si>
  <si>
    <t>Амурская область, г. Благовещенск, ул. Красноармейская, д. 102/ул. Пионерская, д. 49, пом. 52</t>
  </si>
  <si>
    <t>Амурская обл, г Белогорск, ул 1-я Вокзальная, д 13</t>
  </si>
  <si>
    <t>Архангельская обл, г Коряжма, ул Лермонтова, д 31</t>
  </si>
  <si>
    <t>Архангельская обл, г Коряжма, ул Имени Дыбцына, д 1</t>
  </si>
  <si>
    <t>г Архангельск, ул Маслова, д 35</t>
  </si>
  <si>
    <t>г Архангельск, Ленинградский пр-кт, д 1</t>
  </si>
  <si>
    <t>г. Астрахань, Кировский район,  ул. 3-я Интернациональная/ ул. Победы, д. 16/7, пом. 001</t>
  </si>
  <si>
    <t>г. Астрахань, Ленинский район,  ул. Аксакова, д. 7в,  пом. 3а, 3б, 3в</t>
  </si>
  <si>
    <t>г. Астрахань, Ленинский район,  ул. Аксакова, д. 7в, пом. 2-3, 4-7</t>
  </si>
  <si>
    <t>Астраханская обл, рп Лиман, ул Комсомольская, д 69</t>
  </si>
  <si>
    <t>г Астрахань, ул Николая Островского, д 113</t>
  </si>
  <si>
    <t>г. Астрахань, Трусовский район, ул. Гагарина/ пер. Некрасова/ ул. Тянь-Шаньская, д. 21/1/32а пом.7</t>
  </si>
  <si>
    <t>г. Астрахань, Трусовский район, ул. Парковая, д.10 пом.141</t>
  </si>
  <si>
    <t>г. Астрахань,  Советский район,  ул. Фунтовское шоссе, д.10 пом.108</t>
  </si>
  <si>
    <t>Белгородская область, р-н Ивнянский, Кировское отделение</t>
  </si>
  <si>
    <t>Белгородская обл, Борисовский р-н, село Беленькое, ул Первомайская, зд 59б</t>
  </si>
  <si>
    <t>г Белгород, ул Почтовая, д 62в, помещ 4</t>
  </si>
  <si>
    <t>Белгородская обл, Белгородский р-н, поселок Майский, ул Зеленая, д 14/2, помещ 3</t>
  </si>
  <si>
    <t>Белгородская обл, г Алексеевка, ул Республиканская, д 67</t>
  </si>
  <si>
    <t>Белгородская обл, г Старый Оскол, пр-кт Губкина, д 5</t>
  </si>
  <si>
    <t>г Белгород, ул Щорса, д 45д к 2</t>
  </si>
  <si>
    <t>г Белгород, ул Щорса, д 49, помещ 1</t>
  </si>
  <si>
    <t>г Белгород, Народный б-р, д 90</t>
  </si>
  <si>
    <t>Брянская обл, г Новозыбков, ул Коммунистическая, д 31</t>
  </si>
  <si>
    <t>г Брянск, Камвольный пер, д 10</t>
  </si>
  <si>
    <t>г Брянск, ул Одесская, д 3</t>
  </si>
  <si>
    <t>г Брянск, ул Шоссейная, д 61</t>
  </si>
  <si>
    <t>г Брянск, ул Почтовая, д 130</t>
  </si>
  <si>
    <t>г Брянск, ул Володарского, д 70</t>
  </si>
  <si>
    <t>г Брянск, ул Вокзальная, д 170</t>
  </si>
  <si>
    <t>г Брянск, Московский пр-кт, д 81 к 1</t>
  </si>
  <si>
    <t>г Брянск, рп Белые Берега, ул Коминтерна, д 24</t>
  </si>
  <si>
    <t>г Брянск, ул Мало-Завальская, д 5</t>
  </si>
  <si>
    <t>г Брянск, ул Киевская, д 63</t>
  </si>
  <si>
    <t>Владимирская обл, г Вязники, Мельничный проезд, д 4</t>
  </si>
  <si>
    <t>Владимирская обл, г Ковров, ул Фрунзе, д 2</t>
  </si>
  <si>
    <t>Владимирская обл, Вязниковский р-н, поселок Никологоры, ул Урожайная, д 45</t>
  </si>
  <si>
    <t>Владимирская обл, г Александров, ул Революции, д 51</t>
  </si>
  <si>
    <t>Владимирская обл, г Александров, ул Советская, д 48</t>
  </si>
  <si>
    <t>г Волгоград, ул им. Савкина, влд 13</t>
  </si>
  <si>
    <t>г Волгоград, ул им. Луговского, влд 3</t>
  </si>
  <si>
    <t>г Волгоград, ул Авиаторская, д 5</t>
  </si>
  <si>
    <t>г Волгоград, ул Героев Шипки, влд 49</t>
  </si>
  <si>
    <t>г Волгоград, ул 64-й Армии, д 137</t>
  </si>
  <si>
    <t>г Омск, ул Дружбы, д 79</t>
  </si>
  <si>
    <t>Волгоград, Красноармейский район, ул. им. Доценко, дом 39, пом. I</t>
  </si>
  <si>
    <t>Вологодская обл, Грязовецкий р-н, деревня Фрол, д 42, помещ 2</t>
  </si>
  <si>
    <t>Вологодская обл, Вологодский р-н, поселок Федотово, д 32</t>
  </si>
  <si>
    <t>Вологодская обл, Череповецкий р-н, село Абаканово, ул Костромцова, д 25, помещ 1</t>
  </si>
  <si>
    <t>Вологодская обл, г Череповец, пр-кт Строителей, д 23А</t>
  </si>
  <si>
    <t>г Вологда, ул Возрождения, д 74в</t>
  </si>
  <si>
    <t>Вологодская обл, г Череповец, пр-кт Луначарского, д 32</t>
  </si>
  <si>
    <t>Воронежская обл, г Лиски, ул Ульяны Громовой, зд 37/1</t>
  </si>
  <si>
    <t>г Воронеж, ул Еремеева, д 35</t>
  </si>
  <si>
    <t>г Воронеж, ул Минская, д 63а</t>
  </si>
  <si>
    <t>г Воронеж, ул Комиссаржевской, д 21</t>
  </si>
  <si>
    <t>Ивановская обл, г Кинешма, ул Маршала Василевского, д 2</t>
  </si>
  <si>
    <t>Ивановская обл, Фурмановский р-н, деревня Земляничный, д 26</t>
  </si>
  <si>
    <t>г Иваново, ул Марии Рябининой, д 26/26</t>
  </si>
  <si>
    <t>г Иваново, ул Третьего Интернационала, д 42</t>
  </si>
  <si>
    <t>Иркутская обл, г Ангарск, кв-л 73, д 6</t>
  </si>
  <si>
    <t>Иркутская обл, г Ангарск, кв-л 206, д 3</t>
  </si>
  <si>
    <t>Иркутская обл, г Ангарск, мкр 8, д 8</t>
  </si>
  <si>
    <t xml:space="preserve">Иркутская обл., г. Ангарск, кв-л 14, д. 5, пом. 2б. </t>
  </si>
  <si>
    <t>Иркутская обл, г Ангарск, кв-л 182, д 14</t>
  </si>
  <si>
    <t>Иркутская обл, г Ангарск, кв-л 93, д 5</t>
  </si>
  <si>
    <t>Иркутская обл, г Ангарск, мкр 11, д 7а</t>
  </si>
  <si>
    <t>Иркутская обл, г Нижнеудинск, ул Ленина, зд 28, помещ 2</t>
  </si>
  <si>
    <t>Иркутская обл, г Нижнеудинск, ул Комсомольская, д 1, помещ 2</t>
  </si>
  <si>
    <t>Иркутская обл, г Братск, ж/р Энергетик, ул Мечтателей, д 7а</t>
  </si>
  <si>
    <t>Иркутская обл, г Братск, ж/р Центральный, ул Снежная, д 37а</t>
  </si>
  <si>
    <t>г Иркутск, ул Депутатская, д 48, помещ 531</t>
  </si>
  <si>
    <t>Калининградская обл, Правдинский р-н, поселок Железнодорожный, ул Коммунистическая, д 74</t>
  </si>
  <si>
    <t>Калининградская обл, Правдинский р-н, поселок Фрунзенское, ул Центральная, д 7</t>
  </si>
  <si>
    <t>Калининградская обл, Правдинский р-н, поселок Железнодорожный, ул Коммунистическая, д 17</t>
  </si>
  <si>
    <t>Калининградская обл, г Гусев, ул Советская, д 19</t>
  </si>
  <si>
    <t>г Калининград, ул Шахматная, д 4В</t>
  </si>
  <si>
    <t>Калининградская обл, г Правдинск, ул Школьная, зд 8д</t>
  </si>
  <si>
    <t>Калининградская обл, г Гусев, ул Суворова, д 10, помещ 3</t>
  </si>
  <si>
    <t>г Петропавловск-Камчатский, ул Капитана Беляева, д 2</t>
  </si>
  <si>
    <t>Кемеровская область - Кузбасс, г Новокузнецк, р-н Кузнецкий, ул Метелкина, д 16</t>
  </si>
  <si>
    <t>Кемеровская область - Кузбасс, Топкинский р-н, поселок Центральный, ул Советская, д 15</t>
  </si>
  <si>
    <t>Кемеровская область - Кузбасс, г Прокопьевск, ул Есенина, зд 48</t>
  </si>
  <si>
    <t>г Кемерово, ул Ушакова</t>
  </si>
  <si>
    <t>г Кемерово, ул Леонова, д 26А</t>
  </si>
  <si>
    <t xml:space="preserve">Кемеровская область - Кузбасс, г. Прокопьевск, квартал 1 МЖК, д. 5, помещение 1п </t>
  </si>
  <si>
    <t>г Кемерово, Советский пр-кт</t>
  </si>
  <si>
    <t>Кемеровская область - Кузбасс, г Тайга, ул Интернациональная, зд 42</t>
  </si>
  <si>
    <t>г Кемерово, Кузнецкий пр-кт</t>
  </si>
  <si>
    <t>г Кемерово, ул Предзаводская</t>
  </si>
  <si>
    <t>Кемеровская область - Кузбасс, г Белово, пгт Бачатский, Финский мкр, д 27</t>
  </si>
  <si>
    <t>Кемеровская область - Кузбасс, г Таштагол, ул Ноградская, д 6</t>
  </si>
  <si>
    <t>Кемеровская область - Кузбасс, г Белово, пгт Новый Городок, ул Гражданская, д 4</t>
  </si>
  <si>
    <t>Кемеровская область - Кузбасс, г Новокузнецк, р-н Орджоникидзевский, ул Пушкина, д 22</t>
  </si>
  <si>
    <t>Кемеровская область - Кузбасс, г Белово, пгт Грамотеино, ул Колмогоровская, д 12</t>
  </si>
  <si>
    <t>Кемеровская область - Кузбасс, г Белово, пгт Бачатский, ул 50 лет Октября, д 26</t>
  </si>
  <si>
    <t>Кемеровская область - Кузбасс, г Белово, пгт Грамотеино, ул Светлая, д 10</t>
  </si>
  <si>
    <t>Кемеровская область - Кузбасс, г Белово, пгт Инской, ул Приморская, д 25</t>
  </si>
  <si>
    <t>Кемеровская область - Кузбасс, г Белово, пер Толстого, д 6</t>
  </si>
  <si>
    <t>Кемеровская область - Кузбасс, г Новокузнецк, р-н Новоильинский, ул Рокоссовского, д 21</t>
  </si>
  <si>
    <t>г Кемерово, ул Свободы, д 11</t>
  </si>
  <si>
    <t>Кировская обл, г Советск, ул Энгельса, д 59</t>
  </si>
  <si>
    <t>Кировская обл, г Кирово-Чепецк, мкр Каринторф, ул Ленинская, д 9а</t>
  </si>
  <si>
    <t>г Киров, ул Советская (Нововятский), д 68</t>
  </si>
  <si>
    <t>г. Кострома, п. Волжский, квартал  3-й, д. 25, нежилое помещение № 53 (комн. №№ 9-14)</t>
  </si>
  <si>
    <t>г Курган, ул Станционная, д 43</t>
  </si>
  <si>
    <t>г Курган, ул Карельцева, д 13</t>
  </si>
  <si>
    <t>г. Курган, ул. Коли Мяготина, д. 143/I</t>
  </si>
  <si>
    <t>Курская обл., г. Курчатов, коммунально – складская зона</t>
  </si>
  <si>
    <t>Курская обл, г Обоянь, ул Ленина, д 70А</t>
  </si>
  <si>
    <t>Курская обл, г Рыльск, ул К.Либкнехта, д 3</t>
  </si>
  <si>
    <t>Курская обл, г Рыльск, Советская пл, д 8</t>
  </si>
  <si>
    <t>Ленинградская обл, Лужский р-н, деревня Заклинье (Заклинское с/п), Батецкое шоссе, д 3</t>
  </si>
  <si>
    <t>Ленинградская обл, Выборгский р-н, г Светогорск, ул Красноармейская, д 24</t>
  </si>
  <si>
    <t>Магаданская область, Ольский район, пос. Ола, ул. Каширина, д.7А.</t>
  </si>
  <si>
    <t>Московская обл, г Луховицы, поселок Орешково, ул Парковая, д 2</t>
  </si>
  <si>
    <t>Московская обл, г Луховицы, поселок Сельхозтехника, д 24</t>
  </si>
  <si>
    <t>Московская область, р-н Павлово-Посадский, г Павловский Посад, ул Орджоникидзе, д 3/1, пом II</t>
  </si>
  <si>
    <t>Московская область, р-н Коломенский, с Макшеево, д 44, пом 1</t>
  </si>
  <si>
    <t>Московская обл, г Серпухов, ул Крюкова, д 1, помещ 3</t>
  </si>
  <si>
    <t>Московская область, р-н. Коломенский, д. Подлужье, ул. Луговая, д. 3, пом. 28</t>
  </si>
  <si>
    <t>Московская обл, г Электросталь, ул Карла Маркса, д 26, помещ 05</t>
  </si>
  <si>
    <t>Московская обл, г Электросталь, ул Первомайская, д 28, помещ 3</t>
  </si>
  <si>
    <t>Московская обл, г Долгопрудный, ул Дирижабельная, д 26</t>
  </si>
  <si>
    <t>Московская область, город Домодедово, микрорайон Белые Столбы, улица Проспект Госфильмофонда, д. ИТР, пом. 01</t>
  </si>
  <si>
    <t>Московская обл, г Пушкино, г Ивантеевка, Детский проезд, д 24, помещ 001</t>
  </si>
  <si>
    <t>Московская обл, г Долгопрудный, ул Дирижабельная, д 24</t>
  </si>
  <si>
    <t>Московская обл, г Ногинск, г Старая Купавна, проезд Текстильщиков, д 3/4, помещ 2</t>
  </si>
  <si>
    <t>Московская обл, г Коломна, ул Октябрьской революции, д 154, кв 2</t>
  </si>
  <si>
    <t>Московская область, городской округ Лыткарино, г Лыткарино, ул Ухтомского, д 25, пом III</t>
  </si>
  <si>
    <t>Московская обл, г Ногинск, ул Радченко, д 15, помещ 1</t>
  </si>
  <si>
    <t>Московская обл, г Серпухов, ул Революции, д 21/67</t>
  </si>
  <si>
    <t>Московская обл, г Ногинск, ул Октябрьская, д 85</t>
  </si>
  <si>
    <t>Московская обл, г Ногинск, ул Декабристов, д 108</t>
  </si>
  <si>
    <t>Московская обл, г Пушкино, г Ивантеевка, ул Карла Маркса, д 1, помещ 197</t>
  </si>
  <si>
    <t>Московская обл, г Электрогорск, ул Советская, д 35, помещ 8</t>
  </si>
  <si>
    <t>Московская обл, г Химки, ул Союзная, д 4</t>
  </si>
  <si>
    <t>Московская обл, г Химки, ул Союзная, стр 4, помещ 152</t>
  </si>
  <si>
    <t>Московская обл, г Ногинск, ул Московская, д 3</t>
  </si>
  <si>
    <t>Московская обл, г Ногинск, Рузинский проезд, д 4</t>
  </si>
  <si>
    <t>Московская область, городской округ Лыткарино, город Лыткарино, ул. Октябрьская, дом 12 помещение II-I</t>
  </si>
  <si>
    <t>Московская обл, г Ногинск, ул Декабристов, д 110</t>
  </si>
  <si>
    <t>Московская обл, г Долгопрудный, ул Циолковского, д 32/12</t>
  </si>
  <si>
    <t>Печенгский район, п.г.т. Никель, улица 14 Армии, д. 13, пом. II</t>
  </si>
  <si>
    <t>Мурманская обл, г Апатиты, ул Сосновая, влд 4</t>
  </si>
  <si>
    <t>г Мурманск, ул Карла Либкнехта, д 54</t>
  </si>
  <si>
    <t>Мурманская обл, г Апатиты, ул Ленина, д 33</t>
  </si>
  <si>
    <t>г Мурманск, Молодежный проезд, д 11</t>
  </si>
  <si>
    <t>г Мурманск, ул Крупской, д 40а</t>
  </si>
  <si>
    <t>Мурманская обл., МО г. Полярные Зори, ул. Ломоносова, д.16.</t>
  </si>
  <si>
    <t>г Мурманск, пр-кт Ленина, д 72</t>
  </si>
  <si>
    <t>Мурманская обл, г Ковдор, ул Кошица, д 24, помещ 1</t>
  </si>
  <si>
    <t>Мурманская обл, г Гаджиево, ул Ленина, д 56 стр 1</t>
  </si>
  <si>
    <t>Нижегородская обл, г Шахунья, ул Гагарина, д 15, помещ 1</t>
  </si>
  <si>
    <t>Нижегородская обл, г Семенов, ул Тельмана, д 7/1, помещ 4</t>
  </si>
  <si>
    <t>г Нижний Новгород, ул Юлиуса Фучика, д 40</t>
  </si>
  <si>
    <t>г Нижний Новгород, ул Коновалова, д 9, помещ П11</t>
  </si>
  <si>
    <t>г Нижний Новгород, ул Коновалова, д 9, помещ П20</t>
  </si>
  <si>
    <t>г Нижний Новгород, ул Коновалова, д 9, помещ П19</t>
  </si>
  <si>
    <t>г Нижний Новгород, ул Коновалова, д 9, помещ П12</t>
  </si>
  <si>
    <t>г Нижний Новгород, ул Коновалова, д 9, помещ П21</t>
  </si>
  <si>
    <t>г Нижний Новгород, ул Коновалова, д 9, помещ П10</t>
  </si>
  <si>
    <t>Нижегородская обл, г Кстово, пл Мира, д 6</t>
  </si>
  <si>
    <t>г Нижний Новгород, ул Культуры, д 6, помещ П3</t>
  </si>
  <si>
    <t>Новгородская обл, Новгородский р-н, деревня Сырково, ул Пролетарская, д 10</t>
  </si>
  <si>
    <t>Новосибирская обл, Татарский р-н, г Татарск, ул Закриевского, д 9</t>
  </si>
  <si>
    <t>Новосибирская обл, Коченевский р-н, село Прокудское, ул Новая</t>
  </si>
  <si>
    <t>г Новосибирск, ул Титова, д 22</t>
  </si>
  <si>
    <t>Новосибирская обл, Татарский р-н, г Татарск, ул Закриевского, д 115</t>
  </si>
  <si>
    <t>г Новосибирск, ул Овражная, д 8</t>
  </si>
  <si>
    <t>Омская область, мкр Береговой, ул. П.Г. Косенкова, д. 69</t>
  </si>
  <si>
    <t>Омская обл, Омский р-н, село Троицкое, Яснополянский пр-кт, д 15</t>
  </si>
  <si>
    <t>г Омск, ул 1-я Заводская, д 23</t>
  </si>
  <si>
    <t>Омская обл, г Калачинск, ул Ленина, д 49</t>
  </si>
  <si>
    <t>г Омск, ул Полосухина, д 86</t>
  </si>
  <si>
    <t>г Омск, мкр Входной, д 22/1</t>
  </si>
  <si>
    <t>г Омск, ул Мамина-Сибиряка, д 3</t>
  </si>
  <si>
    <t>Оренбургская область, р-н Тоцкий, c.Преображенка, пер.Школьный, д1</t>
  </si>
  <si>
    <t>Оренбургская обл, г Бугуруслан, Пилюгинское шоссе, д 3</t>
  </si>
  <si>
    <t>Оренбургская обл, поселок Тюльган, ул Шахтостроительная, д 20</t>
  </si>
  <si>
    <t>г Оренбург, село Краснохолм, ул Некрасова, д 35</t>
  </si>
  <si>
    <t>Оренбургская обл, Оренбургский р-н, поселок Первомайский, ул Симонова, д 3, помещ 3/1</t>
  </si>
  <si>
    <t>г Оренбург, ул Лукиана Попова, д 87</t>
  </si>
  <si>
    <t>Орловская обл, Шаблыкинский р-н, село Хотьково, ул Тургенева, д 9</t>
  </si>
  <si>
    <t>г Орёл, ул Машиностроительная, влд 3</t>
  </si>
  <si>
    <t>г Орёл, ул Карачевская, д 31</t>
  </si>
  <si>
    <t>г Орёл, ул Матросова, д 48</t>
  </si>
  <si>
    <t>Пензенская обл, г Сердобск, ул Лесная, зд 37</t>
  </si>
  <si>
    <t>Пензенская область, г Пенза, ул. 9 Января/ ул. Крупской, д. 13/15, Кадастровые номера 58:29:1005014:1102,  58:29:1005014:1100</t>
  </si>
  <si>
    <t>Пензенская обл, г Сердобск, ул К.Маркса</t>
  </si>
  <si>
    <t>Пензенская область, г Пенза, ул. 9 Января/ ул. Крупской, д. 13/15, кадастровые номера 58:29:1005014:1101, 58:29:1005014:678.</t>
  </si>
  <si>
    <t>Пензенская обл, Бессоновский р-н, село Кижеватово, ул Молодежная, д 28</t>
  </si>
  <si>
    <t>Пензенская обл, г Заречный, ул Зеленая, д 10д</t>
  </si>
  <si>
    <t>Пермский край, г Кудымкар, Гончарный пер, д 7</t>
  </si>
  <si>
    <t>Пермский край, г Верещагино, ул Советская, д 43</t>
  </si>
  <si>
    <t>Пермский край, г Верещагино, ул Ленина, д 57а</t>
  </si>
  <si>
    <t>Пермский край, г Добрянка, пер Строителей, д 6А</t>
  </si>
  <si>
    <t>Пермский край, г Усолье, ул Свободы, д 155</t>
  </si>
  <si>
    <t>г Пермь, ул Академика Курчатова, д 1</t>
  </si>
  <si>
    <t>Пермский край, Усольский р-н, село Пыскор, ул Мира, д 10</t>
  </si>
  <si>
    <t>Пермский край, г Добрянка, ул Жуковского, д 23</t>
  </si>
  <si>
    <t>Пермский край, г Усолье, ул Красноармейская, д 85а</t>
  </si>
  <si>
    <t>Пермский край, г Березники, Советский пр-кт, д 12</t>
  </si>
  <si>
    <t>Пермский край, г Березники, ул Пятилетки, д 126</t>
  </si>
  <si>
    <t>Пермский край, г Березники, ул Юбилейная, д 117, кв 12</t>
  </si>
  <si>
    <t>Пермский край, г Березники, ул Комсомольская, д 10</t>
  </si>
  <si>
    <t>Пермский край, г Березники, ул Юбилейная, д 117</t>
  </si>
  <si>
    <t>Пермский край, г Березники, ул Мира, д 79</t>
  </si>
  <si>
    <t>Пермский край, г Березники, ул Пятилетки, д 93</t>
  </si>
  <si>
    <t>г Пермь, ул Пушкина, д 84</t>
  </si>
  <si>
    <t>Пермский край, г Березники, ул Пятилетки, д 56</t>
  </si>
  <si>
    <t>Пермский край, г.Краснокамск, ул.К.Маркса, 41а.</t>
  </si>
  <si>
    <t>Пермский край, г Березники, ул Карла Маркса, д 40</t>
  </si>
  <si>
    <t>г Псков, ул Советская, д 37, помещ 30</t>
  </si>
  <si>
    <t>г Псков, ул Алексея Алехина, д 5, помещ 1005</t>
  </si>
  <si>
    <t>г. Таганрог, ул. Греческая, 99/пер. Антона Глушко, 2</t>
  </si>
  <si>
    <t>Ростовская обл, г Новочеркасск, ул Каштанова, д 49</t>
  </si>
  <si>
    <t>Ростовская обл, г Цимлянск, ул Ленина, д 103/26</t>
  </si>
  <si>
    <t>г Ростов-на-Дону, пр-кт Чехова, д 37/29</t>
  </si>
  <si>
    <t>г.Ростов-на-Дону, Первомайский район,  пр. Шолохова, № 266/1</t>
  </si>
  <si>
    <t>г Рязань, Первомайский пр-кт, д 40 к 1</t>
  </si>
  <si>
    <t>г Рязань, ул Николодворянская, д 20</t>
  </si>
  <si>
    <t>г Рязань, ул Крупской, д 15/18</t>
  </si>
  <si>
    <t>Самарская обл, г Тольятти, ул Громовой, д 44</t>
  </si>
  <si>
    <t>Самарская обл, г Тольятти, ул Коммунистическая, д 53</t>
  </si>
  <si>
    <t>Самарская обл, г Тольятти, ул Громовой, д 24</t>
  </si>
  <si>
    <t>Самарская обл, г Тольятти, ул Карла Маркса, д 27А, кв 33</t>
  </si>
  <si>
    <t>Самарская обл, г Тольятти, ул Никонова, д 6</t>
  </si>
  <si>
    <t>Самарская обл, г Тольятти, ул Мира, д 50</t>
  </si>
  <si>
    <t>Самарская обл, г Тольятти, ул Новопромышленная, д 15</t>
  </si>
  <si>
    <t>Самарская обл, г Тольятти, ул Носова, д 5</t>
  </si>
  <si>
    <t>Самарская обл, г Тольятти, ул Никонова, д 8</t>
  </si>
  <si>
    <t>г Самара, поселок Красная Глинка, ул Батайская, д 10</t>
  </si>
  <si>
    <t>Саратовская обл, Балашовский р-н, село Рассказань, ул Ленина, д 99а</t>
  </si>
  <si>
    <t>Саратовская обл, г Вольск, ул Пугачева, д 35</t>
  </si>
  <si>
    <t>Саратовская обл, г Балаково, ул Ленина, д 60</t>
  </si>
  <si>
    <t>Свердловская обл, Пышминский р-н, село Трифоново, ул Энергостроителей, д 12</t>
  </si>
  <si>
    <t>Свердловская обл, Пышминский р-н, село Тупицыно, ул Ленина, д 32</t>
  </si>
  <si>
    <t>Свердловская обл, г Новоуральск, ул Победы, д 30А</t>
  </si>
  <si>
    <t>Свердловская обл, г Верхняя Салда, ул 25 Октября, д 7</t>
  </si>
  <si>
    <t>Свердловская обл, г Новоуральск, ул Фурманова, д 39, помещ II</t>
  </si>
  <si>
    <t>Свердловская область, г. Екатеринбург, пр-кт Ленина, д. 69, корп. 6/ул. Кузнечная,  д. 114</t>
  </si>
  <si>
    <t>г Екатеринбург, пр-кт Ленина, д 52 к 4</t>
  </si>
  <si>
    <t>г Екатеринбург, пр-кт Ленина, д 69 к 5</t>
  </si>
  <si>
    <t>Российская Федерация, Свердловская область, город Алапаевск, ул. Третьего Интернационала, д. 12</t>
  </si>
  <si>
    <t>Свердловская обл, г Алапаевск, ул Ленина, д 16</t>
  </si>
  <si>
    <t>г Тамбов, ул Комсомольская, д 41</t>
  </si>
  <si>
    <t>Тамбовская обл, г Моршанск, ул Карла Маркса, д 52, помещ 6</t>
  </si>
  <si>
    <t>г Тамбов, ул Коммунальная, д 26</t>
  </si>
  <si>
    <t>г Тамбов, ул Ленинградская, д 42</t>
  </si>
  <si>
    <t>г Тамбов, ул Советская, д 98/27</t>
  </si>
  <si>
    <t>г Тамбов, ул Советская</t>
  </si>
  <si>
    <t>г Тамбов, ул Киквидзе, д 102, помещ 57</t>
  </si>
  <si>
    <t>Тверская обл, Калининский р-н, поселок Дмитрово-Черкассы, ул Садовая, д 34а</t>
  </si>
  <si>
    <t>Тверская обл, г Лихославль, Привокзальный пер, д 7</t>
  </si>
  <si>
    <t>г Тверь, ул 1-я Силикатная, д 13а</t>
  </si>
  <si>
    <t>Тверская обл, г Вышний Волочек, ул Екатерининская, д 10</t>
  </si>
  <si>
    <t>г Тверь, ул Александра Попова, д 3</t>
  </si>
  <si>
    <t>Томская обл, г Асино, ул Мичурина, д 1</t>
  </si>
  <si>
    <t>Томская обл, Томский р-н, село Тахтамышево, ул Советская, д 63</t>
  </si>
  <si>
    <t>Томская обл, г Северск, ул Ленина, д 38</t>
  </si>
  <si>
    <t>Томская обл, г Асино, ул Сельская, д 31а</t>
  </si>
  <si>
    <t>г Томск, ул Спутник Поселок, д 18</t>
  </si>
  <si>
    <t>г Томск, ул Пушкина, д 16/3</t>
  </si>
  <si>
    <t>Томская область, г. Томск, ул. Набережная реки Ушайки, д. 18б, пом. 3019</t>
  </si>
  <si>
    <t>Тульская обл, г Венев, ул Бундурина, д 6</t>
  </si>
  <si>
    <t>Тульская обл, г Белев, ул Карла Маркса, д 47</t>
  </si>
  <si>
    <t>г Тула, поселок Косая Гора, ул Генерала Горшкова, д 12</t>
  </si>
  <si>
    <t>г Ульяновск, ул Поливенская, д 9</t>
  </si>
  <si>
    <t>Ульяновская область, г. Ульяновск, Ленинский район, ул. Набережная р. Свияги, д. 162А</t>
  </si>
  <si>
    <t>Ульяновская область, г. Ульяновск, Засвияжский район, ул. Артема, д. 7/59, помещение № 67</t>
  </si>
  <si>
    <t>г Ульяновск, ул Дворцовая, зд 3Б</t>
  </si>
  <si>
    <t>Челябинская обл, село Октябрьское, ул Комсомольская, д 34б</t>
  </si>
  <si>
    <t>Челябинская обл, село Чесма, ул Ленина, д 50</t>
  </si>
  <si>
    <t>Челябинская обл, Красноармейский р-н, тер. ДНТ Удачный (поселок Мирный), ул Луговая, д 92</t>
  </si>
  <si>
    <t>Челябинская обл, Саткинский р-н, г Бакал, ул Титова, д 11</t>
  </si>
  <si>
    <t>Челябинская обл, Еткульский р-н, село Шеломенцево, ул Молодежная, д 12</t>
  </si>
  <si>
    <t>Челябинская обл, г Магнитогорск, ул Маяковского, д 19 к 1</t>
  </si>
  <si>
    <t>Челябинская обл, г Магнитогорск, ул Пионерская, д 32</t>
  </si>
  <si>
    <t>Челябинская обл, г Златоуст, ул Нижне-Заводская 1-я, д 42</t>
  </si>
  <si>
    <t>Челябинская обл, г Копейск, ул Курская, д 2А</t>
  </si>
  <si>
    <t>Челябинская обл, г Магнитогорск, ул Тевосяна, д 17</t>
  </si>
  <si>
    <t>Челябинская обл, г Усть-Катав, ул Заводская, д 1</t>
  </si>
  <si>
    <t>Челябинская обл, г Коркино, пр-кт Горняков, д 11</t>
  </si>
  <si>
    <t>Челябинская область, город Магнитогорск, улица Набережная, дом 20</t>
  </si>
  <si>
    <t>Челябинская область, г. Трехгорный, ул. Карла Маркса,  д. 58, помещение № 000 004.</t>
  </si>
  <si>
    <t>Челябинская обл, г Магнитогорск, пр-кт Ленина, д 91 к 1</t>
  </si>
  <si>
    <t>Челябинская обл, г Копейск, Коммунистический пр-кт, д 13</t>
  </si>
  <si>
    <t>Ярославская область, Рыбинский район, Шашковский сельский округ, поселок Шашково, ул.Молодежная, д.2, пом.II</t>
  </si>
  <si>
    <t>Ярославская обл, г Рыбинск, ул Вяземского, д 9</t>
  </si>
  <si>
    <t>Ярославская обл, г Рыбинск, Майский пер, д 8</t>
  </si>
  <si>
    <t>Ярославская обл, г Рыбинск, ул Стоялая, д 20</t>
  </si>
  <si>
    <t>Ярославская обл, г Рыбинск, ул 9 Мая, д 17</t>
  </si>
  <si>
    <t>Ярославская обл, г Рыбинск, ул Стоялая, д 14</t>
  </si>
  <si>
    <t>Ярославская обл, г Рыбинск, ул Ломоносова, д 19, помещ 2а</t>
  </si>
  <si>
    <t>Ярославская обл, г Рыбинск, ул Расплетина, д 9</t>
  </si>
  <si>
    <t>г Ярославль, ул Дружная, д 26</t>
  </si>
  <si>
    <t>Ярославская обл, г Рыбинск, ул Рокоссовского, д 9</t>
  </si>
  <si>
    <t>Ярославская обл, г Рыбинск, ул Боткина, д 15</t>
  </si>
  <si>
    <t>Ярославская обл, г Рыбинск, ул Моторостроителей, д 11</t>
  </si>
  <si>
    <t>г Ярославль, Тепловой пер, д 13</t>
  </si>
  <si>
    <t>Ярославская область, г. Рыбинск, ул. Захарова/Моховая, д. 33/2, пом. I.</t>
  </si>
  <si>
    <t>ЯО, г. Ярославль, ул. Автозаводская, напротив д. 7/2, бокс 20.</t>
  </si>
  <si>
    <t>г Ярославль, ул 1905 года, д 6</t>
  </si>
  <si>
    <t>г Ярославль, ул Колышкина, д 62</t>
  </si>
  <si>
    <t>Ярославская обл, Ярославский р-н, поселок Красный Бор, ул Большая Заозерная, д 2</t>
  </si>
  <si>
    <t>Ярославская обл, г Рыбинск, ул Крестовая, д 27</t>
  </si>
  <si>
    <t>Ярославская область, г. Рыбинск, ул. Крестовая/Стоялая, д. 31/8, пом. II.</t>
  </si>
  <si>
    <t>г Ярославль, ул Рыбинская, д 7, помещ 13</t>
  </si>
  <si>
    <t>Ханты-Мансийский автономный округ - Югра, г. Белоярский, уч. 15/2, Промзона-2</t>
  </si>
  <si>
    <t>Ханты-Мансийский автономный округ - Югра, г. Белоярский, уч. 15/3, Промзона - 2</t>
  </si>
  <si>
    <t>Ханты-Мансийский Автономный округ - Югра, р-н. Белоярский, г. Белоярский, Промзона-2, №15/4</t>
  </si>
  <si>
    <t>Ханты-Мансийский автономный округ – Югра, г. Нижневартовск, Жилая Зона, ул. Мира, д. 23а, помещения 1002, 1003, 1004</t>
  </si>
  <si>
    <t>Ханты-Мансийский автономный округ - Югра, город Сургут, улица Индустриальная, 8 , участок 1</t>
  </si>
  <si>
    <t>Ханты-Мансийский Автономный округ - Югра, г Мегион, ул Советская, д 19, помещ 1</t>
  </si>
  <si>
    <t>Ханты-Мансийский автономный округ - Югра, г. Нижневартовск, ул. Маршала Жукова, д. 5, помещение 1008</t>
  </si>
  <si>
    <t>Ямало-Ненецкий автономный округ, городской округ город Лабытнанги,пгт. Харп,  кв-л Северный, д. 3</t>
  </si>
  <si>
    <t>EA</t>
  </si>
  <si>
    <t>PP</t>
  </si>
  <si>
    <t>EK</t>
  </si>
  <si>
    <t>М</t>
  </si>
  <si>
    <t>Д</t>
  </si>
  <si>
    <t xml:space="preserve">01:04:0400018:53, </t>
  </si>
  <si>
    <t xml:space="preserve">01:08:0513012:505, </t>
  </si>
  <si>
    <t xml:space="preserve">02:27:031001:268, </t>
  </si>
  <si>
    <t xml:space="preserve">02:27:060701:203, </t>
  </si>
  <si>
    <t>02:33:030101:661;</t>
  </si>
  <si>
    <t xml:space="preserve">02:52:110306:227, </t>
  </si>
  <si>
    <t>02:47:110701:3806</t>
  </si>
  <si>
    <t>02:55:020534:661</t>
  </si>
  <si>
    <t xml:space="preserve">02:57:020403:547, </t>
  </si>
  <si>
    <t>02:52:000000:4139</t>
  </si>
  <si>
    <t xml:space="preserve">02:57:020502:2539, </t>
  </si>
  <si>
    <t>02:66:010106:3944</t>
  </si>
  <si>
    <t>02:55:010423:312</t>
  </si>
  <si>
    <t xml:space="preserve">02:56:030204:974, </t>
  </si>
  <si>
    <t>02:66:010113:4926</t>
  </si>
  <si>
    <t>02:55:020202:986</t>
  </si>
  <si>
    <t xml:space="preserve">02:57:050601:226, </t>
  </si>
  <si>
    <t>02:55:010807:79</t>
  </si>
  <si>
    <t xml:space="preserve">02:55:010802:1098, </t>
  </si>
  <si>
    <t xml:space="preserve">02:55:010802:1099, </t>
  </si>
  <si>
    <t xml:space="preserve">02:55:020613:833, </t>
  </si>
  <si>
    <t>02:55:020110:4865</t>
  </si>
  <si>
    <t>02:55:010506:346</t>
  </si>
  <si>
    <t>03:24:011412:128</t>
  </si>
  <si>
    <t>03:17:080241:159</t>
  </si>
  <si>
    <t>03:16:340137:179</t>
  </si>
  <si>
    <t>03:24:021628:453</t>
  </si>
  <si>
    <t>03:24:000000:18599</t>
  </si>
  <si>
    <t xml:space="preserve">10:01:0030127:357, </t>
  </si>
  <si>
    <t>10:04:0010219:319</t>
  </si>
  <si>
    <t>10:20:0040101:852</t>
  </si>
  <si>
    <t xml:space="preserve">10:01:0200127:747, </t>
  </si>
  <si>
    <t xml:space="preserve">10:07:0010121:280, </t>
  </si>
  <si>
    <t>11:20:0607002:858</t>
  </si>
  <si>
    <t>11:20:0606001:661</t>
  </si>
  <si>
    <t>11:12:1701003:126</t>
  </si>
  <si>
    <t>11:20:0901001:3342</t>
  </si>
  <si>
    <t>11:20:1001002:8627</t>
  </si>
  <si>
    <t xml:space="preserve">11:03:2001002:631, </t>
  </si>
  <si>
    <t xml:space="preserve">11:04:5201003:88, </t>
  </si>
  <si>
    <t xml:space="preserve">11:20:0602005:5960, </t>
  </si>
  <si>
    <t xml:space="preserve">12:13:0990117:580, </t>
  </si>
  <si>
    <t xml:space="preserve">12:05:0302016:1309, </t>
  </si>
  <si>
    <t xml:space="preserve">12:05:0701006:6454, </t>
  </si>
  <si>
    <t xml:space="preserve">12:05:0701006:6451, </t>
  </si>
  <si>
    <t xml:space="preserve">13:24:0102057:2602, </t>
  </si>
  <si>
    <t xml:space="preserve">13:24:0102057:2591, </t>
  </si>
  <si>
    <t xml:space="preserve">13:24:0102057:2635, </t>
  </si>
  <si>
    <t xml:space="preserve">13:22:0115010:1189,  </t>
  </si>
  <si>
    <t>16:38:130101:773</t>
  </si>
  <si>
    <t>16:50:000000:10993</t>
  </si>
  <si>
    <t>16:05:010504:438</t>
  </si>
  <si>
    <t>16:50:011816:115</t>
  </si>
  <si>
    <t>18:27:010012:3423</t>
  </si>
  <si>
    <t>18:29:003393:968</t>
  </si>
  <si>
    <t xml:space="preserve">18:29:004516:421, </t>
  </si>
  <si>
    <t>18:26:040586:212</t>
  </si>
  <si>
    <t>18:26:040586:211</t>
  </si>
  <si>
    <t>18:27:030612:135</t>
  </si>
  <si>
    <t>18:26:040487:2048</t>
  </si>
  <si>
    <t xml:space="preserve">20:11:0101032:67, </t>
  </si>
  <si>
    <t xml:space="preserve">21:06:250407:246, </t>
  </si>
  <si>
    <t>21:01:030310:2741</t>
  </si>
  <si>
    <t>21:01:030310:2531</t>
  </si>
  <si>
    <t xml:space="preserve">22:57:050101:574, </t>
  </si>
  <si>
    <t xml:space="preserve">22:65:011433:119, </t>
  </si>
  <si>
    <t>22:05:050229:16</t>
  </si>
  <si>
    <t>22:63:040111:127</t>
  </si>
  <si>
    <t>22:61:011024:63</t>
  </si>
  <si>
    <t>22:63:010409:41</t>
  </si>
  <si>
    <t>22:63:040111:128</t>
  </si>
  <si>
    <t xml:space="preserve">22:33:021102:561, </t>
  </si>
  <si>
    <t>22:63:010416:137</t>
  </si>
  <si>
    <t xml:space="preserve">22:63:050111:265, </t>
  </si>
  <si>
    <t>22:63:020618:2271</t>
  </si>
  <si>
    <t>22:61:042103:686</t>
  </si>
  <si>
    <t>22:62:020713:157</t>
  </si>
  <si>
    <t>22:62:020713:156</t>
  </si>
  <si>
    <t>22:62:020713:53</t>
  </si>
  <si>
    <t>22:63:020444:1256</t>
  </si>
  <si>
    <t xml:space="preserve">22:63:030406:871, </t>
  </si>
  <si>
    <t xml:space="preserve">23:38:0103001:974 </t>
  </si>
  <si>
    <t xml:space="preserve">23:38:0114024:307 </t>
  </si>
  <si>
    <t xml:space="preserve">23:30:0903035:455 </t>
  </si>
  <si>
    <t>23:40:0403009:172</t>
  </si>
  <si>
    <t>23:47:0305011:328</t>
  </si>
  <si>
    <t>24:12:0370103:479</t>
  </si>
  <si>
    <t>24:43:0000000:26195</t>
  </si>
  <si>
    <t xml:space="preserve">24:43:0109019:64, </t>
  </si>
  <si>
    <t xml:space="preserve">24:43:0000000:1939, </t>
  </si>
  <si>
    <t xml:space="preserve">24:47:0010213:71, </t>
  </si>
  <si>
    <t xml:space="preserve">24:43:0115010:600; </t>
  </si>
  <si>
    <t>24:43:0201005:321</t>
  </si>
  <si>
    <t>24:43:0109017:145</t>
  </si>
  <si>
    <t>24:43:0000000:25958</t>
  </si>
  <si>
    <t>24:43:0000000:25959</t>
  </si>
  <si>
    <t xml:space="preserve">24:43:0126016:17, </t>
  </si>
  <si>
    <t xml:space="preserve">24:43:0103011:20, </t>
  </si>
  <si>
    <t>24:43:0115010:298</t>
  </si>
  <si>
    <t>24:43:0201008:432</t>
  </si>
  <si>
    <t xml:space="preserve">24:43:0000000:27011; </t>
  </si>
  <si>
    <t xml:space="preserve">24:43:0108011:35, </t>
  </si>
  <si>
    <t>24:43:0107004:223</t>
  </si>
  <si>
    <t xml:space="preserve">24:43:0109019:76, </t>
  </si>
  <si>
    <t>84:03:0020001:528</t>
  </si>
  <si>
    <t xml:space="preserve">24:50:0400007:1261 </t>
  </si>
  <si>
    <t>25:04:000000:1104</t>
  </si>
  <si>
    <t xml:space="preserve">25:32:010202:653, </t>
  </si>
  <si>
    <t xml:space="preserve">25:26:010309:268, </t>
  </si>
  <si>
    <t>25:34:017102:1838</t>
  </si>
  <si>
    <t xml:space="preserve">26:12:022314:498, </t>
  </si>
  <si>
    <t xml:space="preserve">26:12:030717:644, </t>
  </si>
  <si>
    <t xml:space="preserve">26:12:022318:778,  </t>
  </si>
  <si>
    <t xml:space="preserve">26:33:130304:851, </t>
  </si>
  <si>
    <t xml:space="preserve">26:33:230204:265, </t>
  </si>
  <si>
    <t xml:space="preserve">26:16:060109:905, </t>
  </si>
  <si>
    <t>26:31:010126:1260</t>
  </si>
  <si>
    <t>26:31:010123:376</t>
  </si>
  <si>
    <t xml:space="preserve">26:33:250101:850, </t>
  </si>
  <si>
    <t>26:31:020332:171</t>
  </si>
  <si>
    <t>26:31:020137:428</t>
  </si>
  <si>
    <t xml:space="preserve">26:16:040416:1214, </t>
  </si>
  <si>
    <t xml:space="preserve">27:01:0000038:2189, </t>
  </si>
  <si>
    <t xml:space="preserve">27:17:0300201:705, </t>
  </si>
  <si>
    <t>27:23:0030119:800</t>
  </si>
  <si>
    <t xml:space="preserve">27:17:0300401:694; </t>
  </si>
  <si>
    <t>27:23:0030115:916</t>
  </si>
  <si>
    <t xml:space="preserve">28:06:010201:308, </t>
  </si>
  <si>
    <t xml:space="preserve">28:04:010320:1002; </t>
  </si>
  <si>
    <t xml:space="preserve">28:04:010320:998; </t>
  </si>
  <si>
    <t>28:01:130176:512</t>
  </si>
  <si>
    <t xml:space="preserve">28:02:000132:231, </t>
  </si>
  <si>
    <t xml:space="preserve">29:23:010207:3751, </t>
  </si>
  <si>
    <t xml:space="preserve">29:23:010207:3753, </t>
  </si>
  <si>
    <t xml:space="preserve">29:23:010207:1275, </t>
  </si>
  <si>
    <t xml:space="preserve">29:23:010207:283, </t>
  </si>
  <si>
    <t xml:space="preserve">29:22:020901:184, </t>
  </si>
  <si>
    <t xml:space="preserve">29:22:050404:5503, </t>
  </si>
  <si>
    <t>29:22:050404:5502,</t>
  </si>
  <si>
    <t>30:12:010156:168</t>
  </si>
  <si>
    <t xml:space="preserve">30:12:020163:1618; </t>
  </si>
  <si>
    <t xml:space="preserve">30:12:020163:1623; </t>
  </si>
  <si>
    <t>30:07:240102:2578</t>
  </si>
  <si>
    <t>30:12:030791:531</t>
  </si>
  <si>
    <t>30:12:040416:40</t>
  </si>
  <si>
    <t>30:12:040085:332</t>
  </si>
  <si>
    <t>30:12:030355:533</t>
  </si>
  <si>
    <t>31:01:0313002:60</t>
  </si>
  <si>
    <t>31:14:0903002:177</t>
  </si>
  <si>
    <t>31:16:0101001:13641</t>
  </si>
  <si>
    <t>31:15:1305014:302</t>
  </si>
  <si>
    <t xml:space="preserve">31:23:0204007:472, </t>
  </si>
  <si>
    <t xml:space="preserve">31:06:0322001:535, </t>
  </si>
  <si>
    <t>31:16:0101001:4441</t>
  </si>
  <si>
    <t>31:16:0117018:6665</t>
  </si>
  <si>
    <t>31:16:0109015:4766</t>
  </si>
  <si>
    <t>32:31:0010320:534</t>
  </si>
  <si>
    <t>32:31:0010320:536</t>
  </si>
  <si>
    <t>32:28:0011603:1372</t>
  </si>
  <si>
    <t>32:28:0021313:262</t>
  </si>
  <si>
    <t>32:28:0013104:175</t>
  </si>
  <si>
    <t>32:28:0011703:1911</t>
  </si>
  <si>
    <t>32:28:0021202:615</t>
  </si>
  <si>
    <t>32:28:0010501:2348</t>
  </si>
  <si>
    <t>32:28:0041511:735</t>
  </si>
  <si>
    <t>32:28:0040410:304</t>
  </si>
  <si>
    <t>32:28:0031622:1292</t>
  </si>
  <si>
    <t>32:28:0042004:1356</t>
  </si>
  <si>
    <t xml:space="preserve">33:21:010114:207, </t>
  </si>
  <si>
    <t>33:20:013707:359</t>
  </si>
  <si>
    <t xml:space="preserve">33:08:000000:1455, </t>
  </si>
  <si>
    <t xml:space="preserve">33:17:0000404:1312, </t>
  </si>
  <si>
    <t>33:20:013707:364</t>
  </si>
  <si>
    <t xml:space="preserve">33:17:0000501:642, </t>
  </si>
  <si>
    <t>34:34:030028:879</t>
  </si>
  <si>
    <t>34:34:010064:2666</t>
  </si>
  <si>
    <t>34:34:060022:7444</t>
  </si>
  <si>
    <t>34:34:010011:4301</t>
  </si>
  <si>
    <t>34:34:070001:1854</t>
  </si>
  <si>
    <t>34:35:030212:12772</t>
  </si>
  <si>
    <t>34:34:080071:775</t>
  </si>
  <si>
    <t xml:space="preserve">35:28:0201067:161, </t>
  </si>
  <si>
    <t xml:space="preserve">35:25:0203022:734, </t>
  </si>
  <si>
    <t>35:22:0111041:653</t>
  </si>
  <si>
    <t xml:space="preserve">35:21:0401020:3832 </t>
  </si>
  <si>
    <t xml:space="preserve">35:24:0402013:5534 </t>
  </si>
  <si>
    <t xml:space="preserve">35:21:0401010:3922 </t>
  </si>
  <si>
    <t xml:space="preserve">35:21:0401010:3921 </t>
  </si>
  <si>
    <t xml:space="preserve">36:14:0016401:12, </t>
  </si>
  <si>
    <t xml:space="preserve">36:34:0209020:4737, </t>
  </si>
  <si>
    <t xml:space="preserve">36:34:0105038:2717, </t>
  </si>
  <si>
    <t xml:space="preserve">36:34:0105038:2716, </t>
  </si>
  <si>
    <t xml:space="preserve">36:34:0606014:216, </t>
  </si>
  <si>
    <t xml:space="preserve">37:25:011114:530, </t>
  </si>
  <si>
    <t xml:space="preserve">37:19:011202:150 </t>
  </si>
  <si>
    <t xml:space="preserve">37:24:010134:369 </t>
  </si>
  <si>
    <t xml:space="preserve">37:24:010132:767 </t>
  </si>
  <si>
    <t xml:space="preserve">38:26:040105:1606, </t>
  </si>
  <si>
    <t xml:space="preserve">38:26:040502:7515, </t>
  </si>
  <si>
    <t xml:space="preserve">38:26:040404:8245, </t>
  </si>
  <si>
    <t>38:26:040902:1959</t>
  </si>
  <si>
    <t xml:space="preserve">38:26:040502:6491, </t>
  </si>
  <si>
    <t xml:space="preserve">38:26:040107:286, </t>
  </si>
  <si>
    <t xml:space="preserve">38:26:040401:6304, </t>
  </si>
  <si>
    <t>38:37:020205:3555</t>
  </si>
  <si>
    <t>38:37:020204:2735</t>
  </si>
  <si>
    <t xml:space="preserve">38:34:021801:1348, </t>
  </si>
  <si>
    <t>38:34:014501:3127</t>
  </si>
  <si>
    <t xml:space="preserve">38:36:000021:23523, </t>
  </si>
  <si>
    <t xml:space="preserve">39:11:020033:122, </t>
  </si>
  <si>
    <t xml:space="preserve">39:11:080103:24, </t>
  </si>
  <si>
    <t>39:11:020024:21</t>
  </si>
  <si>
    <t xml:space="preserve">39:04:010105:566, </t>
  </si>
  <si>
    <t xml:space="preserve">39:15:000000:9391, </t>
  </si>
  <si>
    <t xml:space="preserve">39:11:010008:282, </t>
  </si>
  <si>
    <t xml:space="preserve">39:11:010008:285, </t>
  </si>
  <si>
    <t xml:space="preserve">39:11:010008:290, </t>
  </si>
  <si>
    <t xml:space="preserve">39:11:010008:289, </t>
  </si>
  <si>
    <t xml:space="preserve">39:11:010008:286, </t>
  </si>
  <si>
    <t xml:space="preserve">39:11:010008:292, </t>
  </si>
  <si>
    <t xml:space="preserve">39:11:010008:287, </t>
  </si>
  <si>
    <t xml:space="preserve">39:11:010008:283, </t>
  </si>
  <si>
    <t xml:space="preserve">39:11:010008:288, </t>
  </si>
  <si>
    <t xml:space="preserve">39:04:010222:82, </t>
  </si>
  <si>
    <t xml:space="preserve">41:01:0010127:1952, </t>
  </si>
  <si>
    <t>42:30:0102010:205</t>
  </si>
  <si>
    <t>42:14:0101001:2730</t>
  </si>
  <si>
    <t xml:space="preserve">42:32:0103013:35218, </t>
  </si>
  <si>
    <t>42:24:0301013:3435</t>
  </si>
  <si>
    <t>42:24:0301014:10998</t>
  </si>
  <si>
    <t xml:space="preserve">42:32:0101023:2791, </t>
  </si>
  <si>
    <t>42:24:0101049:6740</t>
  </si>
  <si>
    <t xml:space="preserve">42:33:0000000:492 </t>
  </si>
  <si>
    <t>42:24:0101033:1796</t>
  </si>
  <si>
    <t>42:24:0101015:2046</t>
  </si>
  <si>
    <t xml:space="preserve">42:21:0601004:973, </t>
  </si>
  <si>
    <t>42:34:0106002:1738</t>
  </si>
  <si>
    <t xml:space="preserve">42:21:0401006:447, </t>
  </si>
  <si>
    <t>42:30:0101001: 7340</t>
  </si>
  <si>
    <t xml:space="preserve">42:21:0101001:705, </t>
  </si>
  <si>
    <t xml:space="preserve">42:21:0603003:810, </t>
  </si>
  <si>
    <t xml:space="preserve">42:21:0701005:2791, </t>
  </si>
  <si>
    <t xml:space="preserve">42:21:0501005:1116, </t>
  </si>
  <si>
    <t xml:space="preserve">42:21:0108007:1212, </t>
  </si>
  <si>
    <t>42:30:0101001:3717</t>
  </si>
  <si>
    <t>42:24:0101001:4770</t>
  </si>
  <si>
    <t xml:space="preserve">43:31:010101:535 </t>
  </si>
  <si>
    <t>43:12:000109:726</t>
  </si>
  <si>
    <t xml:space="preserve">43:40:000733:521 </t>
  </si>
  <si>
    <t>44:27:020111:78</t>
  </si>
  <si>
    <t xml:space="preserve">45:25:070301:972, </t>
  </si>
  <si>
    <t xml:space="preserve">45:25:070211:1874, </t>
  </si>
  <si>
    <t xml:space="preserve">45:25:070305:2800, </t>
  </si>
  <si>
    <t xml:space="preserve">46:31:010506:2393, </t>
  </si>
  <si>
    <t>46:16:010101:1498</t>
  </si>
  <si>
    <t>46:20:270207:988</t>
  </si>
  <si>
    <t>46:20:270206:506</t>
  </si>
  <si>
    <t>47:29:0000000:20244</t>
  </si>
  <si>
    <t xml:space="preserve">47:01:0000000:45402, </t>
  </si>
  <si>
    <t xml:space="preserve">49:01:020129:158, </t>
  </si>
  <si>
    <t>50:35:0030405:1682</t>
  </si>
  <si>
    <t>50:35:0000000:20800</t>
  </si>
  <si>
    <t>50:17:0021502:30</t>
  </si>
  <si>
    <t>50:34:0010808:481</t>
  </si>
  <si>
    <t>50:58:0020101:155</t>
  </si>
  <si>
    <t>50:34:0050113:518</t>
  </si>
  <si>
    <t>50:46:0000000:5133</t>
  </si>
  <si>
    <t>50:46:0010502:1775</t>
  </si>
  <si>
    <t>50:42:0000000:39346</t>
  </si>
  <si>
    <t>50:28:0030241:93</t>
  </si>
  <si>
    <t>50:43:0030304:1156</t>
  </si>
  <si>
    <t>50:42:0000000:37694</t>
  </si>
  <si>
    <t>50:16:0602003:7604</t>
  </si>
  <si>
    <t>50:57:0000000:7243</t>
  </si>
  <si>
    <t>50:53:0020103:2581</t>
  </si>
  <si>
    <t>50:16:0302008:3674</t>
  </si>
  <si>
    <t>50:58:0100402:377</t>
  </si>
  <si>
    <t>50:16:0302020:3410</t>
  </si>
  <si>
    <t>50:16:0000000:66901</t>
  </si>
  <si>
    <t>50:43:0020301:649</t>
  </si>
  <si>
    <t>50:17:0011505:498</t>
  </si>
  <si>
    <t>50:10:0000000:9894</t>
  </si>
  <si>
    <t>50:10:0000000:9893</t>
  </si>
  <si>
    <t>50:16:0402019:595</t>
  </si>
  <si>
    <t>50:16:0301004:2950</t>
  </si>
  <si>
    <t>50:53:0010107:1524</t>
  </si>
  <si>
    <t>50:16:0000000:67459</t>
  </si>
  <si>
    <t>50:42:0010218:531</t>
  </si>
  <si>
    <t>51:03:0080309:93</t>
  </si>
  <si>
    <t xml:space="preserve">51:14:0030401:1873, </t>
  </si>
  <si>
    <t xml:space="preserve">51:14:0030401:1872, </t>
  </si>
  <si>
    <t xml:space="preserve">51:14:0030401:1871, </t>
  </si>
  <si>
    <t xml:space="preserve">51:20:0003048:360, </t>
  </si>
  <si>
    <t xml:space="preserve">51:14:0030303:56, </t>
  </si>
  <si>
    <t xml:space="preserve">51:20:0001007:1460, </t>
  </si>
  <si>
    <t xml:space="preserve">51:20:0001313:2483, </t>
  </si>
  <si>
    <t xml:space="preserve">51:28:0040003:1004, </t>
  </si>
  <si>
    <t xml:space="preserve">51:20:0002125:2444, </t>
  </si>
  <si>
    <t>51:05:0010203:3055,</t>
  </si>
  <si>
    <t xml:space="preserve">51:23:0010101:98, </t>
  </si>
  <si>
    <t>52:03:0120002:529</t>
  </si>
  <si>
    <t>52:12:1800321:11875</t>
  </si>
  <si>
    <t xml:space="preserve">52:18:0040421:205, </t>
  </si>
  <si>
    <t xml:space="preserve">52:18:0010525:2000, </t>
  </si>
  <si>
    <t xml:space="preserve">52:18:0010525:2005, </t>
  </si>
  <si>
    <t xml:space="preserve">52:18:0010525:2004, </t>
  </si>
  <si>
    <t xml:space="preserve">52:18:0010525:2001, </t>
  </si>
  <si>
    <t xml:space="preserve">52:18:0010525:2006, </t>
  </si>
  <si>
    <t xml:space="preserve">52:18:0010525:1999, </t>
  </si>
  <si>
    <t>52:25:0010809:444</t>
  </si>
  <si>
    <t>52:18:0010091:879</t>
  </si>
  <si>
    <t>53:11:1700204:4186</t>
  </si>
  <si>
    <t>53:11:1700204:4187</t>
  </si>
  <si>
    <t xml:space="preserve">54:37:010235: 386, </t>
  </si>
  <si>
    <t>54:11:011831:254</t>
  </si>
  <si>
    <t xml:space="preserve">54:35:064185:1221, </t>
  </si>
  <si>
    <t xml:space="preserve">54:37:010232:141, </t>
  </si>
  <si>
    <t xml:space="preserve">54:35:032970:362, </t>
  </si>
  <si>
    <t xml:space="preserve">55:36:010107:1348, </t>
  </si>
  <si>
    <t xml:space="preserve">55:20:220302:5334, </t>
  </si>
  <si>
    <t xml:space="preserve">55:36:050203:2473, </t>
  </si>
  <si>
    <t xml:space="preserve">55:34:010406:46, </t>
  </si>
  <si>
    <t xml:space="preserve">55:36:090205:7303, </t>
  </si>
  <si>
    <t xml:space="preserve">55:36:190804:1910,  </t>
  </si>
  <si>
    <t xml:space="preserve">55:36:050206:11996, </t>
  </si>
  <si>
    <t xml:space="preserve">56:32:1601001:247; </t>
  </si>
  <si>
    <t>56:37:0106050:282</t>
  </si>
  <si>
    <t xml:space="preserve">56:33:1301008:327,   </t>
  </si>
  <si>
    <t>56:44:1001001:3845</t>
  </si>
  <si>
    <t>56:21:1701006:1610</t>
  </si>
  <si>
    <t>56:44:0429004:85</t>
  </si>
  <si>
    <t xml:space="preserve">57:04:0290101:846, </t>
  </si>
  <si>
    <t>58:32:0020512:334</t>
  </si>
  <si>
    <t>58:29:1005014:1102</t>
  </si>
  <si>
    <t>58:32:0020140:1317</t>
  </si>
  <si>
    <t>58:29:1005014:1101</t>
  </si>
  <si>
    <t xml:space="preserve">58:05:0160203:870, </t>
  </si>
  <si>
    <t xml:space="preserve">58:34:0010141:710, </t>
  </si>
  <si>
    <t xml:space="preserve">81:07:0099002:222, </t>
  </si>
  <si>
    <t xml:space="preserve">59:16:0010124:792, </t>
  </si>
  <si>
    <t xml:space="preserve">59:16:0010120:622, </t>
  </si>
  <si>
    <t xml:space="preserve">59:18:0010601:4926 </t>
  </si>
  <si>
    <t xml:space="preserve">59:37:0620204:278, </t>
  </si>
  <si>
    <t>59:01:4413638:2214</t>
  </si>
  <si>
    <t xml:space="preserve">59:37:0510105:852, </t>
  </si>
  <si>
    <t xml:space="preserve">59:18:0010602:3311, </t>
  </si>
  <si>
    <t xml:space="preserve">59:37:0620302:470, </t>
  </si>
  <si>
    <t xml:space="preserve">59:03:0400080:4119, </t>
  </si>
  <si>
    <t xml:space="preserve">59:03:0400080:4115, </t>
  </si>
  <si>
    <t xml:space="preserve">59:37:0620204:277,  </t>
  </si>
  <si>
    <t xml:space="preserve">59:03:0400165:3345, </t>
  </si>
  <si>
    <t xml:space="preserve">59:03:0400076:4057, </t>
  </si>
  <si>
    <t>59:03:0400089:9732</t>
  </si>
  <si>
    <t xml:space="preserve">59:03:0400076:4101, </t>
  </si>
  <si>
    <t xml:space="preserve">59:03:0400076:4092, </t>
  </si>
  <si>
    <t xml:space="preserve">59:03:0400087:5293, </t>
  </si>
  <si>
    <t xml:space="preserve">59:03:0400098:264, </t>
  </si>
  <si>
    <t xml:space="preserve">59:07:0010604:447, </t>
  </si>
  <si>
    <t xml:space="preserve">59:03:0400098:289, </t>
  </si>
  <si>
    <t xml:space="preserve">59:03:0400098:253, </t>
  </si>
  <si>
    <t xml:space="preserve">59:03:0400103:164, </t>
  </si>
  <si>
    <t>-</t>
  </si>
  <si>
    <t>61:58:0001129:141</t>
  </si>
  <si>
    <t>61:55:0020735:510</t>
  </si>
  <si>
    <t xml:space="preserve">61:41:0010648:66, </t>
  </si>
  <si>
    <t>61:44:0040710:411</t>
  </si>
  <si>
    <t>61:44:0020202:996</t>
  </si>
  <si>
    <t xml:space="preserve">62:29:0080002:339, </t>
  </si>
  <si>
    <t xml:space="preserve">62:29:0080036:335, </t>
  </si>
  <si>
    <t xml:space="preserve">62:29:0060002:1364, </t>
  </si>
  <si>
    <t xml:space="preserve">63:09:0201059:2417 </t>
  </si>
  <si>
    <t>63:09:0201057:3310</t>
  </si>
  <si>
    <t>63:09:0201059:12825</t>
  </si>
  <si>
    <t>63:09:0301146:1262</t>
  </si>
  <si>
    <t>63:09:0201060:15519</t>
  </si>
  <si>
    <t>63:09:0301083:721</t>
  </si>
  <si>
    <t xml:space="preserve">63:09:0301140:890 </t>
  </si>
  <si>
    <t xml:space="preserve">63:09:0201060:2244, </t>
  </si>
  <si>
    <t xml:space="preserve">63:09:0202054:757, </t>
  </si>
  <si>
    <t>63:01:0301001:3131</t>
  </si>
  <si>
    <t>64:06:110101:422</t>
  </si>
  <si>
    <t>64:42:010121:276</t>
  </si>
  <si>
    <t xml:space="preserve">64:40:010247:1160, </t>
  </si>
  <si>
    <t>66:20:1301001:874</t>
  </si>
  <si>
    <t xml:space="preserve">66:20:2701001:341, </t>
  </si>
  <si>
    <t xml:space="preserve">66:57:0102031:4426, </t>
  </si>
  <si>
    <t xml:space="preserve">66:08:0804006:1478, </t>
  </si>
  <si>
    <t xml:space="preserve">66:08:0804006:1432, </t>
  </si>
  <si>
    <t xml:space="preserve">66:57:0102064:947, </t>
  </si>
  <si>
    <t>66:41:0704007:5307</t>
  </si>
  <si>
    <t>66:41:0704007:5044</t>
  </si>
  <si>
    <t>66:41:0701025:268</t>
  </si>
  <si>
    <t xml:space="preserve">66:32:0402009:1093, </t>
  </si>
  <si>
    <t xml:space="preserve">66:32:0402013:1302, </t>
  </si>
  <si>
    <t xml:space="preserve">68:27:0000064:519, </t>
  </si>
  <si>
    <t xml:space="preserve">68:29:0101029:139, </t>
  </si>
  <si>
    <t xml:space="preserve">68:29:0101047:230, </t>
  </si>
  <si>
    <t xml:space="preserve">68:29:0101040:654; </t>
  </si>
  <si>
    <t xml:space="preserve">68:29:0312001:9819, </t>
  </si>
  <si>
    <t>69:10:0211301:599</t>
  </si>
  <si>
    <t xml:space="preserve">69:19:0070113:477, </t>
  </si>
  <si>
    <t>69:40:0100612:267</t>
  </si>
  <si>
    <t>69:39:0120420:51</t>
  </si>
  <si>
    <t>69:40:0400089:34</t>
  </si>
  <si>
    <t xml:space="preserve">70:17:0000012:2359, </t>
  </si>
  <si>
    <t xml:space="preserve">70:14:0122002:516, </t>
  </si>
  <si>
    <t>70:22:0010102:5977</t>
  </si>
  <si>
    <t xml:space="preserve">70:21:0100081:447, </t>
  </si>
  <si>
    <t xml:space="preserve">70:21:0100059:2234, </t>
  </si>
  <si>
    <t xml:space="preserve">70:21:0200003:3146, </t>
  </si>
  <si>
    <t xml:space="preserve">71:05:030203:451, </t>
  </si>
  <si>
    <t>71:03:030211:288</t>
  </si>
  <si>
    <t xml:space="preserve">71:05:030304:1002, </t>
  </si>
  <si>
    <t xml:space="preserve">71:30:070707:522 </t>
  </si>
  <si>
    <t xml:space="preserve">73:19:012901:653, </t>
  </si>
  <si>
    <t xml:space="preserve">73:24:041411:195, </t>
  </si>
  <si>
    <t xml:space="preserve">73:24:030203:2523,  </t>
  </si>
  <si>
    <t xml:space="preserve">73:24:041901:559, </t>
  </si>
  <si>
    <t>74:17:1004070:38</t>
  </si>
  <si>
    <t xml:space="preserve">74:24:0205037:75, </t>
  </si>
  <si>
    <t>74:12:1308007:39</t>
  </si>
  <si>
    <t>74:18:1002093:1127</t>
  </si>
  <si>
    <t xml:space="preserve">74:07:3900001:294, </t>
  </si>
  <si>
    <t xml:space="preserve">74:33:1328002:146, </t>
  </si>
  <si>
    <t xml:space="preserve">74:33:1328003:461, </t>
  </si>
  <si>
    <t>74:25:0303203:650</t>
  </si>
  <si>
    <t xml:space="preserve">74:30:0201006:266, </t>
  </si>
  <si>
    <t xml:space="preserve">74:33:0307001:4846, </t>
  </si>
  <si>
    <t>74:39:0306001:256</t>
  </si>
  <si>
    <t xml:space="preserve">74:31:0110002:180,  </t>
  </si>
  <si>
    <t xml:space="preserve">74:33:0316002:1546, </t>
  </si>
  <si>
    <t>74:42:0103001:1623</t>
  </si>
  <si>
    <t xml:space="preserve">74:33:0213002:3787, </t>
  </si>
  <si>
    <t xml:space="preserve">74:30:0104007:3297, </t>
  </si>
  <si>
    <t xml:space="preserve">76:14:030421:966 </t>
  </si>
  <si>
    <t xml:space="preserve">76:20:020101:210, </t>
  </si>
  <si>
    <t xml:space="preserve">76:20:030710:39, </t>
  </si>
  <si>
    <t>76:20:070304:3876</t>
  </si>
  <si>
    <t xml:space="preserve">76:20:080418:133;  </t>
  </si>
  <si>
    <t>76:20:010101:4927</t>
  </si>
  <si>
    <t xml:space="preserve">76:20:110105:512, </t>
  </si>
  <si>
    <t xml:space="preserve">76:20:020101:1197, </t>
  </si>
  <si>
    <t xml:space="preserve">76:20:100205:1176, </t>
  </si>
  <si>
    <t>76:20:080206:485</t>
  </si>
  <si>
    <t>76:20:110106:16</t>
  </si>
  <si>
    <t>76:23:010101:18023</t>
  </si>
  <si>
    <t>76:17:101103:175</t>
  </si>
  <si>
    <t>76:17:101103:166</t>
  </si>
  <si>
    <t>76:17:101103:163</t>
  </si>
  <si>
    <t>76:17:101103:167</t>
  </si>
  <si>
    <t>76:17:101103:164</t>
  </si>
  <si>
    <t>76:17:101103:165</t>
  </si>
  <si>
    <t xml:space="preserve">76:20:080418:109, </t>
  </si>
  <si>
    <t>76:23:010101:19324</t>
  </si>
  <si>
    <t xml:space="preserve">86:06:0020117:167, </t>
  </si>
  <si>
    <t xml:space="preserve">86:06:0020117:168, </t>
  </si>
  <si>
    <t xml:space="preserve">86:06:0020117:169, </t>
  </si>
  <si>
    <t xml:space="preserve">86:11:0000000:74264, </t>
  </si>
  <si>
    <t xml:space="preserve">86:10:0101164:930, </t>
  </si>
  <si>
    <t xml:space="preserve">86:19:0010412:1435, </t>
  </si>
  <si>
    <t xml:space="preserve">86:11:0000000:61003, </t>
  </si>
  <si>
    <t>89:09:110402:302</t>
  </si>
  <si>
    <t>1</t>
  </si>
  <si>
    <t>0</t>
  </si>
  <si>
    <t>2</t>
  </si>
  <si>
    <t>-1</t>
  </si>
  <si>
    <t>4</t>
  </si>
  <si>
    <t>3</t>
  </si>
</sst>
</file>

<file path=xl/styles.xml><?xml version="1.0" encoding="utf-8"?>
<styleSheet xmlns="http://schemas.openxmlformats.org/spreadsheetml/2006/main">
  <numFmts count="5">
    <numFmt numFmtId="164" formatCode="# ##0.0м2"/>
    <numFmt numFmtId="165" formatCode="dd.mm.yy hh:mm"/>
    <numFmt numFmtId="166" formatCode="# ### ##0₽"/>
    <numFmt numFmtId="167" formatCode="# ### ##0.0₽"/>
    <numFmt numFmtId="168" formatCode="#\ ##0\ \м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88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40.7109375" customWidth="1"/>
    <col min="8" max="8" width="12.7109375" style="4" customWidth="1"/>
    <col min="9" max="9" width="9.7109375" style="4" customWidth="1"/>
    <col min="10" max="11" width="8.7109375" style="5" customWidth="1"/>
    <col min="12" max="12" width="8.7109375" style="4" customWidth="1"/>
    <col min="13" max="15" width="5.7109375" customWidth="1"/>
    <col min="16" max="16" width="7.7109375" style="6" customWidth="1"/>
    <col min="17" max="18" width="3.7109375" customWidth="1"/>
    <col min="19" max="20" width="22.7109375" style="2" customWidth="1"/>
    <col min="21" max="21" width="17.7109375" customWidth="1"/>
    <col min="22" max="22" width="5.7109375" style="7" customWidth="1"/>
  </cols>
  <sheetData>
    <row r="1" spans="1:2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>
      <c r="A2" s="8">
        <v>0</v>
      </c>
      <c r="B2">
        <v>1</v>
      </c>
      <c r="C2" s="1">
        <v>890.5</v>
      </c>
      <c r="D2" s="2">
        <f>HYPERLINK("https://torgi.gov.ru/new/public/lots/lot/21000004880000000006_3/(lotInfo:info)", "21000004880000000006_3")</f>
        <v>0</v>
      </c>
      <c r="E2" t="s">
        <v>21</v>
      </c>
      <c r="F2" s="3" t="s">
        <v>499</v>
      </c>
      <c r="G2" t="s">
        <v>710</v>
      </c>
      <c r="H2" s="4">
        <v>2664024</v>
      </c>
      <c r="I2" s="4">
        <v>2991.604716451432</v>
      </c>
      <c r="J2" s="5">
        <v>7.87</v>
      </c>
      <c r="K2" s="5">
        <v>2.77</v>
      </c>
      <c r="L2" s="4">
        <v>249.25</v>
      </c>
      <c r="M2">
        <v>380</v>
      </c>
      <c r="N2">
        <v>1080</v>
      </c>
      <c r="O2">
        <v>12</v>
      </c>
      <c r="Q2" t="s">
        <v>1161</v>
      </c>
      <c r="R2" t="s">
        <v>1164</v>
      </c>
      <c r="S2" s="2">
        <f>HYPERLINK("https://yandex.ru/maps/?&amp;text=44.389034, 40.219938", "44.389034, 40.219938")</f>
        <v>0</v>
      </c>
      <c r="T2" s="2">
        <f>HYPERLINK("D:\torgi_project\venv_torgi\cache\objs_in_district/44.389034_40.219938.json", "44.389034_40.219938.json")</f>
        <v>0</v>
      </c>
      <c r="U2" t="s">
        <v>1166</v>
      </c>
      <c r="V2" s="7" t="s">
        <v>1628</v>
      </c>
    </row>
    <row r="3" spans="1:22">
      <c r="A3" s="8">
        <v>1</v>
      </c>
      <c r="B3">
        <v>1</v>
      </c>
      <c r="C3" s="1">
        <v>87.59999999999999</v>
      </c>
      <c r="D3" s="2">
        <f>HYPERLINK("https://torgi.gov.ru/new/public/lots/lot/22000066460000000012_1/(lotInfo:info)", "22000066460000000012_1")</f>
        <v>0</v>
      </c>
      <c r="E3" t="s">
        <v>22</v>
      </c>
      <c r="F3" s="3" t="s">
        <v>500</v>
      </c>
      <c r="G3" t="s">
        <v>711</v>
      </c>
      <c r="H3" s="4">
        <v>2329459</v>
      </c>
      <c r="I3" s="4">
        <v>26591.99771689498</v>
      </c>
      <c r="J3" s="5">
        <v>12.13</v>
      </c>
      <c r="K3" s="5">
        <v>3.92</v>
      </c>
      <c r="L3" s="4">
        <v>633.12</v>
      </c>
      <c r="M3">
        <v>2193</v>
      </c>
      <c r="N3">
        <v>6784</v>
      </c>
      <c r="O3">
        <v>42</v>
      </c>
      <c r="P3" s="6">
        <v>100</v>
      </c>
      <c r="Q3" t="s">
        <v>1161</v>
      </c>
      <c r="R3" t="s">
        <v>1164</v>
      </c>
      <c r="S3" s="2">
        <f>HYPERLINK("https://yandex.ru/maps/?&amp;text=44.617733, 40.063377", "44.617733, 40.063377")</f>
        <v>0</v>
      </c>
      <c r="T3" s="2">
        <f>HYPERLINK("D:\torgi_project\venv_torgi\cache\objs_in_district/44.617733_40.063377.json", "44.617733_40.063377.json")</f>
        <v>0</v>
      </c>
      <c r="U3" t="s">
        <v>1167</v>
      </c>
      <c r="V3" s="7" t="s">
        <v>1628</v>
      </c>
    </row>
    <row r="4" spans="1:22">
      <c r="A4" s="8">
        <v>2</v>
      </c>
      <c r="B4">
        <v>2</v>
      </c>
      <c r="C4" s="1">
        <v>330.9</v>
      </c>
      <c r="D4" s="2">
        <f>HYPERLINK("https://torgi.gov.ru/new/public/lots/lot/22000133770000000002_1/(lotInfo:info)", "22000133770000000002_1")</f>
        <v>0</v>
      </c>
      <c r="E4" t="s">
        <v>23</v>
      </c>
      <c r="F4" s="3" t="s">
        <v>501</v>
      </c>
      <c r="G4" t="s">
        <v>712</v>
      </c>
      <c r="H4" s="4">
        <v>900000</v>
      </c>
      <c r="I4" s="4">
        <v>2719.85494106981</v>
      </c>
      <c r="J4" s="5">
        <v>61.8</v>
      </c>
      <c r="K4" s="5">
        <v>36.25</v>
      </c>
      <c r="M4">
        <v>44</v>
      </c>
      <c r="N4">
        <v>75</v>
      </c>
      <c r="O4">
        <v>0</v>
      </c>
      <c r="P4" s="6">
        <v>5000</v>
      </c>
      <c r="Q4" t="s">
        <v>1161</v>
      </c>
      <c r="R4" t="s">
        <v>1164</v>
      </c>
      <c r="S4" s="2">
        <f>HYPERLINK("https://yandex.ru/maps/?&amp;text=55.645984, 54.600789", "55.645984, 54.600789")</f>
        <v>0</v>
      </c>
      <c r="U4" t="s">
        <v>1168</v>
      </c>
      <c r="V4" s="7" t="s">
        <v>1628</v>
      </c>
    </row>
    <row r="5" spans="1:22">
      <c r="A5" s="8">
        <v>3</v>
      </c>
      <c r="B5">
        <v>2</v>
      </c>
      <c r="C5" s="1">
        <v>169</v>
      </c>
      <c r="D5" s="2">
        <f>HYPERLINK("https://torgi.gov.ru/new/public/lots/lot/22000132840000000002_1/(lotInfo:info)", "22000132840000000002_1")</f>
        <v>0</v>
      </c>
      <c r="E5" t="s">
        <v>24</v>
      </c>
      <c r="F5" s="3" t="s">
        <v>502</v>
      </c>
      <c r="G5" t="s">
        <v>713</v>
      </c>
      <c r="H5" s="4">
        <v>640000</v>
      </c>
      <c r="I5" s="4">
        <v>3786.98224852071</v>
      </c>
      <c r="J5" s="5">
        <v>31.55</v>
      </c>
      <c r="K5" s="5">
        <v>15.97</v>
      </c>
      <c r="M5">
        <v>120</v>
      </c>
      <c r="N5">
        <v>237</v>
      </c>
      <c r="O5">
        <v>0</v>
      </c>
      <c r="P5" s="6">
        <v>5000</v>
      </c>
      <c r="Q5" t="s">
        <v>1161</v>
      </c>
      <c r="R5" t="s">
        <v>1164</v>
      </c>
      <c r="S5" s="2">
        <f>HYPERLINK("https://yandex.ru/maps/?&amp;text=55.402234, 54.543512", "55.402234, 54.543512")</f>
        <v>0</v>
      </c>
      <c r="U5" t="s">
        <v>1169</v>
      </c>
      <c r="V5" s="7" t="s">
        <v>1628</v>
      </c>
    </row>
    <row r="6" spans="1:22">
      <c r="A6" s="8">
        <v>4</v>
      </c>
      <c r="B6">
        <v>2</v>
      </c>
      <c r="C6" s="1">
        <v>61.4</v>
      </c>
      <c r="D6" s="2">
        <f>HYPERLINK("https://torgi.gov.ru/new/public/lots/lot/22000007650000000012_1/(lotInfo:info)", "22000007650000000012_1")</f>
        <v>0</v>
      </c>
      <c r="E6" t="s">
        <v>25</v>
      </c>
      <c r="F6" s="3" t="s">
        <v>503</v>
      </c>
      <c r="G6" t="s">
        <v>714</v>
      </c>
      <c r="H6" s="4">
        <v>722000</v>
      </c>
      <c r="I6" s="4">
        <v>11758.95765472313</v>
      </c>
      <c r="J6" s="5">
        <v>46.66</v>
      </c>
      <c r="K6" s="5">
        <v>53.69</v>
      </c>
      <c r="M6">
        <v>252</v>
      </c>
      <c r="N6">
        <v>219</v>
      </c>
      <c r="O6">
        <v>0</v>
      </c>
      <c r="P6" s="6">
        <v>5000</v>
      </c>
      <c r="Q6" t="s">
        <v>1161</v>
      </c>
      <c r="R6" t="s">
        <v>1164</v>
      </c>
      <c r="S6" s="2">
        <f>HYPERLINK("https://yandex.ru/maps/?&amp;text=56.138614, 54.409241", "56.138614, 54.409241")</f>
        <v>0</v>
      </c>
      <c r="U6" t="s">
        <v>1170</v>
      </c>
      <c r="V6" s="7" t="s">
        <v>1628</v>
      </c>
    </row>
    <row r="7" spans="1:22">
      <c r="A7" s="8">
        <v>5</v>
      </c>
      <c r="B7">
        <v>2</v>
      </c>
      <c r="C7" s="1">
        <v>93.3</v>
      </c>
      <c r="D7" s="2">
        <f>HYPERLINK("https://torgi.gov.ru/new/public/lots/lot/22000074550000000003_1/(lotInfo:info)", "22000074550000000003_1")</f>
        <v>0</v>
      </c>
      <c r="E7" t="s">
        <v>26</v>
      </c>
      <c r="F7" s="3" t="s">
        <v>504</v>
      </c>
      <c r="G7" t="s">
        <v>715</v>
      </c>
      <c r="H7" s="4">
        <v>1256400</v>
      </c>
      <c r="I7" s="4">
        <v>13466.23794212219</v>
      </c>
      <c r="J7" s="5">
        <v>70.87</v>
      </c>
      <c r="K7" s="5">
        <v>68.01000000000001</v>
      </c>
      <c r="M7">
        <v>190</v>
      </c>
      <c r="N7">
        <v>198</v>
      </c>
      <c r="O7">
        <v>0</v>
      </c>
      <c r="P7" s="6">
        <v>900</v>
      </c>
      <c r="Q7" t="s">
        <v>1162</v>
      </c>
      <c r="R7" t="s">
        <v>1164</v>
      </c>
      <c r="S7" s="2">
        <f>HYPERLINK("https://yandex.ru/maps/?&amp;text=54.561542, 55.226681", "54.561542, 55.226681")</f>
        <v>0</v>
      </c>
      <c r="U7" t="s">
        <v>1171</v>
      </c>
    </row>
    <row r="8" spans="1:22">
      <c r="A8" s="8">
        <v>6</v>
      </c>
      <c r="B8">
        <v>2</v>
      </c>
      <c r="C8" s="1">
        <v>116.2</v>
      </c>
      <c r="D8" s="2">
        <f>HYPERLINK("https://torgi.gov.ru/new/public/lots/lot/21000022850000000080_41/(lotInfo:info)", "21000022850000000080_41")</f>
        <v>0</v>
      </c>
      <c r="E8" t="s">
        <v>27</v>
      </c>
      <c r="F8" s="3" t="s">
        <v>505</v>
      </c>
      <c r="G8" t="s">
        <v>716</v>
      </c>
      <c r="H8" s="4">
        <v>1647300</v>
      </c>
      <c r="I8" s="4">
        <v>14176.41996557659</v>
      </c>
      <c r="J8" s="5">
        <v>132.49</v>
      </c>
      <c r="K8" s="5">
        <v>78.76000000000001</v>
      </c>
      <c r="L8" s="4">
        <v>14176</v>
      </c>
      <c r="M8">
        <v>107</v>
      </c>
      <c r="N8">
        <v>180</v>
      </c>
      <c r="O8">
        <v>1</v>
      </c>
      <c r="P8" s="6">
        <v>2100</v>
      </c>
      <c r="Q8" t="s">
        <v>1161</v>
      </c>
      <c r="R8" t="s">
        <v>1165</v>
      </c>
      <c r="S8" s="2">
        <f>HYPERLINK("https://yandex.ru/maps/?&amp;text=54.81226, 55.850507", "54.81226, 55.850507")</f>
        <v>0</v>
      </c>
      <c r="T8" s="2">
        <f>HYPERLINK("D:\torgi_project\venv_torgi\cache\objs_in_district/54.81226_55.850507.json", "54.81226_55.850507.json")</f>
        <v>0</v>
      </c>
      <c r="U8" t="s">
        <v>1172</v>
      </c>
    </row>
    <row r="9" spans="1:22">
      <c r="A9" s="8">
        <v>7</v>
      </c>
      <c r="B9">
        <v>2</v>
      </c>
      <c r="C9" s="1">
        <v>447.4</v>
      </c>
      <c r="D9" s="2">
        <f>HYPERLINK("https://torgi.gov.ru/new/public/lots/lot/21000022850000000080_12/(lotInfo:info)", "21000022850000000080_12")</f>
        <v>0</v>
      </c>
      <c r="E9" t="s">
        <v>28</v>
      </c>
      <c r="F9" s="3" t="s">
        <v>505</v>
      </c>
      <c r="G9" t="s">
        <v>717</v>
      </c>
      <c r="H9" s="4">
        <v>8236330</v>
      </c>
      <c r="I9" s="4">
        <v>18409.32051855163</v>
      </c>
      <c r="J9" s="5">
        <v>3.48</v>
      </c>
      <c r="K9" s="5">
        <v>39.08</v>
      </c>
      <c r="L9" s="4">
        <v>6136.33</v>
      </c>
      <c r="M9">
        <v>5294</v>
      </c>
      <c r="N9">
        <v>471</v>
      </c>
      <c r="O9">
        <v>3</v>
      </c>
      <c r="P9" s="6">
        <v>1400</v>
      </c>
      <c r="Q9" t="s">
        <v>1161</v>
      </c>
      <c r="R9" t="s">
        <v>1165</v>
      </c>
      <c r="S9" s="2">
        <f>HYPERLINK("https://yandex.ru/maps/?&amp;text=54.787178, 56.061746", "54.787178, 56.061746")</f>
        <v>0</v>
      </c>
      <c r="T9" s="2">
        <f>HYPERLINK("D:\torgi_project\venv_torgi\cache\objs_in_district/54.787178_56.061746.json", "54.787178_56.061746.json")</f>
        <v>0</v>
      </c>
      <c r="U9" t="s">
        <v>1173</v>
      </c>
    </row>
    <row r="10" spans="1:22">
      <c r="A10" s="8">
        <v>8</v>
      </c>
      <c r="B10">
        <v>2</v>
      </c>
      <c r="C10" s="1">
        <v>211.2</v>
      </c>
      <c r="D10" s="2">
        <f>HYPERLINK("https://torgi.gov.ru/new/public/lots/lot/22000036990000000030_1/(lotInfo:info)", "22000036990000000030_1")</f>
        <v>0</v>
      </c>
      <c r="E10" t="s">
        <v>29</v>
      </c>
      <c r="F10" s="3" t="s">
        <v>506</v>
      </c>
      <c r="G10" t="s">
        <v>718</v>
      </c>
      <c r="H10" s="4">
        <v>4000000</v>
      </c>
      <c r="I10" s="4">
        <v>18939.39393939394</v>
      </c>
      <c r="J10" s="5">
        <v>6.22</v>
      </c>
      <c r="K10" s="5">
        <v>12.7</v>
      </c>
      <c r="L10" s="4">
        <v>4734.75</v>
      </c>
      <c r="M10">
        <v>3044</v>
      </c>
      <c r="N10">
        <v>1491</v>
      </c>
      <c r="O10">
        <v>4</v>
      </c>
      <c r="P10" s="6">
        <v>1100</v>
      </c>
      <c r="Q10" t="s">
        <v>1161</v>
      </c>
      <c r="R10" t="s">
        <v>1164</v>
      </c>
      <c r="S10" s="2">
        <f>HYPERLINK("https://yandex.ru/maps/?&amp;text=54.487463, 53.516666", "54.487463, 53.516666")</f>
        <v>0</v>
      </c>
      <c r="T10" s="2">
        <f>HYPERLINK("D:\torgi_project\venv_torgi\cache\objs_in_district/54.487463_53.516666.json", "54.487463_53.516666.json")</f>
        <v>0</v>
      </c>
      <c r="U10" t="s">
        <v>1174</v>
      </c>
      <c r="V10" s="7" t="s">
        <v>1628</v>
      </c>
    </row>
    <row r="11" spans="1:22">
      <c r="A11" s="8">
        <v>9</v>
      </c>
      <c r="B11">
        <v>2</v>
      </c>
      <c r="C11" s="1">
        <v>140.4</v>
      </c>
      <c r="D11" s="2">
        <f>HYPERLINK("https://torgi.gov.ru/new/public/lots/lot/21000022850000000080_30/(lotInfo:info)", "21000022850000000080_30")</f>
        <v>0</v>
      </c>
      <c r="E11" t="s">
        <v>30</v>
      </c>
      <c r="F11" s="3" t="s">
        <v>505</v>
      </c>
      <c r="G11" t="s">
        <v>719</v>
      </c>
      <c r="H11" s="4">
        <v>2996250</v>
      </c>
      <c r="I11" s="4">
        <v>21340.81196581196</v>
      </c>
      <c r="J11" s="5">
        <v>127.02</v>
      </c>
      <c r="K11" s="5">
        <v>187.19</v>
      </c>
      <c r="M11">
        <v>168</v>
      </c>
      <c r="N11">
        <v>114</v>
      </c>
      <c r="O11">
        <v>0</v>
      </c>
      <c r="P11" s="6">
        <v>5000</v>
      </c>
      <c r="Q11" t="s">
        <v>1161</v>
      </c>
      <c r="R11" t="s">
        <v>1165</v>
      </c>
      <c r="S11" s="2">
        <f>HYPERLINK("https://yandex.ru/maps/?&amp;text=54.689924, 55.542106", "54.689924, 55.542106")</f>
        <v>0</v>
      </c>
      <c r="U11" t="s">
        <v>1175</v>
      </c>
    </row>
    <row r="12" spans="1:22">
      <c r="A12" s="8">
        <v>10</v>
      </c>
      <c r="B12">
        <v>2</v>
      </c>
      <c r="C12" s="1">
        <v>107.5</v>
      </c>
      <c r="D12" s="2">
        <f>HYPERLINK("https://torgi.gov.ru/new/public/lots/lot/22000036990000000032_1/(lotInfo:info)", "22000036990000000032_1")</f>
        <v>0</v>
      </c>
      <c r="E12" t="s">
        <v>31</v>
      </c>
      <c r="F12" s="3" t="s">
        <v>506</v>
      </c>
      <c r="G12" t="s">
        <v>720</v>
      </c>
      <c r="H12" s="4">
        <v>2546000</v>
      </c>
      <c r="I12" s="4">
        <v>23683.72093023256</v>
      </c>
      <c r="J12" s="5">
        <v>4.54</v>
      </c>
      <c r="K12" s="5">
        <v>3.28</v>
      </c>
      <c r="L12" s="4">
        <v>1691.64</v>
      </c>
      <c r="M12">
        <v>5213</v>
      </c>
      <c r="N12">
        <v>7230</v>
      </c>
      <c r="O12">
        <v>14</v>
      </c>
      <c r="P12" s="6">
        <v>900</v>
      </c>
      <c r="Q12" t="s">
        <v>1161</v>
      </c>
      <c r="R12" t="s">
        <v>1164</v>
      </c>
      <c r="S12" s="2">
        <f>HYPERLINK("https://yandex.ru/maps/?&amp;text=54.478033, 53.516477", "54.478033, 53.516477")</f>
        <v>0</v>
      </c>
      <c r="T12" s="2">
        <f>HYPERLINK("D:\torgi_project\venv_torgi\cache\objs_in_district/54.478033_53.516477.json", "54.478033_53.516477.json")</f>
        <v>0</v>
      </c>
      <c r="U12" t="s">
        <v>1176</v>
      </c>
      <c r="V12" s="7" t="s">
        <v>1629</v>
      </c>
    </row>
    <row r="13" spans="1:22">
      <c r="A13" s="8">
        <v>11</v>
      </c>
      <c r="B13">
        <v>2</v>
      </c>
      <c r="C13" s="1">
        <v>36.9</v>
      </c>
      <c r="D13" s="2">
        <f>HYPERLINK("https://torgi.gov.ru/new/public/lots/lot/21000022850000000080_64/(lotInfo:info)", "21000022850000000080_64")</f>
        <v>0</v>
      </c>
      <c r="E13" t="s">
        <v>32</v>
      </c>
      <c r="F13" s="3" t="s">
        <v>505</v>
      </c>
      <c r="G13" t="s">
        <v>721</v>
      </c>
      <c r="H13" s="4">
        <v>1120000</v>
      </c>
      <c r="I13" s="4">
        <v>30352.30352303523</v>
      </c>
      <c r="J13" s="5">
        <v>6.49</v>
      </c>
      <c r="K13" s="5">
        <v>6.75</v>
      </c>
      <c r="L13" s="4">
        <v>1597.47</v>
      </c>
      <c r="M13">
        <v>4679</v>
      </c>
      <c r="N13">
        <v>4494</v>
      </c>
      <c r="O13">
        <v>19</v>
      </c>
      <c r="P13" s="6">
        <v>500</v>
      </c>
      <c r="Q13" t="s">
        <v>1161</v>
      </c>
      <c r="R13" t="s">
        <v>1165</v>
      </c>
      <c r="S13" s="2">
        <f>HYPERLINK("https://yandex.ru/maps/?&amp;text=56.08994, 54.258468", "56.08994, 54.258468")</f>
        <v>0</v>
      </c>
      <c r="T13" s="2">
        <f>HYPERLINK("D:\torgi_project\venv_torgi\cache\objs_in_district/56.08994_54.258468.json", "56.08994_54.258468.json")</f>
        <v>0</v>
      </c>
      <c r="U13" t="s">
        <v>1177</v>
      </c>
    </row>
    <row r="14" spans="1:22">
      <c r="A14" s="8">
        <v>12</v>
      </c>
      <c r="B14">
        <v>2</v>
      </c>
      <c r="C14" s="1">
        <v>232</v>
      </c>
      <c r="D14" s="2">
        <f>HYPERLINK("https://torgi.gov.ru/new/public/lots/lot/21000002210000000840_2/(lotInfo:info)", "21000002210000000840_2")</f>
        <v>0</v>
      </c>
      <c r="E14" t="s">
        <v>33</v>
      </c>
      <c r="F14" s="3" t="s">
        <v>507</v>
      </c>
      <c r="G14" t="s">
        <v>722</v>
      </c>
      <c r="H14" s="4">
        <v>7220770.32</v>
      </c>
      <c r="I14" s="4">
        <v>31124.01</v>
      </c>
      <c r="J14" s="5">
        <v>5.02</v>
      </c>
      <c r="K14" s="5">
        <v>29.98</v>
      </c>
      <c r="L14" s="4">
        <v>1638.11</v>
      </c>
      <c r="M14">
        <v>6198</v>
      </c>
      <c r="N14">
        <v>1038</v>
      </c>
      <c r="O14">
        <v>19</v>
      </c>
      <c r="Q14" t="s">
        <v>1162</v>
      </c>
      <c r="R14" t="s">
        <v>1164</v>
      </c>
      <c r="S14" s="2">
        <f>HYPERLINK("https://yandex.ru/maps/?&amp;text=54.74458, 55.91551", "54.74458, 55.91551")</f>
        <v>0</v>
      </c>
      <c r="T14" s="2">
        <f>HYPERLINK("D:\torgi_project\venv_torgi\cache\objs_in_district/54.74458_55.91551.json", "54.74458_55.91551.json")</f>
        <v>0</v>
      </c>
      <c r="U14" t="s">
        <v>1178</v>
      </c>
      <c r="V14" s="7" t="s">
        <v>1630</v>
      </c>
    </row>
    <row r="15" spans="1:22">
      <c r="A15" s="8">
        <v>13</v>
      </c>
      <c r="B15">
        <v>2</v>
      </c>
      <c r="C15" s="1">
        <v>103.4</v>
      </c>
      <c r="D15" s="2">
        <f>HYPERLINK("https://torgi.gov.ru/new/public/lots/lot/22000069900000000002_1/(lotInfo:info)", "22000069900000000002_1")</f>
        <v>0</v>
      </c>
      <c r="E15" t="s">
        <v>34</v>
      </c>
      <c r="F15" s="3" t="s">
        <v>508</v>
      </c>
      <c r="G15" t="s">
        <v>723</v>
      </c>
      <c r="H15" s="4">
        <v>3752390</v>
      </c>
      <c r="I15" s="4">
        <v>36290.03868471953</v>
      </c>
      <c r="J15" s="5">
        <v>8.16</v>
      </c>
      <c r="K15" s="5">
        <v>5.1</v>
      </c>
      <c r="L15" s="4">
        <v>355.78</v>
      </c>
      <c r="M15">
        <v>4450</v>
      </c>
      <c r="N15">
        <v>7116</v>
      </c>
      <c r="O15">
        <v>102</v>
      </c>
      <c r="P15" s="6">
        <v>100</v>
      </c>
      <c r="Q15" t="s">
        <v>1161</v>
      </c>
      <c r="R15" t="s">
        <v>1164</v>
      </c>
      <c r="S15" s="2">
        <f>HYPERLINK("https://yandex.ru/maps/?&amp;text=53.619865, 55.961296", "53.619865, 55.961296")</f>
        <v>0</v>
      </c>
      <c r="T15" s="2">
        <f>HYPERLINK("D:\torgi_project\venv_torgi\cache\objs_in_district/53.619865_55.961296.json", "53.619865_55.961296.json")</f>
        <v>0</v>
      </c>
      <c r="U15" t="s">
        <v>1179</v>
      </c>
      <c r="V15" s="7" t="s">
        <v>1630</v>
      </c>
    </row>
    <row r="16" spans="1:22">
      <c r="A16" s="8">
        <v>14</v>
      </c>
      <c r="B16">
        <v>2</v>
      </c>
      <c r="C16" s="1">
        <v>105.8</v>
      </c>
      <c r="D16" s="2">
        <f>HYPERLINK("https://torgi.gov.ru/new/public/lots/lot/21000022850000000080_29/(lotInfo:info)", "21000022850000000080_29")</f>
        <v>0</v>
      </c>
      <c r="E16" t="s">
        <v>35</v>
      </c>
      <c r="F16" s="3" t="s">
        <v>505</v>
      </c>
      <c r="G16" t="s">
        <v>724</v>
      </c>
      <c r="H16" s="4">
        <v>4033250</v>
      </c>
      <c r="I16" s="4">
        <v>38121.45557655955</v>
      </c>
      <c r="J16" s="5">
        <v>8.15</v>
      </c>
      <c r="K16" s="5">
        <v>19.22</v>
      </c>
      <c r="L16" s="4">
        <v>1058.92</v>
      </c>
      <c r="M16">
        <v>4680</v>
      </c>
      <c r="N16">
        <v>1983</v>
      </c>
      <c r="O16">
        <v>36</v>
      </c>
      <c r="P16" s="6">
        <v>700</v>
      </c>
      <c r="Q16" t="s">
        <v>1161</v>
      </c>
      <c r="R16" t="s">
        <v>1165</v>
      </c>
      <c r="S16" s="2">
        <f>HYPERLINK("https://yandex.ru/maps/?&amp;text=56.098236, 54.22825", "56.098236, 54.22825")</f>
        <v>0</v>
      </c>
      <c r="T16" s="2">
        <f>HYPERLINK("D:\torgi_project\venv_torgi\cache\objs_in_district/56.098236_54.22825.json", "56.098236_54.22825.json")</f>
        <v>0</v>
      </c>
      <c r="U16" t="s">
        <v>1180</v>
      </c>
    </row>
    <row r="17" spans="1:22">
      <c r="A17" s="8">
        <v>15</v>
      </c>
      <c r="B17">
        <v>2</v>
      </c>
      <c r="C17" s="1">
        <v>67.40000000000001</v>
      </c>
      <c r="D17" s="2">
        <f>HYPERLINK("https://torgi.gov.ru/new/public/lots/lot/21000022850000000080_65/(lotInfo:info)", "21000022850000000080_65")</f>
        <v>0</v>
      </c>
      <c r="E17" t="s">
        <v>36</v>
      </c>
      <c r="F17" s="3" t="s">
        <v>505</v>
      </c>
      <c r="G17" t="s">
        <v>725</v>
      </c>
      <c r="H17" s="4">
        <v>2600000</v>
      </c>
      <c r="I17" s="4">
        <v>38575.66765578635</v>
      </c>
      <c r="J17" s="5">
        <v>8.49</v>
      </c>
      <c r="K17" s="5">
        <v>10.29</v>
      </c>
      <c r="L17" s="4">
        <v>7715</v>
      </c>
      <c r="M17">
        <v>4545</v>
      </c>
      <c r="N17">
        <v>3749</v>
      </c>
      <c r="O17">
        <v>5</v>
      </c>
      <c r="P17" s="6">
        <v>300</v>
      </c>
      <c r="Q17" t="s">
        <v>1161</v>
      </c>
      <c r="R17" t="s">
        <v>1165</v>
      </c>
      <c r="S17" s="2">
        <f>HYPERLINK("https://yandex.ru/maps/?&amp;text=54.790957, 56.047364", "54.790957, 56.047364")</f>
        <v>0</v>
      </c>
      <c r="T17" s="2">
        <f>HYPERLINK("D:\torgi_project\venv_torgi\cache\objs_in_district/54.790957_56.047364.json", "54.790957_56.047364.json")</f>
        <v>0</v>
      </c>
      <c r="U17" t="s">
        <v>1181</v>
      </c>
    </row>
    <row r="18" spans="1:22">
      <c r="A18" s="8">
        <v>16</v>
      </c>
      <c r="B18">
        <v>2</v>
      </c>
      <c r="C18" s="1">
        <v>138.2</v>
      </c>
      <c r="D18" s="2">
        <f>HYPERLINK("https://torgi.gov.ru/new/public/lots/lot/22000036990000000031_1/(lotInfo:info)", "22000036990000000031_1")</f>
        <v>0</v>
      </c>
      <c r="E18" t="s">
        <v>37</v>
      </c>
      <c r="F18" s="3" t="s">
        <v>506</v>
      </c>
      <c r="G18" t="s">
        <v>726</v>
      </c>
      <c r="H18" s="4">
        <v>5600000</v>
      </c>
      <c r="I18" s="4">
        <v>40520.98408104197</v>
      </c>
      <c r="J18" s="5">
        <v>33.96</v>
      </c>
      <c r="K18" s="5">
        <v>12.85</v>
      </c>
      <c r="L18" s="4">
        <v>5788.57</v>
      </c>
      <c r="M18">
        <v>1193</v>
      </c>
      <c r="N18">
        <v>3153</v>
      </c>
      <c r="O18">
        <v>7</v>
      </c>
      <c r="P18" s="6">
        <v>900</v>
      </c>
      <c r="Q18" t="s">
        <v>1161</v>
      </c>
      <c r="R18" t="s">
        <v>1164</v>
      </c>
      <c r="S18" s="2">
        <f>HYPERLINK("https://yandex.ru/maps/?&amp;text=54.473005, 53.531308", "54.473005, 53.531308")</f>
        <v>0</v>
      </c>
      <c r="T18" s="2">
        <f>HYPERLINK("D:\torgi_project\venv_torgi\cache\objs_in_district/54.473005_53.531308.json", "54.473005_53.531308.json")</f>
        <v>0</v>
      </c>
      <c r="U18" t="s">
        <v>1182</v>
      </c>
      <c r="V18" s="7" t="s">
        <v>1628</v>
      </c>
    </row>
    <row r="19" spans="1:22">
      <c r="A19" s="8">
        <v>17</v>
      </c>
      <c r="B19">
        <v>2</v>
      </c>
      <c r="C19" s="1">
        <v>69.8</v>
      </c>
      <c r="D19" s="2">
        <f>HYPERLINK("https://torgi.gov.ru/new/public/lots/lot/21000002210000000844_1/(lotInfo:info)", "21000002210000000844_1")</f>
        <v>0</v>
      </c>
      <c r="E19" t="s">
        <v>38</v>
      </c>
      <c r="F19" s="3" t="s">
        <v>509</v>
      </c>
      <c r="G19" t="s">
        <v>727</v>
      </c>
      <c r="H19" s="4">
        <v>3005651.52</v>
      </c>
      <c r="I19" s="4">
        <v>43060.9100286533</v>
      </c>
      <c r="J19" s="5">
        <v>6.16</v>
      </c>
      <c r="K19" s="5">
        <v>37.02</v>
      </c>
      <c r="L19" s="4">
        <v>2153</v>
      </c>
      <c r="M19">
        <v>6986</v>
      </c>
      <c r="N19">
        <v>1163</v>
      </c>
      <c r="O19">
        <v>20</v>
      </c>
      <c r="P19" s="6">
        <v>500</v>
      </c>
      <c r="Q19" t="s">
        <v>1161</v>
      </c>
      <c r="R19" t="s">
        <v>1164</v>
      </c>
      <c r="S19" s="2">
        <f>HYPERLINK("https://yandex.ru/maps/?&amp;text=54.711005, 55.989198", "54.711005, 55.989198")</f>
        <v>0</v>
      </c>
      <c r="T19" s="2">
        <f>HYPERLINK("D:\torgi_project\venv_torgi\cache\objs_in_district/54.711005_55.989198.json", "54.711005_55.989198.json")</f>
        <v>0</v>
      </c>
      <c r="U19" t="s">
        <v>1183</v>
      </c>
      <c r="V19" s="7" t="s">
        <v>1629</v>
      </c>
    </row>
    <row r="20" spans="1:22">
      <c r="A20" s="8">
        <v>18</v>
      </c>
      <c r="B20">
        <v>2</v>
      </c>
      <c r="C20" s="1">
        <v>143.7</v>
      </c>
      <c r="D20" s="2">
        <f>HYPERLINK("https://torgi.gov.ru/new/public/lots/lot/21000015350000000009_1/(lotInfo:info)", "21000015350000000009_1")</f>
        <v>0</v>
      </c>
      <c r="E20" t="s">
        <v>39</v>
      </c>
      <c r="F20" s="3" t="s">
        <v>510</v>
      </c>
      <c r="G20" t="s">
        <v>728</v>
      </c>
      <c r="H20" s="4">
        <v>6526000</v>
      </c>
      <c r="I20" s="4">
        <v>45414.05706332638</v>
      </c>
      <c r="J20" s="5">
        <v>9.75</v>
      </c>
      <c r="K20" s="5">
        <v>95.20999999999999</v>
      </c>
      <c r="L20" s="4">
        <v>1464.97</v>
      </c>
      <c r="M20">
        <v>4658</v>
      </c>
      <c r="N20">
        <v>477</v>
      </c>
      <c r="O20">
        <v>31</v>
      </c>
      <c r="P20" s="6">
        <v>200</v>
      </c>
      <c r="Q20" t="s">
        <v>1161</v>
      </c>
      <c r="R20" t="s">
        <v>1164</v>
      </c>
      <c r="S20" s="2">
        <f>HYPERLINK("https://yandex.ru/maps/?&amp;text=54.709616, 55.969767", "54.709616, 55.969767")</f>
        <v>0</v>
      </c>
      <c r="T20" s="2">
        <f>HYPERLINK("D:\torgi_project\venv_torgi\cache\objs_in_district/54.709616_55.969767.json", "54.709616_55.969767.json")</f>
        <v>0</v>
      </c>
      <c r="U20" t="s">
        <v>1184</v>
      </c>
    </row>
    <row r="21" spans="1:22">
      <c r="A21" s="8">
        <v>19</v>
      </c>
      <c r="B21">
        <v>2</v>
      </c>
      <c r="C21" s="1">
        <v>104</v>
      </c>
      <c r="D21" s="2">
        <f>HYPERLINK("https://torgi.gov.ru/new/public/lots/lot/21000015350000000008_1/(lotInfo:info)", "21000015350000000008_1")</f>
        <v>0</v>
      </c>
      <c r="E21" t="s">
        <v>40</v>
      </c>
      <c r="F21" s="3" t="s">
        <v>510</v>
      </c>
      <c r="G21" t="s">
        <v>729</v>
      </c>
      <c r="H21" s="4">
        <v>4845000</v>
      </c>
      <c r="I21" s="4">
        <v>46586.53846153846</v>
      </c>
      <c r="J21" s="5">
        <v>10</v>
      </c>
      <c r="K21" s="5">
        <v>97.66</v>
      </c>
      <c r="L21" s="4">
        <v>1502.77</v>
      </c>
      <c r="M21">
        <v>4658</v>
      </c>
      <c r="N21">
        <v>477</v>
      </c>
      <c r="O21">
        <v>31</v>
      </c>
      <c r="P21" s="6">
        <v>200</v>
      </c>
      <c r="Q21" t="s">
        <v>1161</v>
      </c>
      <c r="R21" t="s">
        <v>1164</v>
      </c>
      <c r="S21" s="2">
        <f>HYPERLINK("https://yandex.ru/maps/?&amp;text=54.709616, 55.969767", "54.709616, 55.969767")</f>
        <v>0</v>
      </c>
      <c r="T21" s="2">
        <f>HYPERLINK("D:\torgi_project\venv_torgi\cache\objs_in_district/54.709616_55.969767.json", "54.709616_55.969767.json")</f>
        <v>0</v>
      </c>
      <c r="U21" t="s">
        <v>1185</v>
      </c>
    </row>
    <row r="22" spans="1:22">
      <c r="A22" s="8">
        <v>20</v>
      </c>
      <c r="B22">
        <v>2</v>
      </c>
      <c r="C22" s="1">
        <v>27.3</v>
      </c>
      <c r="D22" s="2">
        <f>HYPERLINK("https://torgi.gov.ru/new/public/lots/lot/21000002210000000839_1/(lotInfo:info)", "21000002210000000839_1")</f>
        <v>0</v>
      </c>
      <c r="E22" t="s">
        <v>41</v>
      </c>
      <c r="F22" s="3" t="s">
        <v>507</v>
      </c>
      <c r="G22" t="s">
        <v>730</v>
      </c>
      <c r="H22" s="4">
        <v>2012044.4</v>
      </c>
      <c r="I22" s="4">
        <v>73701.26007326007</v>
      </c>
      <c r="J22" s="5">
        <v>12.71</v>
      </c>
      <c r="K22" s="5">
        <v>43.79</v>
      </c>
      <c r="L22" s="4">
        <v>2047.25</v>
      </c>
      <c r="M22">
        <v>5798</v>
      </c>
      <c r="N22">
        <v>1683</v>
      </c>
      <c r="O22">
        <v>36</v>
      </c>
      <c r="Q22" t="s">
        <v>1161</v>
      </c>
      <c r="R22" t="s">
        <v>1164</v>
      </c>
      <c r="S22" s="2">
        <f>HYPERLINK("https://yandex.ru/maps/?&amp;text=54.755784, 56.021169", "54.755784, 56.021169")</f>
        <v>0</v>
      </c>
      <c r="T22" s="2">
        <f>HYPERLINK("D:\torgi_project\venv_torgi\cache\objs_in_district/54.755784_56.021169.json", "54.755784_56.021169.json")</f>
        <v>0</v>
      </c>
      <c r="U22" t="s">
        <v>1186</v>
      </c>
      <c r="V22" s="7" t="s">
        <v>1630</v>
      </c>
    </row>
    <row r="23" spans="1:22">
      <c r="A23" s="8">
        <v>21</v>
      </c>
      <c r="B23">
        <v>2</v>
      </c>
      <c r="C23" s="1">
        <v>33</v>
      </c>
      <c r="D23" s="2">
        <f>HYPERLINK("https://torgi.gov.ru/new/public/lots/lot/21000022850000000080_52/(lotInfo:info)", "21000022850000000080_52")</f>
        <v>0</v>
      </c>
      <c r="E23" t="s">
        <v>42</v>
      </c>
      <c r="F23" s="3" t="s">
        <v>505</v>
      </c>
      <c r="G23" t="s">
        <v>731</v>
      </c>
      <c r="H23" s="4">
        <v>2690250</v>
      </c>
      <c r="I23" s="4">
        <v>81522.72727272728</v>
      </c>
      <c r="J23" s="5">
        <v>21.53</v>
      </c>
      <c r="K23" s="5">
        <v>15.79</v>
      </c>
      <c r="L23" s="4">
        <v>3135.46</v>
      </c>
      <c r="M23">
        <v>3786</v>
      </c>
      <c r="N23">
        <v>5164</v>
      </c>
      <c r="O23">
        <v>26</v>
      </c>
      <c r="P23" s="6">
        <v>400</v>
      </c>
      <c r="Q23" t="s">
        <v>1161</v>
      </c>
      <c r="R23" t="s">
        <v>1165</v>
      </c>
      <c r="S23" s="2">
        <f>HYPERLINK("https://yandex.ru/maps/?&amp;text=54.76039, 56.004486", "54.76039, 56.004486")</f>
        <v>0</v>
      </c>
      <c r="T23" s="2">
        <f>HYPERLINK("D:\torgi_project\venv_torgi\cache\objs_in_district/54.76039_56.004486.json", "54.76039_56.004486.json")</f>
        <v>0</v>
      </c>
      <c r="U23" t="s">
        <v>1187</v>
      </c>
    </row>
    <row r="24" spans="1:22">
      <c r="A24" s="8">
        <v>22</v>
      </c>
      <c r="B24">
        <v>2</v>
      </c>
      <c r="C24" s="1">
        <v>15.9</v>
      </c>
      <c r="D24" s="2">
        <f>HYPERLINK("https://torgi.gov.ru/new/public/lots/lot/21000002210000000844_2/(lotInfo:info)", "21000002210000000844_2")</f>
        <v>0</v>
      </c>
      <c r="E24" t="s">
        <v>43</v>
      </c>
      <c r="F24" s="3" t="s">
        <v>509</v>
      </c>
      <c r="G24" t="s">
        <v>732</v>
      </c>
      <c r="H24" s="4">
        <v>2795000</v>
      </c>
      <c r="I24" s="4">
        <v>175786.1635220126</v>
      </c>
      <c r="J24" s="5">
        <v>24.7</v>
      </c>
      <c r="K24" s="5">
        <v>31.49</v>
      </c>
      <c r="L24" s="4">
        <v>2746.66</v>
      </c>
      <c r="M24">
        <v>7116</v>
      </c>
      <c r="N24">
        <v>5583</v>
      </c>
      <c r="O24">
        <v>64</v>
      </c>
      <c r="Q24" t="s">
        <v>1161</v>
      </c>
      <c r="R24" t="s">
        <v>1164</v>
      </c>
      <c r="S24" s="2">
        <f>HYPERLINK("https://yandex.ru/maps/?&amp;text=54.740911, 55.985317", "54.740911, 55.985317")</f>
        <v>0</v>
      </c>
      <c r="T24" s="2">
        <f>HYPERLINK("D:\torgi_project\venv_torgi\cache\objs_in_district/54.740911_55.985317.json", "54.740911_55.985317.json")</f>
        <v>0</v>
      </c>
      <c r="U24" t="s">
        <v>1188</v>
      </c>
      <c r="V24" s="7" t="s">
        <v>1628</v>
      </c>
    </row>
    <row r="25" spans="1:22">
      <c r="A25" s="8">
        <v>23</v>
      </c>
      <c r="B25">
        <v>3</v>
      </c>
      <c r="C25" s="1">
        <v>278.3</v>
      </c>
      <c r="D25" s="2">
        <f>HYPERLINK("https://torgi.gov.ru/new/public/lots/lot/21000031670000000148_2/(lotInfo:info)", "21000031670000000148_2")</f>
        <v>0</v>
      </c>
      <c r="E25" t="s">
        <v>44</v>
      </c>
      <c r="F25" s="3" t="s">
        <v>511</v>
      </c>
      <c r="G25" t="s">
        <v>733</v>
      </c>
      <c r="H25" s="4">
        <v>940950</v>
      </c>
      <c r="I25" s="4">
        <v>3381.063600431189</v>
      </c>
      <c r="J25" s="5">
        <v>3.56</v>
      </c>
      <c r="K25" s="5">
        <v>6.37</v>
      </c>
      <c r="M25">
        <v>951</v>
      </c>
      <c r="N25">
        <v>531</v>
      </c>
      <c r="O25">
        <v>0</v>
      </c>
      <c r="P25" s="6">
        <v>3900</v>
      </c>
      <c r="Q25" t="s">
        <v>1161</v>
      </c>
      <c r="R25" t="s">
        <v>1165</v>
      </c>
      <c r="S25" s="2">
        <f>HYPERLINK("https://yandex.ru/maps/?&amp;text=51.831024, 107.476165", "51.831024, 107.476165")</f>
        <v>0</v>
      </c>
      <c r="U25" t="s">
        <v>1189</v>
      </c>
    </row>
    <row r="26" spans="1:22">
      <c r="A26" s="8">
        <v>24</v>
      </c>
      <c r="B26">
        <v>3</v>
      </c>
      <c r="C26" s="1">
        <v>547</v>
      </c>
      <c r="D26" s="2">
        <f>HYPERLINK("https://torgi.gov.ru/new/public/lots/lot/22000005550000000002_1/(lotInfo:info)", "22000005550000000002_1")</f>
        <v>0</v>
      </c>
      <c r="E26" t="s">
        <v>45</v>
      </c>
      <c r="F26" s="3" t="s">
        <v>512</v>
      </c>
      <c r="G26" t="s">
        <v>734</v>
      </c>
      <c r="H26" s="4">
        <v>2989067.37</v>
      </c>
      <c r="I26" s="4">
        <v>5464.474168190128</v>
      </c>
      <c r="J26" s="5">
        <v>5.06</v>
      </c>
      <c r="K26" s="5">
        <v>5.66</v>
      </c>
      <c r="L26" s="4">
        <v>2732</v>
      </c>
      <c r="M26">
        <v>1079</v>
      </c>
      <c r="N26">
        <v>966</v>
      </c>
      <c r="O26">
        <v>2</v>
      </c>
      <c r="P26" s="6">
        <v>400</v>
      </c>
      <c r="Q26" t="s">
        <v>1161</v>
      </c>
      <c r="R26" t="s">
        <v>1164</v>
      </c>
      <c r="S26" s="2">
        <f>HYPERLINK("https://yandex.ru/maps/?&amp;text=55.77594, 109.565952", "55.77594, 109.565952")</f>
        <v>0</v>
      </c>
      <c r="T26" s="2">
        <f>HYPERLINK("D:\torgi_project\venv_torgi\cache\objs_in_district/55.77594_109.565952.json", "55.77594_109.565952.json")</f>
        <v>0</v>
      </c>
      <c r="U26" t="s">
        <v>1190</v>
      </c>
      <c r="V26" s="7" t="s">
        <v>1628</v>
      </c>
    </row>
    <row r="27" spans="1:22">
      <c r="A27" s="8">
        <v>25</v>
      </c>
      <c r="B27">
        <v>3</v>
      </c>
      <c r="C27" s="1">
        <v>56.2</v>
      </c>
      <c r="D27" s="2">
        <f>HYPERLINK("https://torgi.gov.ru/new/public/lots/lot/22000130850000000001_1/(lotInfo:info)", "22000130850000000001_1")</f>
        <v>0</v>
      </c>
      <c r="E27" t="s">
        <v>46</v>
      </c>
      <c r="F27" s="3" t="s">
        <v>513</v>
      </c>
      <c r="G27" t="s">
        <v>735</v>
      </c>
      <c r="H27" s="4">
        <v>588704</v>
      </c>
      <c r="I27" s="4">
        <v>10475.16014234875</v>
      </c>
      <c r="J27" s="5">
        <v>13.89</v>
      </c>
      <c r="K27" s="5">
        <v>32.33</v>
      </c>
      <c r="L27" s="4">
        <v>3491.67</v>
      </c>
      <c r="M27">
        <v>754</v>
      </c>
      <c r="N27">
        <v>324</v>
      </c>
      <c r="O27">
        <v>3</v>
      </c>
      <c r="P27" s="6">
        <v>400</v>
      </c>
      <c r="Q27" t="s">
        <v>1161</v>
      </c>
      <c r="R27" t="s">
        <v>1164</v>
      </c>
      <c r="S27" s="2">
        <f>HYPERLINK("https://yandex.ru/maps/?&amp;text=52.198426, 107.638698", "52.198426, 107.638698")</f>
        <v>0</v>
      </c>
      <c r="T27" s="2">
        <f>HYPERLINK("D:\torgi_project\venv_torgi\cache\objs_in_district/52.198426_107.638698.json", "52.198426_107.638698.json")</f>
        <v>0</v>
      </c>
      <c r="U27" t="s">
        <v>1191</v>
      </c>
      <c r="V27" s="7" t="s">
        <v>1628</v>
      </c>
    </row>
    <row r="28" spans="1:22">
      <c r="A28" s="8">
        <v>26</v>
      </c>
      <c r="B28">
        <v>3</v>
      </c>
      <c r="C28" s="1">
        <v>40.4</v>
      </c>
      <c r="D28" s="2">
        <f>HYPERLINK("https://torgi.gov.ru/new/public/lots/lot/21000031670000000159_3/(lotInfo:info)", "21000031670000000159_3")</f>
        <v>0</v>
      </c>
      <c r="E28" t="s">
        <v>47</v>
      </c>
      <c r="F28" s="3" t="s">
        <v>514</v>
      </c>
      <c r="G28" t="s">
        <v>736</v>
      </c>
      <c r="H28" s="4">
        <v>1122000</v>
      </c>
      <c r="I28" s="4">
        <v>27772.27722772277</v>
      </c>
      <c r="J28" s="5">
        <v>11.23</v>
      </c>
      <c r="K28" s="5">
        <v>6.92</v>
      </c>
      <c r="L28" s="4">
        <v>2136.31</v>
      </c>
      <c r="M28">
        <v>2472</v>
      </c>
      <c r="N28">
        <v>4014</v>
      </c>
      <c r="O28">
        <v>13</v>
      </c>
      <c r="P28" s="6">
        <v>200</v>
      </c>
      <c r="Q28" t="s">
        <v>1161</v>
      </c>
      <c r="R28" t="s">
        <v>1165</v>
      </c>
      <c r="S28" s="2">
        <f>HYPERLINK("https://yandex.ru/maps/?&amp;text=51.865414, 107.72488", "51.865414, 107.72488")</f>
        <v>0</v>
      </c>
      <c r="T28" s="2">
        <f>HYPERLINK("D:\torgi_project\venv_torgi\cache\objs_in_district/51.865414_107.72488.json", "51.865414_107.72488.json")</f>
        <v>0</v>
      </c>
      <c r="U28" t="s">
        <v>1192</v>
      </c>
    </row>
    <row r="29" spans="1:22">
      <c r="A29" s="8">
        <v>27</v>
      </c>
      <c r="B29">
        <v>3</v>
      </c>
      <c r="C29" s="1">
        <v>154.7</v>
      </c>
      <c r="D29" s="2">
        <f>HYPERLINK("https://torgi.gov.ru/new/public/lots/lot/21000031670000000173_2/(lotInfo:info)", "21000031670000000173_2")</f>
        <v>0</v>
      </c>
      <c r="E29" t="s">
        <v>48</v>
      </c>
      <c r="F29" s="3" t="s">
        <v>515</v>
      </c>
      <c r="G29" t="s">
        <v>737</v>
      </c>
      <c r="H29" s="4">
        <v>5814000</v>
      </c>
      <c r="I29" s="4">
        <v>37582.41758241758</v>
      </c>
      <c r="J29" s="5">
        <v>16.71</v>
      </c>
      <c r="K29" s="5">
        <v>10.01</v>
      </c>
      <c r="M29">
        <v>2249</v>
      </c>
      <c r="N29">
        <v>3756</v>
      </c>
      <c r="O29">
        <v>0</v>
      </c>
      <c r="P29" s="6">
        <v>1200</v>
      </c>
      <c r="Q29" t="s">
        <v>1161</v>
      </c>
      <c r="R29" t="s">
        <v>1165</v>
      </c>
      <c r="S29" s="2">
        <f>HYPERLINK("https://yandex.ru/maps/?&amp;text=51.860207, 107.714982", "51.860207, 107.714982")</f>
        <v>0</v>
      </c>
      <c r="U29" t="s">
        <v>1193</v>
      </c>
    </row>
    <row r="30" spans="1:22">
      <c r="A30" s="8">
        <v>28</v>
      </c>
      <c r="B30">
        <v>10</v>
      </c>
      <c r="C30" s="1">
        <v>104.4</v>
      </c>
      <c r="D30" s="2">
        <f>HYPERLINK("https://torgi.gov.ru/new/public/lots/lot/22000020710000000009_3/(lotInfo:info)", "22000020710000000009_3")</f>
        <v>0</v>
      </c>
      <c r="E30" t="s">
        <v>49</v>
      </c>
      <c r="F30" s="3" t="s">
        <v>516</v>
      </c>
      <c r="G30" t="s">
        <v>738</v>
      </c>
      <c r="H30" s="4">
        <v>780000</v>
      </c>
      <c r="I30" s="4">
        <v>7471.264367816091</v>
      </c>
      <c r="J30" s="5">
        <v>2.27</v>
      </c>
      <c r="K30" s="5">
        <v>1.01</v>
      </c>
      <c r="L30" s="4">
        <v>173.74</v>
      </c>
      <c r="M30">
        <v>3287</v>
      </c>
      <c r="N30">
        <v>7425</v>
      </c>
      <c r="O30">
        <v>43</v>
      </c>
      <c r="P30" s="6">
        <v>400</v>
      </c>
      <c r="Q30" t="s">
        <v>1161</v>
      </c>
      <c r="R30" t="s">
        <v>1164</v>
      </c>
      <c r="S30" s="2">
        <f>HYPERLINK("https://yandex.ru/maps/?&amp;text=61.802273, 34.324043", "61.802273, 34.324043")</f>
        <v>0</v>
      </c>
      <c r="T30" s="2">
        <f>HYPERLINK("D:\torgi_project\venv_torgi\cache\objs_in_district/61.802273_34.324043.json", "61.802273_34.324043.json")</f>
        <v>0</v>
      </c>
      <c r="U30" t="s">
        <v>1194</v>
      </c>
      <c r="V30" s="7" t="s">
        <v>1629</v>
      </c>
    </row>
    <row r="31" spans="1:22">
      <c r="A31" s="8">
        <v>29</v>
      </c>
      <c r="B31">
        <v>10</v>
      </c>
      <c r="C31" s="1">
        <v>141.6</v>
      </c>
      <c r="D31" s="2">
        <f>HYPERLINK("https://torgi.gov.ru/new/public/lots/lot/22000138830000000001_1/(lotInfo:info)", "22000138830000000001_1")</f>
        <v>0</v>
      </c>
      <c r="E31" t="s">
        <v>50</v>
      </c>
      <c r="F31" s="3" t="s">
        <v>517</v>
      </c>
      <c r="G31" t="s">
        <v>739</v>
      </c>
      <c r="H31" s="4">
        <v>1140000</v>
      </c>
      <c r="I31" s="4">
        <v>8050.847457627119</v>
      </c>
      <c r="J31" s="5">
        <v>161</v>
      </c>
      <c r="K31" s="5">
        <v>2.1</v>
      </c>
      <c r="L31" s="4">
        <v>187.21</v>
      </c>
      <c r="M31">
        <v>50</v>
      </c>
      <c r="N31">
        <v>3837</v>
      </c>
      <c r="O31">
        <v>43</v>
      </c>
      <c r="P31" s="6">
        <v>1700</v>
      </c>
      <c r="Q31" t="s">
        <v>1161</v>
      </c>
      <c r="R31" t="s">
        <v>1164</v>
      </c>
      <c r="S31" s="2">
        <f>HYPERLINK("https://yandex.ru/maps/?&amp;text=64.58489, 30.589603", "64.58489, 30.589603")</f>
        <v>0</v>
      </c>
      <c r="T31" s="2">
        <f>HYPERLINK("D:\torgi_project\venv_torgi\cache\objs_in_district/64.58489_30.589603.json", "64.58489_30.589603.json")</f>
        <v>0</v>
      </c>
      <c r="U31" t="s">
        <v>1195</v>
      </c>
      <c r="V31" s="7" t="s">
        <v>1631</v>
      </c>
    </row>
    <row r="32" spans="1:22">
      <c r="A32" s="8">
        <v>30</v>
      </c>
      <c r="B32">
        <v>10</v>
      </c>
      <c r="C32" s="1">
        <v>104.2</v>
      </c>
      <c r="D32" s="2">
        <f>HYPERLINK("https://torgi.gov.ru/new/public/lots/lot/22000058800000000003_1/(lotInfo:info)", "22000058800000000003_1")</f>
        <v>0</v>
      </c>
      <c r="E32" t="s">
        <v>51</v>
      </c>
      <c r="F32" s="3" t="s">
        <v>518</v>
      </c>
      <c r="G32" t="s">
        <v>740</v>
      </c>
      <c r="H32" s="4">
        <v>1968000</v>
      </c>
      <c r="I32" s="4">
        <v>18886.75623800384</v>
      </c>
      <c r="J32" s="5">
        <v>162.81</v>
      </c>
      <c r="K32" s="5">
        <v>7.47</v>
      </c>
      <c r="L32" s="4">
        <v>472.15</v>
      </c>
      <c r="M32">
        <v>116</v>
      </c>
      <c r="N32">
        <v>2528</v>
      </c>
      <c r="O32">
        <v>40</v>
      </c>
      <c r="Q32" t="s">
        <v>1162</v>
      </c>
      <c r="R32" t="s">
        <v>1164</v>
      </c>
      <c r="S32" s="2">
        <f>HYPERLINK("https://yandex.ru/maps/?&amp;text=61.86624, 34.24332", "61.86624, 34.24332")</f>
        <v>0</v>
      </c>
      <c r="T32" s="2">
        <f>HYPERLINK("D:\torgi_project\venv_torgi\cache\objs_in_district/61.86624_34.24332.json", "61.86624_34.24332.json")</f>
        <v>0</v>
      </c>
      <c r="U32" t="s">
        <v>1196</v>
      </c>
      <c r="V32" s="7" t="s">
        <v>1628</v>
      </c>
    </row>
    <row r="33" spans="1:22">
      <c r="A33" s="8">
        <v>31</v>
      </c>
      <c r="B33">
        <v>10</v>
      </c>
      <c r="C33" s="1">
        <v>17.6</v>
      </c>
      <c r="D33" s="2">
        <f>HYPERLINK("https://torgi.gov.ru/new/public/lots/lot/22000020710000000009_1/(lotInfo:info)", "22000020710000000009_1")</f>
        <v>0</v>
      </c>
      <c r="E33" t="s">
        <v>52</v>
      </c>
      <c r="F33" s="3" t="s">
        <v>516</v>
      </c>
      <c r="G33" t="s">
        <v>741</v>
      </c>
      <c r="H33" s="4">
        <v>544000</v>
      </c>
      <c r="I33" s="4">
        <v>30909.09090909091</v>
      </c>
      <c r="J33" s="5">
        <v>11.96</v>
      </c>
      <c r="K33" s="5">
        <v>13.36</v>
      </c>
      <c r="L33" s="4">
        <v>1287.88</v>
      </c>
      <c r="M33">
        <v>2584</v>
      </c>
      <c r="N33">
        <v>2314</v>
      </c>
      <c r="O33">
        <v>24</v>
      </c>
      <c r="P33" s="6">
        <v>600</v>
      </c>
      <c r="Q33" t="s">
        <v>1161</v>
      </c>
      <c r="R33" t="s">
        <v>1164</v>
      </c>
      <c r="S33" s="2">
        <f>HYPERLINK("https://yandex.ru/maps/?&amp;text=61.811063, 34.272246", "61.811063, 34.272246")</f>
        <v>0</v>
      </c>
      <c r="T33" s="2">
        <f>HYPERLINK("D:\torgi_project\venv_torgi\cache\objs_in_district/61.811063_34.272246.json", "61.811063_34.272246.json")</f>
        <v>0</v>
      </c>
      <c r="U33" t="s">
        <v>1197</v>
      </c>
      <c r="V33" s="7" t="s">
        <v>1628</v>
      </c>
    </row>
    <row r="34" spans="1:22">
      <c r="A34" s="8">
        <v>32</v>
      </c>
      <c r="B34">
        <v>10</v>
      </c>
      <c r="C34" s="1">
        <v>96.3</v>
      </c>
      <c r="D34" s="2">
        <f>HYPERLINK("https://torgi.gov.ru/new/public/lots/lot/22000069990000000003_1/(lotInfo:info)", "22000069990000000003_1")</f>
        <v>0</v>
      </c>
      <c r="E34" t="s">
        <v>53</v>
      </c>
      <c r="F34" s="3" t="s">
        <v>519</v>
      </c>
      <c r="G34" t="s">
        <v>742</v>
      </c>
      <c r="H34" s="4">
        <v>5000000</v>
      </c>
      <c r="I34" s="4">
        <v>51921.07995846314</v>
      </c>
      <c r="J34" s="5">
        <v>72.52</v>
      </c>
      <c r="K34" s="5">
        <v>13.72</v>
      </c>
      <c r="L34" s="4">
        <v>558.29</v>
      </c>
      <c r="M34">
        <v>716</v>
      </c>
      <c r="N34">
        <v>3784</v>
      </c>
      <c r="O34">
        <v>93</v>
      </c>
      <c r="P34" s="6">
        <v>200</v>
      </c>
      <c r="Q34" t="s">
        <v>1161</v>
      </c>
      <c r="R34" t="s">
        <v>1164</v>
      </c>
      <c r="S34" s="2">
        <f>HYPERLINK("https://yandex.ru/maps/?&amp;text=61.701971, 30.690618", "61.701971, 30.690618")</f>
        <v>0</v>
      </c>
      <c r="T34" s="2">
        <f>HYPERLINK("D:\torgi_project\venv_torgi\cache\objs_in_district/61.701971_30.690618.json", "61.701971_30.690618.json")</f>
        <v>0</v>
      </c>
      <c r="U34" t="s">
        <v>1198</v>
      </c>
      <c r="V34" s="7" t="s">
        <v>1628</v>
      </c>
    </row>
    <row r="35" spans="1:22">
      <c r="A35" s="8">
        <v>33</v>
      </c>
      <c r="B35">
        <v>11</v>
      </c>
      <c r="C35" s="1">
        <v>567</v>
      </c>
      <c r="D35" s="2">
        <f>HYPERLINK("https://torgi.gov.ru/new/public/lots/lot/21000001360000000021_1/(lotInfo:info)", "21000001360000000021_1")</f>
        <v>0</v>
      </c>
      <c r="E35" t="s">
        <v>54</v>
      </c>
      <c r="F35" s="3" t="s">
        <v>520</v>
      </c>
      <c r="G35" t="s">
        <v>743</v>
      </c>
      <c r="H35" s="4">
        <v>2448000</v>
      </c>
      <c r="I35" s="4">
        <v>4317.460317460317</v>
      </c>
      <c r="J35" s="5">
        <v>6.05</v>
      </c>
      <c r="K35" s="5">
        <v>17.77</v>
      </c>
      <c r="L35" s="4">
        <v>1439</v>
      </c>
      <c r="M35">
        <v>714</v>
      </c>
      <c r="N35">
        <v>243</v>
      </c>
      <c r="O35">
        <v>3</v>
      </c>
      <c r="P35" s="6">
        <v>1200</v>
      </c>
      <c r="Q35" t="s">
        <v>1162</v>
      </c>
      <c r="R35" t="s">
        <v>1164</v>
      </c>
      <c r="S35" s="2">
        <f>HYPERLINK("https://yandex.ru/maps/?&amp;text=63.5450316, 53.749994", "63.5450316, 53.749994")</f>
        <v>0</v>
      </c>
      <c r="T35" s="2">
        <f>HYPERLINK("D:\torgi_project\venv_torgi\cache\objs_in_district/63.5450316_53.749994.json", "63.5450316_53.749994.json")</f>
        <v>0</v>
      </c>
      <c r="U35" t="s">
        <v>1199</v>
      </c>
      <c r="V35" s="7" t="s">
        <v>1628</v>
      </c>
    </row>
    <row r="36" spans="1:22">
      <c r="A36" s="8">
        <v>34</v>
      </c>
      <c r="B36">
        <v>11</v>
      </c>
      <c r="C36" s="1">
        <v>1362.4</v>
      </c>
      <c r="D36" s="2">
        <f>HYPERLINK("https://torgi.gov.ru/new/public/lots/lot/22000078220000000046_15/(lotInfo:info)", "22000078220000000046_15")</f>
        <v>0</v>
      </c>
      <c r="E36" t="s">
        <v>55</v>
      </c>
      <c r="F36" s="3" t="s">
        <v>521</v>
      </c>
      <c r="G36" t="s">
        <v>744</v>
      </c>
      <c r="H36" s="4">
        <v>6009600</v>
      </c>
      <c r="I36" s="4">
        <v>4411.039342337052</v>
      </c>
      <c r="J36" s="5">
        <v>2.65</v>
      </c>
      <c r="K36" s="5">
        <v>63.93</v>
      </c>
      <c r="L36" s="4">
        <v>401</v>
      </c>
      <c r="M36">
        <v>1666</v>
      </c>
      <c r="N36">
        <v>69</v>
      </c>
      <c r="O36">
        <v>11</v>
      </c>
      <c r="P36" s="6">
        <v>1400</v>
      </c>
      <c r="Q36" t="s">
        <v>1161</v>
      </c>
      <c r="R36" t="s">
        <v>1165</v>
      </c>
      <c r="S36" s="2">
        <f>HYPERLINK("https://yandex.ru/maps/?&amp;text=63.557551, 53.718769", "63.557551, 53.718769")</f>
        <v>0</v>
      </c>
      <c r="T36" s="2">
        <f>HYPERLINK("D:\torgi_project\venv_torgi\cache\objs_in_district/63.557551_53.718769.json", "63.557551_53.718769.json")</f>
        <v>0</v>
      </c>
      <c r="U36" t="s">
        <v>1200</v>
      </c>
    </row>
    <row r="37" spans="1:22">
      <c r="A37" s="8">
        <v>35</v>
      </c>
      <c r="B37">
        <v>11</v>
      </c>
      <c r="C37" s="1">
        <v>500.8</v>
      </c>
      <c r="D37" s="2">
        <f>HYPERLINK("https://torgi.gov.ru/new/public/lots/lot/22000078220000000048_12/(lotInfo:info)", "22000078220000000048_12")</f>
        <v>0</v>
      </c>
      <c r="E37" t="s">
        <v>56</v>
      </c>
      <c r="F37" s="3" t="s">
        <v>522</v>
      </c>
      <c r="G37" t="s">
        <v>745</v>
      </c>
      <c r="H37" s="4">
        <v>2338775</v>
      </c>
      <c r="I37" s="4">
        <v>4670.077875399361</v>
      </c>
      <c r="J37" s="5">
        <v>1.99</v>
      </c>
      <c r="K37" s="5">
        <v>1.22</v>
      </c>
      <c r="L37" s="4">
        <v>65.77</v>
      </c>
      <c r="M37">
        <v>2348</v>
      </c>
      <c r="N37">
        <v>3816</v>
      </c>
      <c r="O37">
        <v>71</v>
      </c>
      <c r="P37" s="6">
        <v>600</v>
      </c>
      <c r="Q37" t="s">
        <v>1161</v>
      </c>
      <c r="R37" t="s">
        <v>1165</v>
      </c>
      <c r="S37" s="2">
        <f>HYPERLINK("https://yandex.ru/maps/?&amp;text=65.12935, 57.15776", "65.12935, 57.15776")</f>
        <v>0</v>
      </c>
      <c r="T37" s="2">
        <f>HYPERLINK("D:\torgi_project\venv_torgi\cache\objs_in_district/65.12935_57.15776.json", "65.12935_57.15776.json")</f>
        <v>0</v>
      </c>
      <c r="U37" t="s">
        <v>1201</v>
      </c>
      <c r="V37" s="7" t="s">
        <v>1630</v>
      </c>
    </row>
    <row r="38" spans="1:22">
      <c r="A38" s="8">
        <v>36</v>
      </c>
      <c r="B38">
        <v>11</v>
      </c>
      <c r="C38" s="1">
        <v>242.9</v>
      </c>
      <c r="D38" s="2">
        <f>HYPERLINK("https://torgi.gov.ru/new/public/lots/lot/21000001360000000020_1/(lotInfo:info)", "21000001360000000020_1")</f>
        <v>0</v>
      </c>
      <c r="E38" t="s">
        <v>57</v>
      </c>
      <c r="F38" s="3" t="s">
        <v>520</v>
      </c>
      <c r="G38" t="s">
        <v>746</v>
      </c>
      <c r="H38" s="4">
        <v>2019000</v>
      </c>
      <c r="I38" s="4">
        <v>8312.062577192261</v>
      </c>
      <c r="J38" s="5">
        <v>8.91</v>
      </c>
      <c r="K38" s="5">
        <v>2.1</v>
      </c>
      <c r="L38" s="4">
        <v>554.13</v>
      </c>
      <c r="M38">
        <v>933</v>
      </c>
      <c r="N38">
        <v>3966</v>
      </c>
      <c r="O38">
        <v>15</v>
      </c>
      <c r="P38" s="6">
        <v>200</v>
      </c>
      <c r="Q38" t="s">
        <v>1161</v>
      </c>
      <c r="R38" t="s">
        <v>1164</v>
      </c>
      <c r="S38" s="2">
        <f>HYPERLINK("https://yandex.ru/maps/?&amp;text=63.52591, 53.6055558", "63.52591, 53.6055558")</f>
        <v>0</v>
      </c>
      <c r="T38" s="2">
        <f>HYPERLINK("D:\torgi_project\venv_torgi\cache\objs_in_district/63.52591_53.6055558.json", "63.52591_53.6055558.json")</f>
        <v>0</v>
      </c>
      <c r="U38" t="s">
        <v>1202</v>
      </c>
      <c r="V38" s="7" t="s">
        <v>1628</v>
      </c>
    </row>
    <row r="39" spans="1:22">
      <c r="A39" s="8">
        <v>37</v>
      </c>
      <c r="B39">
        <v>11</v>
      </c>
      <c r="C39" s="1">
        <v>92.3</v>
      </c>
      <c r="D39" s="2">
        <f>HYPERLINK("https://torgi.gov.ru/new/public/lots/lot/21000001360000000016_1/(lotInfo:info)", "21000001360000000016_1")</f>
        <v>0</v>
      </c>
      <c r="E39" t="s">
        <v>58</v>
      </c>
      <c r="F39" s="3" t="s">
        <v>523</v>
      </c>
      <c r="G39" t="s">
        <v>747</v>
      </c>
      <c r="H39" s="4">
        <v>829406.3199999999</v>
      </c>
      <c r="I39" s="4">
        <v>8985.983965330444</v>
      </c>
      <c r="J39" s="5">
        <v>11.68</v>
      </c>
      <c r="K39" s="5">
        <v>8.77</v>
      </c>
      <c r="L39" s="4">
        <v>998.33</v>
      </c>
      <c r="M39">
        <v>769</v>
      </c>
      <c r="N39">
        <v>1025</v>
      </c>
      <c r="O39">
        <v>9</v>
      </c>
      <c r="P39" s="6">
        <v>700</v>
      </c>
      <c r="Q39" t="s">
        <v>1162</v>
      </c>
      <c r="R39" t="s">
        <v>1164</v>
      </c>
      <c r="S39" s="2">
        <f>HYPERLINK("https://yandex.ru/maps/?&amp;text=63.4354998, 53.5946849", "63.4354998, 53.5946849")</f>
        <v>0</v>
      </c>
      <c r="T39" s="2">
        <f>HYPERLINK("D:\torgi_project\venv_torgi\cache\objs_in_district/63.4354998_53.5946849.json", "63.4354998_53.5946849.json")</f>
        <v>0</v>
      </c>
      <c r="U39" t="s">
        <v>1203</v>
      </c>
      <c r="V39" s="7" t="s">
        <v>1628</v>
      </c>
    </row>
    <row r="40" spans="1:22">
      <c r="A40" s="8">
        <v>38</v>
      </c>
      <c r="B40">
        <v>11</v>
      </c>
      <c r="C40" s="1">
        <v>612.3</v>
      </c>
      <c r="D40" s="2">
        <f>HYPERLINK("https://torgi.gov.ru/new/public/lots/lot/22000078220000000046_20/(lotInfo:info)", "22000078220000000046_20")</f>
        <v>0</v>
      </c>
      <c r="E40" t="s">
        <v>59</v>
      </c>
      <c r="F40" s="3" t="s">
        <v>521</v>
      </c>
      <c r="G40" t="s">
        <v>748</v>
      </c>
      <c r="H40" s="4">
        <v>5681800</v>
      </c>
      <c r="I40" s="4">
        <v>9279.438183896784</v>
      </c>
      <c r="J40" s="5">
        <v>11.72</v>
      </c>
      <c r="K40" s="5">
        <v>441.86</v>
      </c>
      <c r="M40">
        <v>792</v>
      </c>
      <c r="N40">
        <v>21</v>
      </c>
      <c r="O40">
        <v>0</v>
      </c>
      <c r="P40" s="6">
        <v>1200</v>
      </c>
      <c r="Q40" t="s">
        <v>1161</v>
      </c>
      <c r="R40" t="s">
        <v>1165</v>
      </c>
      <c r="S40" s="2">
        <f>HYPERLINK("https://yandex.ru/maps/?&amp;text=61.072871, 50.071043", "61.072871, 50.071043")</f>
        <v>0</v>
      </c>
      <c r="U40" t="s">
        <v>1204</v>
      </c>
      <c r="V40" s="7" t="s">
        <v>1628</v>
      </c>
    </row>
    <row r="41" spans="1:22">
      <c r="A41" s="8">
        <v>39</v>
      </c>
      <c r="B41">
        <v>11</v>
      </c>
      <c r="C41" s="1">
        <v>112.5</v>
      </c>
      <c r="D41" s="2">
        <f>HYPERLINK("https://torgi.gov.ru/new/public/lots/lot/22000078220000000050_1/(lotInfo:info)", "22000078220000000050_1")</f>
        <v>0</v>
      </c>
      <c r="E41" t="s">
        <v>60</v>
      </c>
      <c r="F41" s="3" t="s">
        <v>524</v>
      </c>
      <c r="G41" t="s">
        <v>749</v>
      </c>
      <c r="H41" s="4">
        <v>1435200</v>
      </c>
      <c r="I41" s="4">
        <v>12757.33333333333</v>
      </c>
      <c r="P41" s="6">
        <v>5000</v>
      </c>
      <c r="Q41" t="s">
        <v>1161</v>
      </c>
      <c r="R41" t="s">
        <v>1165</v>
      </c>
      <c r="S41" s="2">
        <f>HYPERLINK("https://yandex.ru/maps/?&amp;text=61.962898, 50.483594", "61.962898, 50.483594")</f>
        <v>0</v>
      </c>
      <c r="U41" t="s">
        <v>1205</v>
      </c>
      <c r="V41" s="7" t="s">
        <v>1628</v>
      </c>
    </row>
    <row r="42" spans="1:22">
      <c r="A42" s="8">
        <v>40</v>
      </c>
      <c r="B42">
        <v>11</v>
      </c>
      <c r="C42" s="1">
        <v>70</v>
      </c>
      <c r="D42" s="2">
        <f>HYPERLINK("https://torgi.gov.ru/new/public/lots/lot/22000078220000000046_3/(lotInfo:info)", "22000078220000000046_3")</f>
        <v>0</v>
      </c>
      <c r="E42" t="s">
        <v>61</v>
      </c>
      <c r="F42" s="3" t="s">
        <v>521</v>
      </c>
      <c r="G42" t="s">
        <v>750</v>
      </c>
      <c r="H42" s="4">
        <v>2701000</v>
      </c>
      <c r="I42" s="4">
        <v>38585.71428571428</v>
      </c>
      <c r="J42" s="5">
        <v>18.96</v>
      </c>
      <c r="K42" s="5">
        <v>11.67</v>
      </c>
      <c r="L42" s="4">
        <v>1071.81</v>
      </c>
      <c r="M42">
        <v>2035</v>
      </c>
      <c r="N42">
        <v>3306</v>
      </c>
      <c r="O42">
        <v>36</v>
      </c>
      <c r="P42" s="6">
        <v>200</v>
      </c>
      <c r="Q42" t="s">
        <v>1161</v>
      </c>
      <c r="R42" t="s">
        <v>1165</v>
      </c>
      <c r="S42" s="2">
        <f>HYPERLINK("https://yandex.ru/maps/?&amp;text=63.56769, 53.660683", "63.56769, 53.660683")</f>
        <v>0</v>
      </c>
      <c r="T42" s="2">
        <f>HYPERLINK("D:\torgi_project\venv_torgi\cache\objs_in_district/63.56769_53.660683.json", "63.56769_53.660683.json")</f>
        <v>0</v>
      </c>
      <c r="U42" t="s">
        <v>1206</v>
      </c>
    </row>
    <row r="43" spans="1:22">
      <c r="A43" s="8">
        <v>41</v>
      </c>
      <c r="B43">
        <v>12</v>
      </c>
      <c r="C43" s="1">
        <v>476.6</v>
      </c>
      <c r="D43" s="2">
        <f>HYPERLINK("https://torgi.gov.ru/new/public/lots/lot/21000022630000000002_10/(lotInfo:info)", "21000022630000000002_10")</f>
        <v>0</v>
      </c>
      <c r="E43" t="s">
        <v>62</v>
      </c>
      <c r="F43" s="3" t="s">
        <v>525</v>
      </c>
      <c r="G43" t="s">
        <v>751</v>
      </c>
      <c r="H43" s="4">
        <v>1071400</v>
      </c>
      <c r="I43" s="4">
        <v>2248.006714225766</v>
      </c>
      <c r="J43" s="5">
        <v>4.51</v>
      </c>
      <c r="K43" s="5">
        <v>0.98</v>
      </c>
      <c r="L43" s="4">
        <v>562</v>
      </c>
      <c r="M43">
        <v>498</v>
      </c>
      <c r="N43">
        <v>2286</v>
      </c>
      <c r="O43">
        <v>4</v>
      </c>
      <c r="P43" s="6">
        <v>2000</v>
      </c>
      <c r="Q43" t="s">
        <v>1161</v>
      </c>
      <c r="R43" t="s">
        <v>1164</v>
      </c>
      <c r="S43" s="2">
        <f>HYPERLINK("https://yandex.ru/maps/?&amp;text=56.437214, 49.019527", "56.437214, 49.019527")</f>
        <v>0</v>
      </c>
      <c r="T43" s="2">
        <f>HYPERLINK("D:\torgi_project\venv_torgi\cache\objs_in_district/56.437214_49.019527.json", "56.437214_49.019527.json")</f>
        <v>0</v>
      </c>
      <c r="U43" t="s">
        <v>1207</v>
      </c>
      <c r="V43" s="7" t="s">
        <v>1628</v>
      </c>
    </row>
    <row r="44" spans="1:22">
      <c r="A44" s="8">
        <v>42</v>
      </c>
      <c r="B44">
        <v>12</v>
      </c>
      <c r="C44" s="1">
        <v>388.79</v>
      </c>
      <c r="D44" s="2">
        <f>HYPERLINK("https://torgi.gov.ru/new/public/lots/lot/21000001330000000001_1/(lotInfo:info)", "21000001330000000001_1")</f>
        <v>0</v>
      </c>
      <c r="E44" t="s">
        <v>63</v>
      </c>
      <c r="F44" s="3" t="s">
        <v>526</v>
      </c>
      <c r="G44" t="s">
        <v>752</v>
      </c>
      <c r="H44" s="4">
        <v>894000</v>
      </c>
      <c r="I44" s="4">
        <v>2299.441858072481</v>
      </c>
      <c r="J44" s="5">
        <v>0.87</v>
      </c>
      <c r="K44" s="5">
        <v>1.86</v>
      </c>
      <c r="L44" s="4">
        <v>95.79000000000001</v>
      </c>
      <c r="M44">
        <v>2634</v>
      </c>
      <c r="N44">
        <v>1236</v>
      </c>
      <c r="O44">
        <v>24</v>
      </c>
      <c r="P44" s="6">
        <v>400</v>
      </c>
      <c r="Q44" t="s">
        <v>1161</v>
      </c>
      <c r="R44" t="s">
        <v>1164</v>
      </c>
      <c r="S44" s="2">
        <f>HYPERLINK("https://yandex.ru/maps/?&amp;text=57.004803, 48.74018", "57.004803, 48.74018")</f>
        <v>0</v>
      </c>
      <c r="T44" s="2">
        <f>HYPERLINK("D:\torgi_project\venv_torgi\cache\objs_in_district/57.004803_48.74018.json", "57.004803_48.74018.json")</f>
        <v>0</v>
      </c>
      <c r="V44" s="7" t="s">
        <v>1630</v>
      </c>
    </row>
    <row r="45" spans="1:22">
      <c r="A45" s="8">
        <v>43</v>
      </c>
      <c r="B45">
        <v>12</v>
      </c>
      <c r="C45" s="1">
        <v>428.2</v>
      </c>
      <c r="D45" s="2">
        <f>HYPERLINK("https://torgi.gov.ru/new/public/lots/lot/21000025550000000057_8/(lotInfo:info)", "21000025550000000057_8")</f>
        <v>0</v>
      </c>
      <c r="E45" t="s">
        <v>64</v>
      </c>
      <c r="F45" s="3" t="s">
        <v>527</v>
      </c>
      <c r="G45" t="s">
        <v>753</v>
      </c>
      <c r="H45" s="4">
        <v>4996667</v>
      </c>
      <c r="I45" s="4">
        <v>11669.00280242877</v>
      </c>
      <c r="J45" s="5">
        <v>2.46</v>
      </c>
      <c r="K45" s="5">
        <v>19.71</v>
      </c>
      <c r="L45" s="4">
        <v>3889.67</v>
      </c>
      <c r="M45">
        <v>4743</v>
      </c>
      <c r="N45">
        <v>592</v>
      </c>
      <c r="O45">
        <v>3</v>
      </c>
      <c r="P45" s="6">
        <v>1000</v>
      </c>
      <c r="Q45" t="s">
        <v>1161</v>
      </c>
      <c r="R45" t="s">
        <v>1165</v>
      </c>
      <c r="S45" s="2">
        <f>HYPERLINK("https://yandex.ru/maps/?&amp;text=56.629086, 47.857883", "56.629086, 47.857883")</f>
        <v>0</v>
      </c>
      <c r="T45" s="2">
        <f>HYPERLINK("D:\torgi_project\venv_torgi\cache\objs_in_district/56.629086_47.857883.json", "56.629086_47.857883.json")</f>
        <v>0</v>
      </c>
      <c r="U45" t="s">
        <v>1208</v>
      </c>
    </row>
    <row r="46" spans="1:22">
      <c r="A46" s="8">
        <v>44</v>
      </c>
      <c r="B46">
        <v>12</v>
      </c>
      <c r="C46" s="1">
        <v>105.6</v>
      </c>
      <c r="D46" s="2">
        <f>HYPERLINK("https://torgi.gov.ru/new/public/lots/lot/21000025550000000056_6/(lotInfo:info)", "21000025550000000056_6")</f>
        <v>0</v>
      </c>
      <c r="E46" t="s">
        <v>65</v>
      </c>
      <c r="F46" s="3" t="s">
        <v>528</v>
      </c>
      <c r="G46" t="s">
        <v>754</v>
      </c>
      <c r="H46" s="4">
        <v>8086667</v>
      </c>
      <c r="I46" s="4">
        <v>76578.28598484849</v>
      </c>
      <c r="J46" s="5">
        <v>21.92</v>
      </c>
      <c r="K46" s="5">
        <v>10.59</v>
      </c>
      <c r="L46" s="4">
        <v>3063.12</v>
      </c>
      <c r="M46">
        <v>3493</v>
      </c>
      <c r="N46">
        <v>7230</v>
      </c>
      <c r="O46">
        <v>25</v>
      </c>
      <c r="P46" s="6">
        <v>800</v>
      </c>
      <c r="Q46" t="s">
        <v>1161</v>
      </c>
      <c r="R46" t="s">
        <v>1165</v>
      </c>
      <c r="S46" s="2">
        <f>HYPERLINK("https://yandex.ru/maps/?&amp;text=56.638709, 47.93034", "56.638709, 47.93034")</f>
        <v>0</v>
      </c>
      <c r="T46" s="2">
        <f>HYPERLINK("D:\torgi_project\venv_torgi\cache\objs_in_district/56.638709_47.93034.json", "56.638709_47.93034.json")</f>
        <v>0</v>
      </c>
      <c r="U46" t="s">
        <v>1209</v>
      </c>
    </row>
    <row r="47" spans="1:22">
      <c r="A47" s="8">
        <v>45</v>
      </c>
      <c r="B47">
        <v>12</v>
      </c>
      <c r="C47" s="1">
        <v>10.7</v>
      </c>
      <c r="D47" s="2">
        <f>HYPERLINK("https://torgi.gov.ru/new/public/lots/lot/21000025550000000056_9/(lotInfo:info)", "21000025550000000056_9")</f>
        <v>0</v>
      </c>
      <c r="E47" t="s">
        <v>66</v>
      </c>
      <c r="F47" s="3" t="s">
        <v>528</v>
      </c>
      <c r="G47" t="s">
        <v>755</v>
      </c>
      <c r="H47" s="4">
        <v>845000</v>
      </c>
      <c r="I47" s="4">
        <v>78971.96261682243</v>
      </c>
      <c r="J47" s="5">
        <v>22.61</v>
      </c>
      <c r="K47" s="5">
        <v>10.92</v>
      </c>
      <c r="L47" s="4">
        <v>3158.84</v>
      </c>
      <c r="M47">
        <v>3493</v>
      </c>
      <c r="N47">
        <v>7230</v>
      </c>
      <c r="O47">
        <v>25</v>
      </c>
      <c r="P47" s="6">
        <v>800</v>
      </c>
      <c r="Q47" t="s">
        <v>1161</v>
      </c>
      <c r="R47" t="s">
        <v>1165</v>
      </c>
      <c r="S47" s="2">
        <f>HYPERLINK("https://yandex.ru/maps/?&amp;text=56.638709, 47.93034", "56.638709, 47.93034")</f>
        <v>0</v>
      </c>
      <c r="T47" s="2">
        <f>HYPERLINK("D:\torgi_project\venv_torgi\cache\objs_in_district/56.638709_47.93034.json", "56.638709_47.93034.json")</f>
        <v>0</v>
      </c>
      <c r="U47" t="s">
        <v>1210</v>
      </c>
    </row>
    <row r="48" spans="1:22">
      <c r="A48" s="8">
        <v>46</v>
      </c>
      <c r="B48">
        <v>13</v>
      </c>
      <c r="C48" s="1">
        <v>475.7</v>
      </c>
      <c r="D48" s="2">
        <f>HYPERLINK("https://torgi.gov.ru/new/public/lots/lot/22000059440000000029_6/(lotInfo:info)", "22000059440000000029_6")</f>
        <v>0</v>
      </c>
      <c r="E48" t="s">
        <v>67</v>
      </c>
      <c r="F48" s="3" t="s">
        <v>529</v>
      </c>
      <c r="G48" t="s">
        <v>756</v>
      </c>
      <c r="H48" s="4">
        <v>3413000</v>
      </c>
      <c r="I48" s="4">
        <v>7174.689930628548</v>
      </c>
      <c r="J48" s="5">
        <v>2.9</v>
      </c>
      <c r="K48" s="5">
        <v>30.79</v>
      </c>
      <c r="L48" s="4">
        <v>7174</v>
      </c>
      <c r="M48">
        <v>2472</v>
      </c>
      <c r="N48">
        <v>233</v>
      </c>
      <c r="O48">
        <v>1</v>
      </c>
      <c r="P48" s="6">
        <v>1100</v>
      </c>
      <c r="Q48" t="s">
        <v>1161</v>
      </c>
      <c r="R48" t="s">
        <v>1164</v>
      </c>
      <c r="S48" s="2">
        <f>HYPERLINK("https://yandex.ru/maps/?&amp;text=54.154934, 45.171946", "54.154934, 45.171946")</f>
        <v>0</v>
      </c>
      <c r="T48" s="2">
        <f>HYPERLINK("D:\torgi_project\venv_torgi\cache\objs_in_district/54.154934_45.171946.json", "54.154934_45.171946.json")</f>
        <v>0</v>
      </c>
      <c r="V48" s="7" t="s">
        <v>1628</v>
      </c>
    </row>
    <row r="49" spans="1:22">
      <c r="A49" s="8">
        <v>47</v>
      </c>
      <c r="B49">
        <v>13</v>
      </c>
      <c r="C49" s="1">
        <v>155.2</v>
      </c>
      <c r="D49" s="2">
        <f>HYPERLINK("https://torgi.gov.ru/new/public/lots/lot/22000059440000000029_1/(lotInfo:info)", "22000059440000000029_1")</f>
        <v>0</v>
      </c>
      <c r="E49" t="s">
        <v>68</v>
      </c>
      <c r="F49" s="3" t="s">
        <v>529</v>
      </c>
      <c r="G49" t="s">
        <v>757</v>
      </c>
      <c r="H49" s="4">
        <v>1909000</v>
      </c>
      <c r="I49" s="4">
        <v>12300.25773195876</v>
      </c>
      <c r="J49" s="5">
        <v>2.47</v>
      </c>
      <c r="K49" s="5">
        <v>3.87</v>
      </c>
      <c r="L49" s="4">
        <v>768.75</v>
      </c>
      <c r="M49">
        <v>4971</v>
      </c>
      <c r="N49">
        <v>3177</v>
      </c>
      <c r="O49">
        <v>16</v>
      </c>
      <c r="P49" s="6">
        <v>700</v>
      </c>
      <c r="Q49" t="s">
        <v>1161</v>
      </c>
      <c r="R49" t="s">
        <v>1164</v>
      </c>
      <c r="S49" s="2">
        <f>HYPERLINK("https://yandex.ru/maps/?&amp;text=54.185678, 45.156558", "54.185678, 45.156558")</f>
        <v>0</v>
      </c>
      <c r="T49" s="2">
        <f>HYPERLINK("D:\torgi_project\venv_torgi\cache\objs_in_district/54.185678_45.156558.json", "54.185678_45.156558.json")</f>
        <v>0</v>
      </c>
      <c r="V49" s="7" t="s">
        <v>1629</v>
      </c>
    </row>
    <row r="50" spans="1:22">
      <c r="A50" s="8">
        <v>48</v>
      </c>
      <c r="B50">
        <v>13</v>
      </c>
      <c r="C50" s="1">
        <v>173.6</v>
      </c>
      <c r="D50" s="2">
        <f>HYPERLINK("https://torgi.gov.ru/new/public/lots/lot/22000059440000000028_4/(lotInfo:info)", "22000059440000000028_4")</f>
        <v>0</v>
      </c>
      <c r="E50" t="s">
        <v>69</v>
      </c>
      <c r="F50" s="3" t="s">
        <v>530</v>
      </c>
      <c r="G50" t="s">
        <v>758</v>
      </c>
      <c r="H50" s="4">
        <v>2804000</v>
      </c>
      <c r="I50" s="4">
        <v>16152.07373271889</v>
      </c>
      <c r="J50" s="5">
        <v>3.73</v>
      </c>
      <c r="K50" s="5">
        <v>10.79</v>
      </c>
      <c r="L50" s="4">
        <v>807.6</v>
      </c>
      <c r="M50">
        <v>4332</v>
      </c>
      <c r="N50">
        <v>1497</v>
      </c>
      <c r="O50">
        <v>20</v>
      </c>
      <c r="P50" s="6">
        <v>200</v>
      </c>
      <c r="Q50" t="s">
        <v>1161</v>
      </c>
      <c r="R50" t="s">
        <v>1164</v>
      </c>
      <c r="S50" s="2">
        <f>HYPERLINK("https://yandex.ru/maps/?&amp;text=54.161995, 45.15245", "54.161995, 45.15245")</f>
        <v>0</v>
      </c>
      <c r="T50" s="2">
        <f>HYPERLINK("D:\torgi_project\venv_torgi\cache\objs_in_district/54.161995_45.15245.json", "54.161995_45.15245.json")</f>
        <v>0</v>
      </c>
      <c r="V50" s="7" t="s">
        <v>1628</v>
      </c>
    </row>
    <row r="51" spans="1:22">
      <c r="A51" s="8">
        <v>49</v>
      </c>
      <c r="B51">
        <v>13</v>
      </c>
      <c r="C51" s="1">
        <v>76.90000000000001</v>
      </c>
      <c r="D51" s="2">
        <f>HYPERLINK("https://torgi.gov.ru/new/public/lots/lot/22000122410000000002_3/(lotInfo:info)", "22000122410000000002_3")</f>
        <v>0</v>
      </c>
      <c r="E51" t="s">
        <v>70</v>
      </c>
      <c r="F51" s="3" t="s">
        <v>531</v>
      </c>
      <c r="G51" t="s">
        <v>759</v>
      </c>
      <c r="H51" s="4">
        <v>1293300</v>
      </c>
      <c r="I51" s="4">
        <v>16817.94538361508</v>
      </c>
      <c r="J51" s="5">
        <v>8.09</v>
      </c>
      <c r="K51" s="5">
        <v>7.52</v>
      </c>
      <c r="L51" s="4">
        <v>3363.4</v>
      </c>
      <c r="M51">
        <v>2078</v>
      </c>
      <c r="N51">
        <v>2235</v>
      </c>
      <c r="O51">
        <v>5</v>
      </c>
      <c r="P51" s="6">
        <v>700</v>
      </c>
      <c r="Q51" t="s">
        <v>1161</v>
      </c>
      <c r="R51" t="s">
        <v>1164</v>
      </c>
      <c r="S51" s="2">
        <f>HYPERLINK("https://yandex.ru/maps/?&amp;text=54.032501, 43.915319", "54.032501, 43.915319")</f>
        <v>0</v>
      </c>
      <c r="T51" s="2">
        <f>HYPERLINK("D:\torgi_project\venv_torgi\cache\objs_in_district/54.032501_43.915319.json", "54.032501_43.915319.json")</f>
        <v>0</v>
      </c>
      <c r="U51" t="s">
        <v>1211</v>
      </c>
      <c r="V51" s="7" t="s">
        <v>1628</v>
      </c>
    </row>
    <row r="52" spans="1:22">
      <c r="A52" s="8">
        <v>50</v>
      </c>
      <c r="B52">
        <v>13</v>
      </c>
      <c r="C52" s="1">
        <v>71</v>
      </c>
      <c r="D52" s="2">
        <f>HYPERLINK("https://torgi.gov.ru/new/public/lots/lot/22000122410000000002_2/(lotInfo:info)", "22000122410000000002_2")</f>
        <v>0</v>
      </c>
      <c r="E52" t="s">
        <v>71</v>
      </c>
      <c r="F52" s="3" t="s">
        <v>531</v>
      </c>
      <c r="G52" t="s">
        <v>760</v>
      </c>
      <c r="H52" s="4">
        <v>1194300</v>
      </c>
      <c r="I52" s="4">
        <v>16821.12676056338</v>
      </c>
      <c r="J52" s="5">
        <v>8.09</v>
      </c>
      <c r="K52" s="5">
        <v>7.53</v>
      </c>
      <c r="L52" s="4">
        <v>3364.2</v>
      </c>
      <c r="M52">
        <v>2078</v>
      </c>
      <c r="N52">
        <v>2235</v>
      </c>
      <c r="O52">
        <v>5</v>
      </c>
      <c r="P52" s="6">
        <v>700</v>
      </c>
      <c r="Q52" t="s">
        <v>1161</v>
      </c>
      <c r="R52" t="s">
        <v>1164</v>
      </c>
      <c r="S52" s="2">
        <f>HYPERLINK("https://yandex.ru/maps/?&amp;text=54.032501, 43.915319", "54.032501, 43.915319")</f>
        <v>0</v>
      </c>
      <c r="T52" s="2">
        <f>HYPERLINK("D:\torgi_project\venv_torgi\cache\objs_in_district/54.032501_43.915319.json", "54.032501_43.915319.json")</f>
        <v>0</v>
      </c>
      <c r="U52" t="s">
        <v>1212</v>
      </c>
      <c r="V52" s="7" t="s">
        <v>1628</v>
      </c>
    </row>
    <row r="53" spans="1:22">
      <c r="A53" s="8">
        <v>51</v>
      </c>
      <c r="B53">
        <v>13</v>
      </c>
      <c r="C53" s="1">
        <v>113.8</v>
      </c>
      <c r="D53" s="2">
        <f>HYPERLINK("https://torgi.gov.ru/new/public/lots/lot/22000122410000000002_1/(lotInfo:info)", "22000122410000000002_1")</f>
        <v>0</v>
      </c>
      <c r="E53" t="s">
        <v>72</v>
      </c>
      <c r="F53" s="3" t="s">
        <v>531</v>
      </c>
      <c r="G53" t="s">
        <v>761</v>
      </c>
      <c r="H53" s="4">
        <v>1914300</v>
      </c>
      <c r="I53" s="4">
        <v>16821.61687170474</v>
      </c>
      <c r="J53" s="5">
        <v>8.09</v>
      </c>
      <c r="K53" s="5">
        <v>7.53</v>
      </c>
      <c r="L53" s="4">
        <v>3364.2</v>
      </c>
      <c r="M53">
        <v>2078</v>
      </c>
      <c r="N53">
        <v>2235</v>
      </c>
      <c r="O53">
        <v>5</v>
      </c>
      <c r="P53" s="6">
        <v>700</v>
      </c>
      <c r="Q53" t="s">
        <v>1161</v>
      </c>
      <c r="R53" t="s">
        <v>1164</v>
      </c>
      <c r="S53" s="2">
        <f>HYPERLINK("https://yandex.ru/maps/?&amp;text=54.032501, 43.915319", "54.032501, 43.915319")</f>
        <v>0</v>
      </c>
      <c r="T53" s="2">
        <f>HYPERLINK("D:\torgi_project\venv_torgi\cache\objs_in_district/54.032501_43.915319.json", "54.032501_43.915319.json")</f>
        <v>0</v>
      </c>
      <c r="U53" t="s">
        <v>1213</v>
      </c>
      <c r="V53" s="7" t="s">
        <v>1628</v>
      </c>
    </row>
    <row r="54" spans="1:22">
      <c r="A54" s="8">
        <v>52</v>
      </c>
      <c r="B54">
        <v>13</v>
      </c>
      <c r="C54" s="1">
        <v>137.3</v>
      </c>
      <c r="D54" s="2">
        <f>HYPERLINK("https://torgi.gov.ru/new/public/lots/lot/22000059440000000028_7/(lotInfo:info)", "22000059440000000028_7")</f>
        <v>0</v>
      </c>
      <c r="E54" t="s">
        <v>73</v>
      </c>
      <c r="F54" s="3" t="s">
        <v>530</v>
      </c>
      <c r="G54" t="s">
        <v>762</v>
      </c>
      <c r="H54" s="4">
        <v>3176000</v>
      </c>
      <c r="I54" s="4">
        <v>23131.82811361981</v>
      </c>
      <c r="J54" s="5">
        <v>9.32</v>
      </c>
      <c r="K54" s="5">
        <v>5.48</v>
      </c>
      <c r="L54" s="4">
        <v>2891.38</v>
      </c>
      <c r="M54">
        <v>2481</v>
      </c>
      <c r="N54">
        <v>4218</v>
      </c>
      <c r="O54">
        <v>8</v>
      </c>
      <c r="Q54" t="s">
        <v>1161</v>
      </c>
      <c r="R54" t="s">
        <v>1164</v>
      </c>
      <c r="S54" s="2">
        <f>HYPERLINK("https://yandex.ru/maps/?&amp;text=54.214067, 45.194763", "54.214067, 45.194763")</f>
        <v>0</v>
      </c>
      <c r="T54" s="2">
        <f>HYPERLINK("D:\torgi_project\venv_torgi\cache\objs_in_district/54.214067_45.194763.json", "54.214067_45.194763.json")</f>
        <v>0</v>
      </c>
      <c r="V54" s="7" t="s">
        <v>1628</v>
      </c>
    </row>
    <row r="55" spans="1:22">
      <c r="A55" s="8">
        <v>53</v>
      </c>
      <c r="B55">
        <v>13</v>
      </c>
      <c r="C55" s="1">
        <v>126.5</v>
      </c>
      <c r="D55" s="2">
        <f>HYPERLINK("https://torgi.gov.ru/new/public/lots/lot/22000059440000000028_3/(lotInfo:info)", "22000059440000000028_3")</f>
        <v>0</v>
      </c>
      <c r="E55" t="s">
        <v>74</v>
      </c>
      <c r="F55" s="3" t="s">
        <v>530</v>
      </c>
      <c r="G55" t="s">
        <v>763</v>
      </c>
      <c r="H55" s="4">
        <v>3023000</v>
      </c>
      <c r="I55" s="4">
        <v>23897.23320158103</v>
      </c>
      <c r="J55" s="5">
        <v>6.34</v>
      </c>
      <c r="K55" s="5">
        <v>3</v>
      </c>
      <c r="L55" s="4">
        <v>362.08</v>
      </c>
      <c r="M55">
        <v>3771</v>
      </c>
      <c r="N55">
        <v>7975</v>
      </c>
      <c r="O55">
        <v>66</v>
      </c>
      <c r="Q55" t="s">
        <v>1161</v>
      </c>
      <c r="R55" t="s">
        <v>1164</v>
      </c>
      <c r="S55" s="2">
        <f>HYPERLINK("https://yandex.ru/maps/?&amp;text=54.196462, 45.240514", "54.196462, 45.240514")</f>
        <v>0</v>
      </c>
      <c r="T55" s="2">
        <f>HYPERLINK("D:\torgi_project\venv_torgi\cache\objs_in_district/54.196462_45.240514.json", "54.196462_45.240514.json")</f>
        <v>0</v>
      </c>
      <c r="V55" s="7" t="s">
        <v>1630</v>
      </c>
    </row>
    <row r="56" spans="1:22">
      <c r="A56" s="8">
        <v>54</v>
      </c>
      <c r="B56">
        <v>13</v>
      </c>
      <c r="C56" s="1">
        <v>36.4</v>
      </c>
      <c r="D56" s="2">
        <f>HYPERLINK("https://torgi.gov.ru/new/public/lots/lot/22000086100000000026_2/(lotInfo:info)", "22000086100000000026_2")</f>
        <v>0</v>
      </c>
      <c r="E56" t="s">
        <v>75</v>
      </c>
      <c r="F56" s="3" t="s">
        <v>532</v>
      </c>
      <c r="G56" t="s">
        <v>764</v>
      </c>
      <c r="H56" s="4">
        <v>873800</v>
      </c>
      <c r="I56" s="4">
        <v>24005.49450549451</v>
      </c>
      <c r="J56" s="5">
        <v>26.73</v>
      </c>
      <c r="K56" s="5">
        <v>6.75</v>
      </c>
      <c r="L56" s="4">
        <v>1043.7</v>
      </c>
      <c r="M56">
        <v>898</v>
      </c>
      <c r="N56">
        <v>3558</v>
      </c>
      <c r="O56">
        <v>23</v>
      </c>
      <c r="P56" s="6">
        <v>400</v>
      </c>
      <c r="Q56" t="s">
        <v>1161</v>
      </c>
      <c r="R56" t="s">
        <v>1165</v>
      </c>
      <c r="S56" s="2">
        <f>HYPERLINK("https://yandex.ru/maps/?&amp;text=54.432972, 45.812948", "54.432972, 45.812948")</f>
        <v>0</v>
      </c>
      <c r="T56" s="2">
        <f>HYPERLINK("D:\torgi_project\venv_torgi\cache\objs_in_district/54.432972_45.812948.json", "54.432972_45.812948.json")</f>
        <v>0</v>
      </c>
      <c r="U56" t="s">
        <v>1214</v>
      </c>
    </row>
    <row r="57" spans="1:22">
      <c r="A57" s="8">
        <v>55</v>
      </c>
      <c r="B57">
        <v>13</v>
      </c>
      <c r="C57" s="1">
        <v>23</v>
      </c>
      <c r="D57" s="2">
        <f>HYPERLINK("https://torgi.gov.ru/new/public/lots/lot/22000059440000000028_6/(lotInfo:info)", "22000059440000000028_6")</f>
        <v>0</v>
      </c>
      <c r="E57" t="s">
        <v>76</v>
      </c>
      <c r="F57" s="3" t="s">
        <v>530</v>
      </c>
      <c r="G57" t="s">
        <v>765</v>
      </c>
      <c r="H57" s="4">
        <v>658000</v>
      </c>
      <c r="I57" s="4">
        <v>28608.69565217391</v>
      </c>
      <c r="J57" s="5">
        <v>6.08</v>
      </c>
      <c r="K57" s="5">
        <v>6.07</v>
      </c>
      <c r="L57" s="4">
        <v>468.98</v>
      </c>
      <c r="M57">
        <v>4704</v>
      </c>
      <c r="N57">
        <v>4713</v>
      </c>
      <c r="O57">
        <v>61</v>
      </c>
      <c r="P57" s="6">
        <v>1000</v>
      </c>
      <c r="Q57" t="s">
        <v>1161</v>
      </c>
      <c r="R57" t="s">
        <v>1164</v>
      </c>
      <c r="S57" s="2">
        <f>HYPERLINK("https://yandex.ru/maps/?&amp;text=54.183276, 45.172368", "54.183276, 45.172368")</f>
        <v>0</v>
      </c>
      <c r="T57" s="2">
        <f>HYPERLINK("D:\torgi_project\venv_torgi\cache\objs_in_district/54.183276_45.172368.json", "54.183276_45.172368.json")</f>
        <v>0</v>
      </c>
      <c r="V57" s="7" t="s">
        <v>1628</v>
      </c>
    </row>
    <row r="58" spans="1:22">
      <c r="A58" s="8">
        <v>56</v>
      </c>
      <c r="B58">
        <v>13</v>
      </c>
      <c r="C58" s="1">
        <v>179.9</v>
      </c>
      <c r="D58" s="2">
        <f>HYPERLINK("https://torgi.gov.ru/new/public/lots/lot/22000059440000000028_1/(lotInfo:info)", "22000059440000000028_1")</f>
        <v>0</v>
      </c>
      <c r="E58" t="s">
        <v>77</v>
      </c>
      <c r="F58" s="3" t="s">
        <v>530</v>
      </c>
      <c r="G58" t="s">
        <v>766</v>
      </c>
      <c r="H58" s="4">
        <v>5427000</v>
      </c>
      <c r="I58" s="4">
        <v>30166.75931072818</v>
      </c>
      <c r="J58" s="5">
        <v>6.27</v>
      </c>
      <c r="K58" s="5">
        <v>7.36</v>
      </c>
      <c r="L58" s="4">
        <v>478.83</v>
      </c>
      <c r="M58">
        <v>4808</v>
      </c>
      <c r="N58">
        <v>4097</v>
      </c>
      <c r="O58">
        <v>63</v>
      </c>
      <c r="P58" s="6">
        <v>200</v>
      </c>
      <c r="Q58" t="s">
        <v>1161</v>
      </c>
      <c r="R58" t="s">
        <v>1164</v>
      </c>
      <c r="S58" s="2">
        <f>HYPERLINK("https://yandex.ru/maps/?&amp;text=54.191284, 45.164472", "54.191284, 45.164472")</f>
        <v>0</v>
      </c>
      <c r="T58" s="2">
        <f>HYPERLINK("D:\torgi_project\venv_torgi\cache\objs_in_district/54.191284_45.164472.json", "54.191284_45.164472.json")</f>
        <v>0</v>
      </c>
      <c r="V58" s="7" t="s">
        <v>1628</v>
      </c>
    </row>
    <row r="59" spans="1:22">
      <c r="A59" s="8">
        <v>57</v>
      </c>
      <c r="B59">
        <v>13</v>
      </c>
      <c r="C59" s="1">
        <v>122.9</v>
      </c>
      <c r="D59" s="2">
        <f>HYPERLINK("https://torgi.gov.ru/new/public/lots/lot/22000059440000000028_9/(lotInfo:info)", "22000059440000000028_9")</f>
        <v>0</v>
      </c>
      <c r="E59" t="s">
        <v>78</v>
      </c>
      <c r="F59" s="3" t="s">
        <v>530</v>
      </c>
      <c r="G59" t="s">
        <v>767</v>
      </c>
      <c r="H59" s="4">
        <v>4759000</v>
      </c>
      <c r="I59" s="4">
        <v>38722.53864930838</v>
      </c>
      <c r="J59" s="5">
        <v>6.94</v>
      </c>
      <c r="K59" s="5">
        <v>5.59</v>
      </c>
      <c r="L59" s="4">
        <v>614.63</v>
      </c>
      <c r="M59">
        <v>5581</v>
      </c>
      <c r="N59">
        <v>6933</v>
      </c>
      <c r="O59">
        <v>63</v>
      </c>
      <c r="P59" s="6">
        <v>300</v>
      </c>
      <c r="Q59" t="s">
        <v>1161</v>
      </c>
      <c r="R59" t="s">
        <v>1164</v>
      </c>
      <c r="S59" s="2">
        <f>HYPERLINK("https://yandex.ru/maps/?&amp;text=54.193653, 45.179195", "54.193653, 45.179195")</f>
        <v>0</v>
      </c>
      <c r="T59" s="2">
        <f>HYPERLINK("D:\torgi_project\venv_torgi\cache\objs_in_district/54.193653_45.179195.json", "54.193653_45.179195.json")</f>
        <v>0</v>
      </c>
    </row>
    <row r="60" spans="1:22">
      <c r="A60" s="8">
        <v>58</v>
      </c>
      <c r="B60">
        <v>16</v>
      </c>
      <c r="C60" s="1">
        <v>563.7</v>
      </c>
      <c r="D60" s="2">
        <f>HYPERLINK("https://torgi.gov.ru/new/public/lots/lot/22000123210000000004_1/(lotInfo:info)", "22000123210000000004_1")</f>
        <v>0</v>
      </c>
      <c r="E60" t="s">
        <v>79</v>
      </c>
      <c r="F60" s="3" t="s">
        <v>528</v>
      </c>
      <c r="G60" t="s">
        <v>768</v>
      </c>
      <c r="H60" s="4">
        <v>655509</v>
      </c>
      <c r="I60" s="4">
        <v>1162.868547099521</v>
      </c>
      <c r="J60" s="5">
        <v>3.42</v>
      </c>
      <c r="L60" s="4">
        <v>1162</v>
      </c>
      <c r="M60">
        <v>340</v>
      </c>
      <c r="O60">
        <v>1</v>
      </c>
      <c r="Q60" t="s">
        <v>1161</v>
      </c>
      <c r="R60" t="s">
        <v>1164</v>
      </c>
      <c r="S60" s="2">
        <f>HYPERLINK("https://yandex.ru/maps/?&amp;text=54.979764, 48.506438", "54.979764, 48.506438")</f>
        <v>0</v>
      </c>
      <c r="T60" s="2">
        <f>HYPERLINK("D:\torgi_project\venv_torgi\cache\objs_in_district/54.979764_48.506438.json", "54.979764_48.506438.json")</f>
        <v>0</v>
      </c>
      <c r="U60" t="s">
        <v>1215</v>
      </c>
      <c r="V60" s="7" t="s">
        <v>1628</v>
      </c>
    </row>
    <row r="61" spans="1:22">
      <c r="A61" s="8">
        <v>59</v>
      </c>
      <c r="B61">
        <v>16</v>
      </c>
      <c r="C61" s="1">
        <v>217.8</v>
      </c>
      <c r="D61" s="2">
        <f>HYPERLINK("https://torgi.gov.ru/new/public/lots/lot/21000026240000000020_2/(lotInfo:info)", "21000026240000000020_2")</f>
        <v>0</v>
      </c>
      <c r="E61" t="s">
        <v>80</v>
      </c>
      <c r="F61" s="3" t="s">
        <v>533</v>
      </c>
      <c r="G61" t="s">
        <v>769</v>
      </c>
      <c r="H61" s="4">
        <v>1463616</v>
      </c>
      <c r="I61" s="4">
        <v>6720</v>
      </c>
      <c r="J61" s="5">
        <v>1.69</v>
      </c>
      <c r="K61" s="5">
        <v>3.01</v>
      </c>
      <c r="L61" s="4">
        <v>94.65000000000001</v>
      </c>
      <c r="M61">
        <v>3983</v>
      </c>
      <c r="N61">
        <v>2232</v>
      </c>
      <c r="O61">
        <v>71</v>
      </c>
      <c r="P61" s="6">
        <v>500</v>
      </c>
      <c r="Q61" t="s">
        <v>1161</v>
      </c>
      <c r="R61" t="s">
        <v>1164</v>
      </c>
      <c r="S61" s="2">
        <f>HYPERLINK("https://yandex.ru/maps/?&amp;text=55.863985, 49.225845", "55.863985, 49.225845")</f>
        <v>0</v>
      </c>
      <c r="T61" s="2">
        <f>HYPERLINK("D:\torgi_project\venv_torgi\cache\objs_in_district/55.863985_49.225845.json", "55.863985_49.225845.json")</f>
        <v>0</v>
      </c>
      <c r="U61" t="s">
        <v>1216</v>
      </c>
      <c r="V61" s="7" t="s">
        <v>1628</v>
      </c>
    </row>
    <row r="62" spans="1:22">
      <c r="A62" s="8">
        <v>60</v>
      </c>
      <c r="B62">
        <v>16</v>
      </c>
      <c r="C62" s="1">
        <v>26.9</v>
      </c>
      <c r="D62" s="2">
        <f>HYPERLINK("https://torgi.gov.ru/new/public/lots/lot/21000029570000000011_1/(lotInfo:info)", "21000029570000000011_1")</f>
        <v>0</v>
      </c>
      <c r="E62" t="s">
        <v>81</v>
      </c>
      <c r="F62" s="3" t="s">
        <v>534</v>
      </c>
      <c r="G62" t="s">
        <v>770</v>
      </c>
      <c r="H62" s="4">
        <v>578915</v>
      </c>
      <c r="I62" s="4">
        <v>21521.00371747212</v>
      </c>
      <c r="J62" s="5">
        <v>23.75</v>
      </c>
      <c r="K62" s="5">
        <v>22.01</v>
      </c>
      <c r="L62" s="4">
        <v>1956.45</v>
      </c>
      <c r="M62">
        <v>906</v>
      </c>
      <c r="N62">
        <v>978</v>
      </c>
      <c r="O62">
        <v>11</v>
      </c>
      <c r="P62" s="6">
        <v>900</v>
      </c>
      <c r="Q62" t="s">
        <v>1161</v>
      </c>
      <c r="R62" t="s">
        <v>1164</v>
      </c>
      <c r="S62" s="2">
        <f>HYPERLINK("https://yandex.ru/maps/?&amp;text=55.30253, 50.109581", "55.30253, 50.109581")</f>
        <v>0</v>
      </c>
      <c r="T62" s="2">
        <f>HYPERLINK("D:\torgi_project\venv_torgi\cache\objs_in_district/55.30253_50.109581.json", "55.30253_50.109581.json")</f>
        <v>0</v>
      </c>
      <c r="U62" t="s">
        <v>1217</v>
      </c>
      <c r="V62" s="7" t="s">
        <v>1628</v>
      </c>
    </row>
    <row r="63" spans="1:22">
      <c r="A63" s="8">
        <v>61</v>
      </c>
      <c r="B63">
        <v>16</v>
      </c>
      <c r="C63" s="1">
        <v>160.6</v>
      </c>
      <c r="D63" s="2">
        <f>HYPERLINK("https://torgi.gov.ru/new/public/lots/lot/21000026240000000020_1/(lotInfo:info)", "21000026240000000020_1")</f>
        <v>0</v>
      </c>
      <c r="E63" t="s">
        <v>82</v>
      </c>
      <c r="F63" s="3" t="s">
        <v>533</v>
      </c>
      <c r="G63" t="s">
        <v>771</v>
      </c>
      <c r="H63" s="4">
        <v>7392700</v>
      </c>
      <c r="I63" s="4">
        <v>46031.75591531756</v>
      </c>
      <c r="J63" s="5">
        <v>10.79</v>
      </c>
      <c r="K63" s="5">
        <v>18.35</v>
      </c>
      <c r="L63" s="4">
        <v>568.28</v>
      </c>
      <c r="M63">
        <v>4266</v>
      </c>
      <c r="N63">
        <v>2508</v>
      </c>
      <c r="O63">
        <v>81</v>
      </c>
      <c r="P63" s="6">
        <v>300</v>
      </c>
      <c r="Q63" t="s">
        <v>1161</v>
      </c>
      <c r="R63" t="s">
        <v>1164</v>
      </c>
      <c r="S63" s="2">
        <f>HYPERLINK("https://yandex.ru/maps/?&amp;text=55.784577, 49.109118", "55.784577, 49.109118")</f>
        <v>0</v>
      </c>
      <c r="T63" s="2">
        <f>HYPERLINK("D:\torgi_project\venv_torgi\cache\objs_in_district/55.784577_49.109118.json", "55.784577_49.109118.json")</f>
        <v>0</v>
      </c>
      <c r="U63" t="s">
        <v>1218</v>
      </c>
    </row>
    <row r="64" spans="1:22">
      <c r="A64" s="8">
        <v>62</v>
      </c>
      <c r="B64">
        <v>18</v>
      </c>
      <c r="C64" s="1">
        <v>330.4</v>
      </c>
      <c r="D64" s="2">
        <f>HYPERLINK("https://torgi.gov.ru/new/public/lots/lot/21000005540000000009_1/(lotInfo:info)", "21000005540000000009_1")</f>
        <v>0</v>
      </c>
      <c r="E64" t="s">
        <v>83</v>
      </c>
      <c r="F64" s="3" t="s">
        <v>535</v>
      </c>
      <c r="G64" t="s">
        <v>772</v>
      </c>
      <c r="H64" s="4">
        <v>974000</v>
      </c>
      <c r="I64" s="4">
        <v>2947.941888619855</v>
      </c>
      <c r="J64" s="5">
        <v>2.41</v>
      </c>
      <c r="K64" s="5">
        <v>27.29</v>
      </c>
      <c r="L64" s="4">
        <v>589.4</v>
      </c>
      <c r="M64">
        <v>1224</v>
      </c>
      <c r="N64">
        <v>108</v>
      </c>
      <c r="O64">
        <v>5</v>
      </c>
      <c r="P64" s="6">
        <v>600</v>
      </c>
      <c r="Q64" t="s">
        <v>1161</v>
      </c>
      <c r="R64" t="s">
        <v>1164</v>
      </c>
      <c r="S64" s="2">
        <f>HYPERLINK("https://yandex.ru/maps/?&amp;text=57.077656, 53.979694", "57.077656, 53.979694")</f>
        <v>0</v>
      </c>
      <c r="T64" s="2">
        <f>HYPERLINK("D:\torgi_project\venv_torgi\cache\objs_in_district/57.077656_53.979694.json", "57.077656_53.979694.json")</f>
        <v>0</v>
      </c>
      <c r="U64" t="s">
        <v>1219</v>
      </c>
      <c r="V64" s="7" t="s">
        <v>1629</v>
      </c>
    </row>
    <row r="65" spans="1:22">
      <c r="A65" s="8">
        <v>63</v>
      </c>
      <c r="B65">
        <v>18</v>
      </c>
      <c r="C65" s="1">
        <v>124</v>
      </c>
      <c r="D65" s="2">
        <f>HYPERLINK("https://torgi.gov.ru/new/public/lots/lot/21000023790000000008_1/(lotInfo:info)", "21000023790000000008_1")</f>
        <v>0</v>
      </c>
      <c r="E65" t="s">
        <v>84</v>
      </c>
      <c r="F65" s="3" t="s">
        <v>536</v>
      </c>
      <c r="G65" t="s">
        <v>773</v>
      </c>
      <c r="H65" s="4">
        <v>711200</v>
      </c>
      <c r="I65" s="4">
        <v>5735.483870967741</v>
      </c>
      <c r="J65" s="5">
        <v>2.57</v>
      </c>
      <c r="K65" s="5">
        <v>1.69</v>
      </c>
      <c r="L65" s="4">
        <v>286.75</v>
      </c>
      <c r="M65">
        <v>2235</v>
      </c>
      <c r="N65">
        <v>3390</v>
      </c>
      <c r="O65">
        <v>20</v>
      </c>
      <c r="P65" s="6">
        <v>400</v>
      </c>
      <c r="Q65" t="s">
        <v>1161</v>
      </c>
      <c r="R65" t="s">
        <v>1164</v>
      </c>
      <c r="S65" s="2">
        <f>HYPERLINK("https://yandex.ru/maps/?&amp;text=56.443954, 52.19988", "56.443954, 52.19988")</f>
        <v>0</v>
      </c>
      <c r="T65" s="2">
        <f>HYPERLINK("D:\torgi_project\venv_torgi\cache\objs_in_district/56.443954_52.19988.json", "56.443954_52.19988.json")</f>
        <v>0</v>
      </c>
      <c r="U65" t="s">
        <v>1220</v>
      </c>
      <c r="V65" s="7" t="s">
        <v>1629</v>
      </c>
    </row>
    <row r="66" spans="1:22">
      <c r="A66" s="8">
        <v>64</v>
      </c>
      <c r="B66">
        <v>18</v>
      </c>
      <c r="C66" s="1">
        <v>114</v>
      </c>
      <c r="D66" s="2">
        <f>HYPERLINK("https://torgi.gov.ru/new/public/lots/lot/21000023790000000004_1/(lotInfo:info)", "21000023790000000004_1")</f>
        <v>0</v>
      </c>
      <c r="E66" t="s">
        <v>85</v>
      </c>
      <c r="F66" s="3" t="s">
        <v>537</v>
      </c>
      <c r="G66" t="s">
        <v>774</v>
      </c>
      <c r="H66" s="4">
        <v>948000</v>
      </c>
      <c r="I66" s="4">
        <v>8315.78947368421</v>
      </c>
      <c r="J66" s="5">
        <v>11.19</v>
      </c>
      <c r="K66" s="5">
        <v>26.15</v>
      </c>
      <c r="L66" s="4">
        <v>8315</v>
      </c>
      <c r="M66">
        <v>743</v>
      </c>
      <c r="N66">
        <v>318</v>
      </c>
      <c r="O66">
        <v>1</v>
      </c>
      <c r="P66" s="6">
        <v>1700</v>
      </c>
      <c r="Q66" t="s">
        <v>1161</v>
      </c>
      <c r="R66" t="s">
        <v>1164</v>
      </c>
      <c r="S66" s="2">
        <f>HYPERLINK("https://yandex.ru/maps/?&amp;text=56.450012, 52.2579", "56.450012, 52.2579")</f>
        <v>0</v>
      </c>
      <c r="T66" s="2">
        <f>HYPERLINK("D:\torgi_project\venv_torgi\cache\objs_in_district/56.450012_52.2579.json", "56.450012_52.2579.json")</f>
        <v>0</v>
      </c>
      <c r="U66" t="s">
        <v>1221</v>
      </c>
      <c r="V66" s="7" t="s">
        <v>1629</v>
      </c>
    </row>
    <row r="67" spans="1:22">
      <c r="A67" s="8">
        <v>65</v>
      </c>
      <c r="B67">
        <v>18</v>
      </c>
      <c r="C67" s="1">
        <v>372.1</v>
      </c>
      <c r="D67" s="2">
        <f>HYPERLINK("https://torgi.gov.ru/new/public/lots/lot/22000013180000000007_1/(lotInfo:info)", "22000013180000000007_1")</f>
        <v>0</v>
      </c>
      <c r="E67" t="s">
        <v>86</v>
      </c>
      <c r="F67" s="3" t="s">
        <v>538</v>
      </c>
      <c r="G67" t="s">
        <v>775</v>
      </c>
      <c r="H67" s="4">
        <v>3131891.28</v>
      </c>
      <c r="I67" s="4">
        <v>8416.799999999999</v>
      </c>
      <c r="J67" s="5">
        <v>1.7</v>
      </c>
      <c r="K67" s="5">
        <v>10.92</v>
      </c>
      <c r="L67" s="4">
        <v>647.38</v>
      </c>
      <c r="M67">
        <v>4937</v>
      </c>
      <c r="N67">
        <v>771</v>
      </c>
      <c r="O67">
        <v>13</v>
      </c>
      <c r="P67" s="6">
        <v>400</v>
      </c>
      <c r="Q67" t="s">
        <v>1161</v>
      </c>
      <c r="R67" t="s">
        <v>1164</v>
      </c>
      <c r="S67" s="2">
        <f>HYPERLINK("https://yandex.ru/maps/?&amp;text=56.833033, 53.156433", "56.833033, 53.156433")</f>
        <v>0</v>
      </c>
      <c r="T67" s="2">
        <f>HYPERLINK("D:\torgi_project\venv_torgi\cache\objs_in_district/56.833033_53.156433.json", "56.833033_53.156433.json")</f>
        <v>0</v>
      </c>
      <c r="U67" t="s">
        <v>1222</v>
      </c>
      <c r="V67" s="7" t="s">
        <v>1629</v>
      </c>
    </row>
    <row r="68" spans="1:22">
      <c r="A68" s="8">
        <v>66</v>
      </c>
      <c r="B68">
        <v>18</v>
      </c>
      <c r="C68" s="1">
        <v>143</v>
      </c>
      <c r="D68" s="2">
        <f>HYPERLINK("https://torgi.gov.ru/new/public/lots/lot/22000013180000000008_3/(lotInfo:info)", "22000013180000000008_3")</f>
        <v>0</v>
      </c>
      <c r="E68" t="s">
        <v>87</v>
      </c>
      <c r="F68" s="3" t="s">
        <v>537</v>
      </c>
      <c r="G68" t="s">
        <v>775</v>
      </c>
      <c r="H68" s="4">
        <v>1230886.8</v>
      </c>
      <c r="I68" s="4">
        <v>8607.6</v>
      </c>
      <c r="J68" s="5">
        <v>1.74</v>
      </c>
      <c r="K68" s="5">
        <v>11.16</v>
      </c>
      <c r="L68" s="4">
        <v>662.08</v>
      </c>
      <c r="M68">
        <v>4937</v>
      </c>
      <c r="N68">
        <v>771</v>
      </c>
      <c r="O68">
        <v>13</v>
      </c>
      <c r="P68" s="6">
        <v>400</v>
      </c>
      <c r="Q68" t="s">
        <v>1162</v>
      </c>
      <c r="R68" t="s">
        <v>1164</v>
      </c>
      <c r="S68" s="2">
        <f>HYPERLINK("https://yandex.ru/maps/?&amp;text=56.833033, 53.156433", "56.833033, 53.156433")</f>
        <v>0</v>
      </c>
      <c r="T68" s="2">
        <f>HYPERLINK("D:\torgi_project\venv_torgi\cache\objs_in_district/56.833033_53.156433.json", "56.833033_53.156433.json")</f>
        <v>0</v>
      </c>
      <c r="U68" t="s">
        <v>1223</v>
      </c>
      <c r="V68" s="7" t="s">
        <v>1629</v>
      </c>
    </row>
    <row r="69" spans="1:22">
      <c r="A69" s="8">
        <v>67</v>
      </c>
      <c r="B69">
        <v>18</v>
      </c>
      <c r="C69" s="1">
        <v>346</v>
      </c>
      <c r="D69" s="2">
        <f>HYPERLINK("https://torgi.gov.ru/new/public/lots/lot/21000005540000000010_1/(lotInfo:info)", "21000005540000000010_1")</f>
        <v>0</v>
      </c>
      <c r="E69" t="s">
        <v>88</v>
      </c>
      <c r="F69" s="3" t="s">
        <v>539</v>
      </c>
      <c r="G69" t="s">
        <v>776</v>
      </c>
      <c r="H69" s="4">
        <v>3545000</v>
      </c>
      <c r="I69" s="4">
        <v>10245.66473988439</v>
      </c>
      <c r="J69" s="5">
        <v>3.84</v>
      </c>
      <c r="K69" s="5">
        <v>12.79</v>
      </c>
      <c r="L69" s="4">
        <v>320.16</v>
      </c>
      <c r="M69">
        <v>2667</v>
      </c>
      <c r="N69">
        <v>801</v>
      </c>
      <c r="O69">
        <v>32</v>
      </c>
      <c r="P69" s="6">
        <v>300</v>
      </c>
      <c r="Q69" t="s">
        <v>1161</v>
      </c>
      <c r="R69" t="s">
        <v>1164</v>
      </c>
      <c r="S69" s="2">
        <f>HYPERLINK("https://yandex.ru/maps/?&amp;text=57.052795, 53.987453", "57.052795, 53.987453")</f>
        <v>0</v>
      </c>
      <c r="T69" s="2">
        <f>HYPERLINK("D:\torgi_project\venv_torgi\cache\objs_in_district/57.052795_53.987453.json", "57.052795_53.987453.json")</f>
        <v>0</v>
      </c>
      <c r="U69" t="s">
        <v>1224</v>
      </c>
      <c r="V69" s="7" t="s">
        <v>1630</v>
      </c>
    </row>
    <row r="70" spans="1:22">
      <c r="A70" s="8">
        <v>68</v>
      </c>
      <c r="B70">
        <v>18</v>
      </c>
      <c r="C70" s="1">
        <v>289.3</v>
      </c>
      <c r="D70" s="2">
        <f>HYPERLINK("https://torgi.gov.ru/new/public/lots/lot/22000013180000000007_2/(lotInfo:info)", "22000013180000000007_2")</f>
        <v>0</v>
      </c>
      <c r="E70" t="s">
        <v>89</v>
      </c>
      <c r="F70" s="3" t="s">
        <v>538</v>
      </c>
      <c r="G70" t="s">
        <v>777</v>
      </c>
      <c r="H70" s="4">
        <v>3626433.36</v>
      </c>
      <c r="I70" s="4">
        <v>12535.2</v>
      </c>
      <c r="J70" s="5">
        <v>65.63</v>
      </c>
      <c r="K70" s="5">
        <v>2.81</v>
      </c>
      <c r="L70" s="4">
        <v>783.4400000000001</v>
      </c>
      <c r="M70">
        <v>191</v>
      </c>
      <c r="N70">
        <v>4465</v>
      </c>
      <c r="O70">
        <v>16</v>
      </c>
      <c r="P70" s="6">
        <v>200</v>
      </c>
      <c r="Q70" t="s">
        <v>1161</v>
      </c>
      <c r="R70" t="s">
        <v>1164</v>
      </c>
      <c r="S70" s="2">
        <f>HYPERLINK("https://yandex.ru/maps/?&amp;text=56.834781, 53.109442", "56.834781, 53.109442")</f>
        <v>0</v>
      </c>
      <c r="T70" s="2">
        <f>HYPERLINK("D:\torgi_project\venv_torgi\cache\objs_in_district/56.834781_53.109442.json", "56.834781_53.109442.json")</f>
        <v>0</v>
      </c>
      <c r="U70" t="s">
        <v>1225</v>
      </c>
      <c r="V70" s="7" t="s">
        <v>1628</v>
      </c>
    </row>
    <row r="71" spans="1:22">
      <c r="A71" s="8">
        <v>69</v>
      </c>
      <c r="B71">
        <v>20</v>
      </c>
      <c r="C71" s="1">
        <v>256.7</v>
      </c>
      <c r="D71" s="2">
        <f>HYPERLINK("https://torgi.gov.ru/new/public/lots/lot/22000011830000000021_1/(lotInfo:info)", "22000011830000000021_1")</f>
        <v>0</v>
      </c>
      <c r="E71" t="s">
        <v>90</v>
      </c>
      <c r="F71" s="3" t="s">
        <v>540</v>
      </c>
      <c r="G71" t="s">
        <v>778</v>
      </c>
      <c r="H71" s="4">
        <v>1424000</v>
      </c>
      <c r="I71" s="4">
        <v>5547.331515387612</v>
      </c>
      <c r="J71" s="5">
        <v>2.64</v>
      </c>
      <c r="M71">
        <v>2099</v>
      </c>
      <c r="P71" s="6">
        <v>200</v>
      </c>
      <c r="Q71" t="s">
        <v>1161</v>
      </c>
      <c r="R71" t="s">
        <v>1165</v>
      </c>
      <c r="S71" s="2">
        <f>HYPERLINK("https://yandex.ru/maps/?&amp;text=43.138486, 45.526035", "43.138486, 45.526035")</f>
        <v>0</v>
      </c>
      <c r="U71" t="s">
        <v>1226</v>
      </c>
    </row>
    <row r="72" spans="1:22">
      <c r="A72" s="8">
        <v>70</v>
      </c>
      <c r="B72">
        <v>21</v>
      </c>
      <c r="C72" s="1">
        <v>357.2</v>
      </c>
      <c r="D72" s="2">
        <f>HYPERLINK("https://torgi.gov.ru/new/public/lots/lot/22000077840000000008_1/(lotInfo:info)", "22000077840000000008_1")</f>
        <v>0</v>
      </c>
      <c r="E72" t="s">
        <v>91</v>
      </c>
      <c r="F72" s="3" t="s">
        <v>541</v>
      </c>
      <c r="G72" t="s">
        <v>779</v>
      </c>
      <c r="H72" s="4">
        <v>695000</v>
      </c>
      <c r="I72" s="4">
        <v>1945.68868980963</v>
      </c>
      <c r="J72" s="5">
        <v>10.75</v>
      </c>
      <c r="K72" s="5">
        <v>8.42</v>
      </c>
      <c r="L72" s="4">
        <v>486.25</v>
      </c>
      <c r="M72">
        <v>181</v>
      </c>
      <c r="N72">
        <v>231</v>
      </c>
      <c r="O72">
        <v>4</v>
      </c>
      <c r="P72" s="6">
        <v>100</v>
      </c>
      <c r="Q72" t="s">
        <v>1162</v>
      </c>
      <c r="R72" t="s">
        <v>1164</v>
      </c>
      <c r="S72" s="2">
        <f>HYPERLINK("https://yandex.ru/maps/?&amp;text=54.788735, 46.615925", "54.788735, 46.615925")</f>
        <v>0</v>
      </c>
      <c r="T72" s="2">
        <f>HYPERLINK("D:\torgi_project\venv_torgi\cache\objs_in_district/54.788735_46.615925.json", "54.788735_46.615925.json")</f>
        <v>0</v>
      </c>
      <c r="U72" t="s">
        <v>1227</v>
      </c>
    </row>
    <row r="73" spans="1:22">
      <c r="A73" s="8">
        <v>71</v>
      </c>
      <c r="B73">
        <v>21</v>
      </c>
      <c r="C73" s="1">
        <v>194</v>
      </c>
      <c r="D73" s="2">
        <f>HYPERLINK("https://torgi.gov.ru/new/public/lots/lot/21000025550000000063_1/(lotInfo:info)", "21000025550000000063_1")</f>
        <v>0</v>
      </c>
      <c r="E73" t="s">
        <v>92</v>
      </c>
      <c r="F73" s="3" t="s">
        <v>541</v>
      </c>
      <c r="G73" t="s">
        <v>780</v>
      </c>
      <c r="H73" s="4">
        <v>7372333.05</v>
      </c>
      <c r="I73" s="4">
        <v>38001.71675257732</v>
      </c>
      <c r="J73" s="5">
        <v>8.42</v>
      </c>
      <c r="K73" s="5">
        <v>4.81</v>
      </c>
      <c r="L73" s="4">
        <v>1310.38</v>
      </c>
      <c r="M73">
        <v>4514</v>
      </c>
      <c r="N73">
        <v>7905</v>
      </c>
      <c r="O73">
        <v>29</v>
      </c>
      <c r="P73" s="6">
        <v>300</v>
      </c>
      <c r="Q73" t="s">
        <v>1161</v>
      </c>
      <c r="R73" t="s">
        <v>1165</v>
      </c>
      <c r="S73" s="2">
        <f>HYPERLINK("https://yandex.ru/maps/?&amp;text=56.108422, 47.289508", "56.108422, 47.289508")</f>
        <v>0</v>
      </c>
      <c r="T73" s="2">
        <f>HYPERLINK("D:\torgi_project\venv_torgi\cache\objs_in_district/56.108422_47.289508.json", "56.108422_47.289508.json")</f>
        <v>0</v>
      </c>
      <c r="U73" t="s">
        <v>1228</v>
      </c>
    </row>
    <row r="74" spans="1:22">
      <c r="A74" s="8">
        <v>72</v>
      </c>
      <c r="B74">
        <v>21</v>
      </c>
      <c r="C74" s="1">
        <v>186</v>
      </c>
      <c r="D74" s="2">
        <f>HYPERLINK("https://torgi.gov.ru/new/public/lots/lot/21000025550000000063_2/(lotInfo:info)", "21000025550000000063_2")</f>
        <v>0</v>
      </c>
      <c r="E74" t="s">
        <v>93</v>
      </c>
      <c r="F74" s="3" t="s">
        <v>541</v>
      </c>
      <c r="G74" t="s">
        <v>781</v>
      </c>
      <c r="H74" s="4">
        <v>7068458.05</v>
      </c>
      <c r="I74" s="4">
        <v>38002.4626344086</v>
      </c>
      <c r="J74" s="5">
        <v>8.42</v>
      </c>
      <c r="K74" s="5">
        <v>4.53</v>
      </c>
      <c r="L74" s="4">
        <v>1225.87</v>
      </c>
      <c r="M74">
        <v>4514</v>
      </c>
      <c r="N74">
        <v>8385</v>
      </c>
      <c r="O74">
        <v>31</v>
      </c>
      <c r="P74" s="6">
        <v>200</v>
      </c>
      <c r="Q74" t="s">
        <v>1161</v>
      </c>
      <c r="R74" t="s">
        <v>1165</v>
      </c>
      <c r="S74" s="2">
        <f>HYPERLINK("https://yandex.ru/maps/?&amp;text=56.108337, 47.288547", "56.108337, 47.288547")</f>
        <v>0</v>
      </c>
      <c r="T74" s="2">
        <f>HYPERLINK("D:\torgi_project\venv_torgi\cache\objs_in_district/56.108337_47.288547.json", "56.108337_47.288547.json")</f>
        <v>0</v>
      </c>
      <c r="U74" t="s">
        <v>1229</v>
      </c>
    </row>
    <row r="75" spans="1:22">
      <c r="A75" s="8">
        <v>73</v>
      </c>
      <c r="B75">
        <v>22</v>
      </c>
      <c r="C75" s="1">
        <v>167.6</v>
      </c>
      <c r="D75" s="2">
        <f>HYPERLINK("https://torgi.gov.ru/new/public/lots/lot/21000004470000000016_6/(lotInfo:info)", "21000004470000000016_6")</f>
        <v>0</v>
      </c>
      <c r="E75" t="s">
        <v>94</v>
      </c>
      <c r="F75" s="3" t="s">
        <v>542</v>
      </c>
      <c r="G75" t="s">
        <v>782</v>
      </c>
      <c r="H75" s="4">
        <v>650187.4399999999</v>
      </c>
      <c r="I75" s="4">
        <v>3879.4</v>
      </c>
      <c r="J75" s="5">
        <v>13.47</v>
      </c>
      <c r="K75" s="5">
        <v>23.09</v>
      </c>
      <c r="M75">
        <v>288</v>
      </c>
      <c r="N75">
        <v>168</v>
      </c>
      <c r="O75">
        <v>0</v>
      </c>
      <c r="P75" s="6">
        <v>2300</v>
      </c>
      <c r="Q75" t="s">
        <v>1161</v>
      </c>
      <c r="R75" t="s">
        <v>1165</v>
      </c>
      <c r="S75" s="2">
        <f>HYPERLINK("https://yandex.ru/maps/?&amp;text=53.117465, 86.020147", "53.117465, 86.020147")</f>
        <v>0</v>
      </c>
      <c r="U75" t="s">
        <v>1230</v>
      </c>
    </row>
    <row r="76" spans="1:22">
      <c r="A76" s="8">
        <v>74</v>
      </c>
      <c r="B76">
        <v>22</v>
      </c>
      <c r="C76" s="1">
        <v>2368.6</v>
      </c>
      <c r="D76" s="2">
        <f>HYPERLINK("https://torgi.gov.ru/new/public/lots/lot/21000004470000000017_12/(lotInfo:info)", "21000004470000000017_12")</f>
        <v>0</v>
      </c>
      <c r="E76" t="s">
        <v>95</v>
      </c>
      <c r="F76" s="3" t="s">
        <v>543</v>
      </c>
      <c r="G76" t="s">
        <v>783</v>
      </c>
      <c r="H76" s="4">
        <v>9498125.25</v>
      </c>
      <c r="I76" s="4">
        <v>4010.016570970194</v>
      </c>
      <c r="J76" s="5">
        <v>1.7</v>
      </c>
      <c r="K76" s="5">
        <v>31.09</v>
      </c>
      <c r="M76">
        <v>2362</v>
      </c>
      <c r="N76">
        <v>129</v>
      </c>
      <c r="O76">
        <v>0</v>
      </c>
      <c r="P76" s="6">
        <v>5000</v>
      </c>
      <c r="Q76" t="s">
        <v>1161</v>
      </c>
      <c r="R76" t="s">
        <v>1165</v>
      </c>
      <c r="S76" s="2">
        <f>HYPERLINK("https://yandex.ru/maps/?&amp;text=52.486277, 85.075937", "52.486277, 85.075937")</f>
        <v>0</v>
      </c>
      <c r="U76" t="s">
        <v>1231</v>
      </c>
    </row>
    <row r="77" spans="1:22">
      <c r="A77" s="8">
        <v>75</v>
      </c>
      <c r="B77">
        <v>22</v>
      </c>
      <c r="C77" s="1">
        <v>218</v>
      </c>
      <c r="D77" s="2">
        <f>HYPERLINK("https://torgi.gov.ru/new/public/lots/lot/21000012250000000028_1/(lotInfo:info)", "21000012250000000028_1")</f>
        <v>0</v>
      </c>
      <c r="E77" t="s">
        <v>96</v>
      </c>
      <c r="F77" s="3" t="s">
        <v>544</v>
      </c>
      <c r="G77" t="s">
        <v>784</v>
      </c>
      <c r="H77" s="4">
        <v>950000</v>
      </c>
      <c r="I77" s="4">
        <v>4357.798165137615</v>
      </c>
      <c r="J77" s="5">
        <v>4</v>
      </c>
      <c r="K77" s="5">
        <v>3.91</v>
      </c>
      <c r="L77" s="4">
        <v>726.17</v>
      </c>
      <c r="M77">
        <v>1089</v>
      </c>
      <c r="N77">
        <v>1113</v>
      </c>
      <c r="O77">
        <v>6</v>
      </c>
      <c r="P77" s="6">
        <v>1700</v>
      </c>
      <c r="Q77" t="s">
        <v>1162</v>
      </c>
      <c r="R77" t="s">
        <v>1164</v>
      </c>
      <c r="S77" s="2">
        <f>HYPERLINK("https://yandex.ru/maps/?&amp;text=52.831026, 79.890017", "52.831026, 79.890017")</f>
        <v>0</v>
      </c>
      <c r="T77" s="2">
        <f>HYPERLINK("D:\torgi_project\venv_torgi\cache\objs_in_district/52.831026_79.890017.json", "52.831026_79.890017.json")</f>
        <v>0</v>
      </c>
      <c r="U77" t="s">
        <v>1232</v>
      </c>
    </row>
    <row r="78" spans="1:22">
      <c r="A78" s="8">
        <v>76</v>
      </c>
      <c r="B78">
        <v>22</v>
      </c>
      <c r="C78" s="1">
        <v>150.1</v>
      </c>
      <c r="D78" s="2">
        <f>HYPERLINK("https://torgi.gov.ru/new/public/lots/lot/21000015510000000026_7/(lotInfo:info)", "21000015510000000026_7")</f>
        <v>0</v>
      </c>
      <c r="E78" t="s">
        <v>97</v>
      </c>
      <c r="F78" s="3" t="s">
        <v>545</v>
      </c>
      <c r="G78" t="s">
        <v>785</v>
      </c>
      <c r="H78" s="4">
        <v>1092000</v>
      </c>
      <c r="I78" s="4">
        <v>7275.149900066623</v>
      </c>
      <c r="J78" s="5">
        <v>1.58</v>
      </c>
      <c r="K78" s="5">
        <v>26.65</v>
      </c>
      <c r="L78" s="4">
        <v>363.75</v>
      </c>
      <c r="M78">
        <v>4605</v>
      </c>
      <c r="N78">
        <v>273</v>
      </c>
      <c r="O78">
        <v>20</v>
      </c>
      <c r="P78" s="6">
        <v>300</v>
      </c>
      <c r="Q78" t="s">
        <v>1162</v>
      </c>
      <c r="R78" t="s">
        <v>1164</v>
      </c>
      <c r="S78" s="2">
        <f>HYPERLINK("https://yandex.ru/maps/?&amp;text=53.37249, 83.755424", "53.37249, 83.755424")</f>
        <v>0</v>
      </c>
      <c r="T78" s="2">
        <f>HYPERLINK("D:\torgi_project\venv_torgi\cache\objs_in_district/53.37249_83.755424.json", "53.37249_83.755424.json")</f>
        <v>0</v>
      </c>
      <c r="U78" t="s">
        <v>1233</v>
      </c>
      <c r="V78" s="7" t="s">
        <v>1628</v>
      </c>
    </row>
    <row r="79" spans="1:22">
      <c r="A79" s="8">
        <v>77</v>
      </c>
      <c r="B79">
        <v>22</v>
      </c>
      <c r="C79" s="1">
        <v>81.40000000000001</v>
      </c>
      <c r="D79" s="2">
        <f>HYPERLINK("https://torgi.gov.ru/new/public/lots/lot/21000015510000000026_6/(lotInfo:info)", "21000015510000000026_6")</f>
        <v>0</v>
      </c>
      <c r="E79" t="s">
        <v>98</v>
      </c>
      <c r="F79" s="3" t="s">
        <v>545</v>
      </c>
      <c r="G79" t="s">
        <v>786</v>
      </c>
      <c r="H79" s="4">
        <v>596000</v>
      </c>
      <c r="I79" s="4">
        <v>7321.867321867321</v>
      </c>
      <c r="J79" s="5">
        <v>6.17</v>
      </c>
      <c r="K79" s="5">
        <v>76.26000000000001</v>
      </c>
      <c r="L79" s="4">
        <v>7321</v>
      </c>
      <c r="M79">
        <v>1186</v>
      </c>
      <c r="N79">
        <v>96</v>
      </c>
      <c r="O79">
        <v>1</v>
      </c>
      <c r="P79" s="6">
        <v>200</v>
      </c>
      <c r="Q79" t="s">
        <v>1162</v>
      </c>
      <c r="R79" t="s">
        <v>1164</v>
      </c>
      <c r="S79" s="2">
        <f>HYPERLINK("https://yandex.ru/maps/?&amp;text=53.416561, 83.572256", "53.416561, 83.572256")</f>
        <v>0</v>
      </c>
      <c r="T79" s="2">
        <f>HYPERLINK("D:\torgi_project\venv_torgi\cache\objs_in_district/53.416561_83.572256.json", "53.416561_83.572256.json")</f>
        <v>0</v>
      </c>
      <c r="U79" t="s">
        <v>1234</v>
      </c>
      <c r="V79" s="7" t="s">
        <v>1628</v>
      </c>
    </row>
    <row r="80" spans="1:22">
      <c r="A80" s="8">
        <v>78</v>
      </c>
      <c r="B80">
        <v>22</v>
      </c>
      <c r="C80" s="1">
        <v>109</v>
      </c>
      <c r="D80" s="2">
        <f>HYPERLINK("https://torgi.gov.ru/new/public/lots/lot/21000015510000000026_1/(lotInfo:info)", "21000015510000000026_1")</f>
        <v>0</v>
      </c>
      <c r="E80" t="s">
        <v>99</v>
      </c>
      <c r="F80" s="3" t="s">
        <v>545</v>
      </c>
      <c r="G80" t="s">
        <v>787</v>
      </c>
      <c r="H80" s="4">
        <v>896000</v>
      </c>
      <c r="I80" s="4">
        <v>8220.183486238531</v>
      </c>
      <c r="J80" s="5">
        <v>1.91</v>
      </c>
      <c r="K80" s="5">
        <v>7.33</v>
      </c>
      <c r="L80" s="4">
        <v>195.71</v>
      </c>
      <c r="M80">
        <v>4297</v>
      </c>
      <c r="N80">
        <v>1122</v>
      </c>
      <c r="O80">
        <v>42</v>
      </c>
      <c r="P80" s="6">
        <v>200</v>
      </c>
      <c r="Q80" t="s">
        <v>1162</v>
      </c>
      <c r="R80" t="s">
        <v>1164</v>
      </c>
      <c r="S80" s="2">
        <f>HYPERLINK("https://yandex.ru/maps/?&amp;text=53.370817, 83.673344", "53.370817, 83.673344")</f>
        <v>0</v>
      </c>
      <c r="T80" s="2">
        <f>HYPERLINK("D:\torgi_project\venv_torgi\cache\objs_in_district/53.370817_83.673344.json", "53.370817_83.673344.json")</f>
        <v>0</v>
      </c>
      <c r="U80" t="s">
        <v>1235</v>
      </c>
      <c r="V80" s="7" t="s">
        <v>1631</v>
      </c>
    </row>
    <row r="81" spans="1:22">
      <c r="A81" s="8">
        <v>79</v>
      </c>
      <c r="B81">
        <v>22</v>
      </c>
      <c r="C81" s="1">
        <v>156.2</v>
      </c>
      <c r="D81" s="2">
        <f>HYPERLINK("https://torgi.gov.ru/new/public/lots/lot/21000015510000000029_6/(lotInfo:info)", "21000015510000000029_6")</f>
        <v>0</v>
      </c>
      <c r="E81" t="s">
        <v>100</v>
      </c>
      <c r="F81" s="3" t="s">
        <v>541</v>
      </c>
      <c r="G81" t="s">
        <v>785</v>
      </c>
      <c r="H81" s="4">
        <v>1396000</v>
      </c>
      <c r="I81" s="4">
        <v>8937.259923175417</v>
      </c>
      <c r="J81" s="5">
        <v>1.94</v>
      </c>
      <c r="K81" s="5">
        <v>32.74</v>
      </c>
      <c r="L81" s="4">
        <v>446.85</v>
      </c>
      <c r="M81">
        <v>4605</v>
      </c>
      <c r="N81">
        <v>273</v>
      </c>
      <c r="O81">
        <v>20</v>
      </c>
      <c r="P81" s="6">
        <v>300</v>
      </c>
      <c r="Q81" t="s">
        <v>1161</v>
      </c>
      <c r="R81" t="s">
        <v>1164</v>
      </c>
      <c r="S81" s="2">
        <f>HYPERLINK("https://yandex.ru/maps/?&amp;text=53.37249, 83.755424", "53.37249, 83.755424")</f>
        <v>0</v>
      </c>
      <c r="T81" s="2">
        <f>HYPERLINK("D:\torgi_project\venv_torgi\cache\objs_in_district/53.37249_83.755424.json", "53.37249_83.755424.json")</f>
        <v>0</v>
      </c>
      <c r="U81" t="s">
        <v>1236</v>
      </c>
      <c r="V81" s="7" t="s">
        <v>1630</v>
      </c>
    </row>
    <row r="82" spans="1:22">
      <c r="A82" s="8">
        <v>80</v>
      </c>
      <c r="B82">
        <v>22</v>
      </c>
      <c r="C82" s="1">
        <v>60.2</v>
      </c>
      <c r="D82" s="2">
        <f>HYPERLINK("https://torgi.gov.ru/new/public/lots/lot/22000080430000000036_3/(lotInfo:info)", "22000080430000000036_3")</f>
        <v>0</v>
      </c>
      <c r="E82" t="s">
        <v>101</v>
      </c>
      <c r="F82" s="3" t="s">
        <v>542</v>
      </c>
      <c r="G82" t="s">
        <v>788</v>
      </c>
      <c r="H82" s="4">
        <v>544040.8</v>
      </c>
      <c r="I82" s="4">
        <v>9037.222591362126</v>
      </c>
      <c r="J82" s="5">
        <v>67.44</v>
      </c>
      <c r="K82" s="5">
        <v>1506.17</v>
      </c>
      <c r="M82">
        <v>134</v>
      </c>
      <c r="N82">
        <v>6</v>
      </c>
      <c r="O82">
        <v>0</v>
      </c>
      <c r="P82" s="6">
        <v>400</v>
      </c>
      <c r="Q82" t="s">
        <v>1161</v>
      </c>
      <c r="R82" t="s">
        <v>1165</v>
      </c>
      <c r="S82" s="2">
        <f>HYPERLINK("https://yandex.ru/maps/?&amp;text=53.577732, 84.142309", "53.577732, 84.142309")</f>
        <v>0</v>
      </c>
      <c r="U82" t="s">
        <v>1237</v>
      </c>
    </row>
    <row r="83" spans="1:22">
      <c r="A83" s="8">
        <v>81</v>
      </c>
      <c r="B83">
        <v>22</v>
      </c>
      <c r="C83" s="1">
        <v>305.2</v>
      </c>
      <c r="D83" s="2">
        <f>HYPERLINK("https://torgi.gov.ru/new/public/lots/lot/21000015510000000029_3/(lotInfo:info)", "21000015510000000029_3")</f>
        <v>0</v>
      </c>
      <c r="E83" t="s">
        <v>102</v>
      </c>
      <c r="F83" s="3" t="s">
        <v>541</v>
      </c>
      <c r="G83" t="s">
        <v>789</v>
      </c>
      <c r="H83" s="4">
        <v>4031000</v>
      </c>
      <c r="I83" s="4">
        <v>13207.73263433814</v>
      </c>
      <c r="J83" s="5">
        <v>3.87</v>
      </c>
      <c r="K83" s="5">
        <v>3.24</v>
      </c>
      <c r="L83" s="4">
        <v>733.72</v>
      </c>
      <c r="M83">
        <v>3409</v>
      </c>
      <c r="N83">
        <v>4075</v>
      </c>
      <c r="O83">
        <v>18</v>
      </c>
      <c r="P83" s="6">
        <v>500</v>
      </c>
      <c r="Q83" t="s">
        <v>1161</v>
      </c>
      <c r="R83" t="s">
        <v>1164</v>
      </c>
      <c r="S83" s="2">
        <f>HYPERLINK("https://yandex.ru/maps/?&amp;text=53.358529, 83.662447", "53.358529, 83.662447")</f>
        <v>0</v>
      </c>
      <c r="T83" s="2">
        <f>HYPERLINK("D:\torgi_project\venv_torgi\cache\objs_in_district/53.358529_83.662447.json", "53.358529_83.662447.json")</f>
        <v>0</v>
      </c>
      <c r="U83" t="s">
        <v>1238</v>
      </c>
      <c r="V83" s="7" t="s">
        <v>1630</v>
      </c>
    </row>
    <row r="84" spans="1:22">
      <c r="A84" s="8">
        <v>82</v>
      </c>
      <c r="B84">
        <v>22</v>
      </c>
      <c r="C84" s="1">
        <v>260.5</v>
      </c>
      <c r="D84" s="2">
        <f>HYPERLINK("https://torgi.gov.ru/new/public/lots/lot/22000080430000000039_12/(lotInfo:info)", "22000080430000000039_12")</f>
        <v>0</v>
      </c>
      <c r="E84" t="s">
        <v>103</v>
      </c>
      <c r="F84" s="3" t="s">
        <v>546</v>
      </c>
      <c r="G84" t="s">
        <v>790</v>
      </c>
      <c r="H84" s="4">
        <v>3738436</v>
      </c>
      <c r="I84" s="4">
        <v>14351.0019193858</v>
      </c>
      <c r="J84" s="5">
        <v>4.67</v>
      </c>
      <c r="K84" s="5">
        <v>3.77</v>
      </c>
      <c r="L84" s="4">
        <v>1594.56</v>
      </c>
      <c r="M84">
        <v>3072</v>
      </c>
      <c r="N84">
        <v>3807</v>
      </c>
      <c r="O84">
        <v>9</v>
      </c>
      <c r="P84" s="6">
        <v>700</v>
      </c>
      <c r="Q84" t="s">
        <v>1161</v>
      </c>
      <c r="R84" t="s">
        <v>1165</v>
      </c>
      <c r="S84" s="2">
        <f>HYPERLINK("https://yandex.ru/maps/?&amp;text=53.34514, 83.793682", "53.34514, 83.793682")</f>
        <v>0</v>
      </c>
      <c r="T84" s="2">
        <f>HYPERLINK("D:\torgi_project\venv_torgi\cache\objs_in_district/53.34514_83.793682.json", "53.34514_83.793682.json")</f>
        <v>0</v>
      </c>
      <c r="U84" t="s">
        <v>1239</v>
      </c>
    </row>
    <row r="85" spans="1:22">
      <c r="A85" s="8">
        <v>83</v>
      </c>
      <c r="B85">
        <v>22</v>
      </c>
      <c r="C85" s="1">
        <v>331.7</v>
      </c>
      <c r="D85" s="2">
        <f>HYPERLINK("https://torgi.gov.ru/new/public/lots/lot/21000015510000000029_2/(lotInfo:info)", "21000015510000000029_2")</f>
        <v>0</v>
      </c>
      <c r="E85" t="s">
        <v>104</v>
      </c>
      <c r="F85" s="3" t="s">
        <v>541</v>
      </c>
      <c r="G85" t="s">
        <v>791</v>
      </c>
      <c r="H85" s="4">
        <v>5199000</v>
      </c>
      <c r="I85" s="4">
        <v>15673.80162797709</v>
      </c>
      <c r="J85" s="5">
        <v>3.48</v>
      </c>
      <c r="K85" s="5">
        <v>29.85</v>
      </c>
      <c r="L85" s="4">
        <v>783.65</v>
      </c>
      <c r="M85">
        <v>4506</v>
      </c>
      <c r="N85">
        <v>525</v>
      </c>
      <c r="O85">
        <v>20</v>
      </c>
      <c r="P85" s="6">
        <v>400</v>
      </c>
      <c r="Q85" t="s">
        <v>1161</v>
      </c>
      <c r="R85" t="s">
        <v>1164</v>
      </c>
      <c r="S85" s="2">
        <f>HYPERLINK("https://yandex.ru/maps/?&amp;text=53.361065, 83.774126", "53.361065, 83.774126")</f>
        <v>0</v>
      </c>
      <c r="T85" s="2">
        <f>HYPERLINK("D:\torgi_project\venv_torgi\cache\objs_in_district/53.361065_83.774126.json", "53.361065_83.774126.json")</f>
        <v>0</v>
      </c>
      <c r="U85" t="s">
        <v>1240</v>
      </c>
      <c r="V85" s="7" t="s">
        <v>1628</v>
      </c>
    </row>
    <row r="86" spans="1:22">
      <c r="A86" s="8">
        <v>84</v>
      </c>
      <c r="B86">
        <v>22</v>
      </c>
      <c r="C86" s="1">
        <v>222.9</v>
      </c>
      <c r="D86" s="2">
        <f>HYPERLINK("https://torgi.gov.ru/new/public/lots/lot/21000015510000000029_1/(lotInfo:info)", "21000015510000000029_1")</f>
        <v>0</v>
      </c>
      <c r="E86" t="s">
        <v>105</v>
      </c>
      <c r="F86" s="3" t="s">
        <v>541</v>
      </c>
      <c r="G86" t="s">
        <v>792</v>
      </c>
      <c r="H86" s="4">
        <v>3912000</v>
      </c>
      <c r="I86" s="4">
        <v>17550.47106325706</v>
      </c>
      <c r="J86" s="5">
        <v>16.2</v>
      </c>
      <c r="K86" s="5">
        <v>74.36</v>
      </c>
      <c r="L86" s="4">
        <v>1170</v>
      </c>
      <c r="M86">
        <v>1083</v>
      </c>
      <c r="N86">
        <v>236</v>
      </c>
      <c r="O86">
        <v>15</v>
      </c>
      <c r="P86" s="6">
        <v>500</v>
      </c>
      <c r="Q86" t="s">
        <v>1161</v>
      </c>
      <c r="R86" t="s">
        <v>1164</v>
      </c>
      <c r="S86" s="2">
        <f>HYPERLINK("https://yandex.ru/maps/?&amp;text=53.258534, 83.695289", "53.258534, 83.695289")</f>
        <v>0</v>
      </c>
      <c r="T86" s="2">
        <f>HYPERLINK("D:\torgi_project\venv_torgi\cache\objs_in_district/53.258534_83.695289.json", "53.258534_83.695289.json")</f>
        <v>0</v>
      </c>
      <c r="U86" t="s">
        <v>1241</v>
      </c>
      <c r="V86" s="7" t="s">
        <v>1628</v>
      </c>
    </row>
    <row r="87" spans="1:22">
      <c r="A87" s="8">
        <v>85</v>
      </c>
      <c r="B87">
        <v>22</v>
      </c>
      <c r="C87" s="1">
        <v>55.6</v>
      </c>
      <c r="D87" s="2">
        <f>HYPERLINK("https://torgi.gov.ru/new/public/lots/lot/21000020060000000004_3/(lotInfo:info)", "21000020060000000004_3")</f>
        <v>0</v>
      </c>
      <c r="E87" t="s">
        <v>106</v>
      </c>
      <c r="F87" s="3" t="s">
        <v>547</v>
      </c>
      <c r="G87" t="s">
        <v>793</v>
      </c>
      <c r="H87" s="4">
        <v>1000000</v>
      </c>
      <c r="I87" s="4">
        <v>17985.61151079136</v>
      </c>
      <c r="J87" s="5">
        <v>11.95</v>
      </c>
      <c r="K87" s="5">
        <v>35.26</v>
      </c>
      <c r="L87" s="4">
        <v>8992.5</v>
      </c>
      <c r="M87">
        <v>1505</v>
      </c>
      <c r="N87">
        <v>510</v>
      </c>
      <c r="O87">
        <v>2</v>
      </c>
      <c r="P87" s="6">
        <v>100</v>
      </c>
      <c r="Q87" t="s">
        <v>1161</v>
      </c>
      <c r="R87" t="s">
        <v>1164</v>
      </c>
      <c r="S87" s="2">
        <f>HYPERLINK("https://yandex.ru/maps/?&amp;text=52.501751, 82.792213", "52.501751, 82.792213")</f>
        <v>0</v>
      </c>
      <c r="T87" s="2">
        <f>HYPERLINK("D:\torgi_project\venv_torgi\cache\objs_in_district/52.501751_82.792213.json", "52.501751_82.792213.json")</f>
        <v>0</v>
      </c>
      <c r="U87" t="s">
        <v>1242</v>
      </c>
    </row>
    <row r="88" spans="1:22">
      <c r="A88" s="8">
        <v>86</v>
      </c>
      <c r="B88">
        <v>22</v>
      </c>
      <c r="C88" s="1">
        <v>29</v>
      </c>
      <c r="D88" s="2">
        <f>HYPERLINK("https://torgi.gov.ru/new/public/lots/lot/21000020060000000004_2/(lotInfo:info)", "21000020060000000004_2")</f>
        <v>0</v>
      </c>
      <c r="E88" t="s">
        <v>107</v>
      </c>
      <c r="F88" s="3" t="s">
        <v>547</v>
      </c>
      <c r="G88" t="s">
        <v>793</v>
      </c>
      <c r="H88" s="4">
        <v>537000</v>
      </c>
      <c r="I88" s="4">
        <v>18517.24137931034</v>
      </c>
      <c r="J88" s="5">
        <v>12.3</v>
      </c>
      <c r="K88" s="5">
        <v>36.31</v>
      </c>
      <c r="L88" s="4">
        <v>9258.5</v>
      </c>
      <c r="M88">
        <v>1505</v>
      </c>
      <c r="N88">
        <v>510</v>
      </c>
      <c r="O88">
        <v>2</v>
      </c>
      <c r="P88" s="6">
        <v>100</v>
      </c>
      <c r="Q88" t="s">
        <v>1161</v>
      </c>
      <c r="R88" t="s">
        <v>1164</v>
      </c>
      <c r="S88" s="2">
        <f>HYPERLINK("https://yandex.ru/maps/?&amp;text=52.501751, 82.792213", "52.501751, 82.792213")</f>
        <v>0</v>
      </c>
      <c r="T88" s="2">
        <f>HYPERLINK("D:\torgi_project\venv_torgi\cache\objs_in_district/52.501751_82.792213.json", "52.501751_82.792213.json")</f>
        <v>0</v>
      </c>
      <c r="U88" t="s">
        <v>1243</v>
      </c>
    </row>
    <row r="89" spans="1:22">
      <c r="A89" s="8">
        <v>87</v>
      </c>
      <c r="B89">
        <v>22</v>
      </c>
      <c r="C89" s="1">
        <v>36</v>
      </c>
      <c r="D89" s="2">
        <f>HYPERLINK("https://torgi.gov.ru/new/public/lots/lot/21000020060000000004_1/(lotInfo:info)", "21000020060000000004_1")</f>
        <v>0</v>
      </c>
      <c r="E89" t="s">
        <v>108</v>
      </c>
      <c r="F89" s="3" t="s">
        <v>547</v>
      </c>
      <c r="G89" t="s">
        <v>793</v>
      </c>
      <c r="H89" s="4">
        <v>667000</v>
      </c>
      <c r="I89" s="4">
        <v>18527.77777777778</v>
      </c>
      <c r="J89" s="5">
        <v>12.31</v>
      </c>
      <c r="K89" s="5">
        <v>36.33</v>
      </c>
      <c r="L89" s="4">
        <v>9263.5</v>
      </c>
      <c r="M89">
        <v>1505</v>
      </c>
      <c r="N89">
        <v>510</v>
      </c>
      <c r="O89">
        <v>2</v>
      </c>
      <c r="P89" s="6">
        <v>100</v>
      </c>
      <c r="Q89" t="s">
        <v>1161</v>
      </c>
      <c r="R89" t="s">
        <v>1164</v>
      </c>
      <c r="S89" s="2">
        <f>HYPERLINK("https://yandex.ru/maps/?&amp;text=52.501751, 82.792213", "52.501751, 82.792213")</f>
        <v>0</v>
      </c>
      <c r="T89" s="2">
        <f>HYPERLINK("D:\torgi_project\venv_torgi\cache\objs_in_district/52.501751_82.792213.json", "52.501751_82.792213.json")</f>
        <v>0</v>
      </c>
      <c r="U89" t="s">
        <v>1244</v>
      </c>
    </row>
    <row r="90" spans="1:22">
      <c r="A90" s="8">
        <v>88</v>
      </c>
      <c r="B90">
        <v>22</v>
      </c>
      <c r="C90" s="1">
        <v>172.2</v>
      </c>
      <c r="D90" s="2">
        <f>HYPERLINK("https://torgi.gov.ru/new/public/lots/lot/21000015510000000029_8/(lotInfo:info)", "21000015510000000029_8")</f>
        <v>0</v>
      </c>
      <c r="E90" t="s">
        <v>109</v>
      </c>
      <c r="F90" s="3" t="s">
        <v>541</v>
      </c>
      <c r="G90" t="s">
        <v>794</v>
      </c>
      <c r="H90" s="4">
        <v>4000000</v>
      </c>
      <c r="I90" s="4">
        <v>23228.8037166086</v>
      </c>
      <c r="J90" s="5">
        <v>4.79</v>
      </c>
      <c r="K90" s="5">
        <v>39.5</v>
      </c>
      <c r="L90" s="4">
        <v>3318.29</v>
      </c>
      <c r="M90">
        <v>4846</v>
      </c>
      <c r="N90">
        <v>588</v>
      </c>
      <c r="O90">
        <v>7</v>
      </c>
      <c r="P90" s="6">
        <v>800</v>
      </c>
      <c r="Q90" t="s">
        <v>1161</v>
      </c>
      <c r="R90" t="s">
        <v>1164</v>
      </c>
      <c r="S90" s="2">
        <f>HYPERLINK("https://yandex.ru/maps/?&amp;text=53.367023, 83.76712", "53.367023, 83.76712")</f>
        <v>0</v>
      </c>
      <c r="T90" s="2">
        <f>HYPERLINK("D:\torgi_project\venv_torgi\cache\objs_in_district/53.367023_83.76712.json", "53.367023_83.76712.json")</f>
        <v>0</v>
      </c>
      <c r="U90" t="s">
        <v>1245</v>
      </c>
      <c r="V90" s="7" t="s">
        <v>1628</v>
      </c>
    </row>
    <row r="91" spans="1:22">
      <c r="A91" s="8">
        <v>89</v>
      </c>
      <c r="B91">
        <v>22</v>
      </c>
      <c r="C91" s="1">
        <v>21.7</v>
      </c>
      <c r="D91" s="2">
        <f>HYPERLINK("https://torgi.gov.ru/new/public/lots/lot/22000080430000000039_14/(lotInfo:info)", "22000080430000000039_14")</f>
        <v>0</v>
      </c>
      <c r="E91" t="s">
        <v>110</v>
      </c>
      <c r="F91" s="3" t="s">
        <v>546</v>
      </c>
      <c r="G91" t="s">
        <v>795</v>
      </c>
      <c r="H91" s="4">
        <v>1009723</v>
      </c>
      <c r="I91" s="4">
        <v>46531.01382488479</v>
      </c>
      <c r="J91" s="5">
        <v>10.38</v>
      </c>
      <c r="K91" s="5">
        <v>7.72</v>
      </c>
      <c r="L91" s="4">
        <v>1501</v>
      </c>
      <c r="M91">
        <v>4483</v>
      </c>
      <c r="N91">
        <v>6024</v>
      </c>
      <c r="O91">
        <v>31</v>
      </c>
      <c r="P91" s="6">
        <v>300</v>
      </c>
      <c r="Q91" t="s">
        <v>1161</v>
      </c>
      <c r="R91" t="s">
        <v>1165</v>
      </c>
      <c r="S91" s="2">
        <f>HYPERLINK("https://yandex.ru/maps/?&amp;text=53.3398266, 83.6925049", "53.3398266, 83.6925049")</f>
        <v>0</v>
      </c>
      <c r="T91" s="2">
        <f>HYPERLINK("D:\torgi_project\venv_torgi\cache\objs_in_district/53.3398266_83.6925049.json", "53.3398266_83.6925049.json")</f>
        <v>0</v>
      </c>
      <c r="U91" t="s">
        <v>1246</v>
      </c>
      <c r="V91" s="7" t="s">
        <v>1630</v>
      </c>
    </row>
    <row r="92" spans="1:22">
      <c r="A92" s="8">
        <v>90</v>
      </c>
      <c r="B92">
        <v>23</v>
      </c>
      <c r="C92" s="1">
        <v>60.1</v>
      </c>
      <c r="D92" s="2">
        <f>HYPERLINK("https://torgi.gov.ru/new/public/lots/lot/21000003580000000010_4/(lotInfo:info)", "21000003580000000010_4")</f>
        <v>0</v>
      </c>
      <c r="E92" t="s">
        <v>111</v>
      </c>
      <c r="F92" s="3" t="s">
        <v>505</v>
      </c>
      <c r="G92" t="s">
        <v>796</v>
      </c>
      <c r="H92" s="4">
        <v>830000</v>
      </c>
      <c r="I92" s="4">
        <v>13810.31613976705</v>
      </c>
      <c r="J92" s="5">
        <v>4.41</v>
      </c>
      <c r="K92" s="5">
        <v>3.12</v>
      </c>
      <c r="L92" s="4">
        <v>460.33</v>
      </c>
      <c r="M92">
        <v>3130</v>
      </c>
      <c r="N92">
        <v>4425</v>
      </c>
      <c r="O92">
        <v>30</v>
      </c>
      <c r="P92" s="6">
        <v>400</v>
      </c>
      <c r="Q92" t="s">
        <v>1161</v>
      </c>
      <c r="R92" t="s">
        <v>1164</v>
      </c>
      <c r="S92" s="2">
        <f>HYPERLINK("https://yandex.ru/maps/?&amp;text=44.989337, 41.060959", "44.989337, 41.060959")</f>
        <v>0</v>
      </c>
      <c r="T92" s="2">
        <f>HYPERLINK("D:\torgi_project\venv_torgi\cache\objs_in_district/44.989337_41.060959.json", "44.989337_41.060959.json")</f>
        <v>0</v>
      </c>
      <c r="U92" t="s">
        <v>1247</v>
      </c>
      <c r="V92" s="7" t="s">
        <v>1628</v>
      </c>
    </row>
    <row r="93" spans="1:22">
      <c r="A93" s="8">
        <v>91</v>
      </c>
      <c r="B93">
        <v>23</v>
      </c>
      <c r="C93" s="1">
        <v>28.7</v>
      </c>
      <c r="D93" s="2">
        <f>HYPERLINK("https://torgi.gov.ru/new/public/lots/lot/21000003580000000009_1/(lotInfo:info)", "21000003580000000009_1")</f>
        <v>0</v>
      </c>
      <c r="E93" t="s">
        <v>112</v>
      </c>
      <c r="F93" s="3" t="s">
        <v>548</v>
      </c>
      <c r="G93" t="s">
        <v>797</v>
      </c>
      <c r="H93" s="4">
        <v>649000</v>
      </c>
      <c r="I93" s="4">
        <v>22613.24041811847</v>
      </c>
      <c r="J93" s="5">
        <v>6.91</v>
      </c>
      <c r="K93" s="5">
        <v>12.2</v>
      </c>
      <c r="L93" s="4">
        <v>233.12</v>
      </c>
      <c r="M93">
        <v>3271</v>
      </c>
      <c r="N93">
        <v>1854</v>
      </c>
      <c r="O93">
        <v>97</v>
      </c>
      <c r="P93" s="6">
        <v>600</v>
      </c>
      <c r="Q93" t="s">
        <v>1163</v>
      </c>
      <c r="R93" t="s">
        <v>1164</v>
      </c>
      <c r="S93" s="2">
        <f>HYPERLINK("https://yandex.ru/maps/?&amp;text=45.000664, 41.131126", "45.000664, 41.131126")</f>
        <v>0</v>
      </c>
      <c r="T93" s="2">
        <f>HYPERLINK("D:\torgi_project\venv_torgi\cache\objs_in_district/45.000664_41.131126.json", "45.000664_41.131126.json")</f>
        <v>0</v>
      </c>
      <c r="U93" t="s">
        <v>1248</v>
      </c>
    </row>
    <row r="94" spans="1:22">
      <c r="A94" s="8">
        <v>92</v>
      </c>
      <c r="B94">
        <v>23</v>
      </c>
      <c r="C94" s="1">
        <v>22.9</v>
      </c>
      <c r="D94" s="2">
        <f>HYPERLINK("https://torgi.gov.ru/new/public/lots/lot/22000021520000000004_1/(lotInfo:info)", "22000021520000000004_1")</f>
        <v>0</v>
      </c>
      <c r="E94" t="s">
        <v>113</v>
      </c>
      <c r="F94" s="3" t="s">
        <v>549</v>
      </c>
      <c r="G94" t="s">
        <v>798</v>
      </c>
      <c r="H94" s="4">
        <v>677000</v>
      </c>
      <c r="I94" s="4">
        <v>29563.31877729258</v>
      </c>
      <c r="J94" s="5">
        <v>58.89</v>
      </c>
      <c r="K94" s="5">
        <v>63.17</v>
      </c>
      <c r="L94" s="4">
        <v>7390.75</v>
      </c>
      <c r="M94">
        <v>502</v>
      </c>
      <c r="N94">
        <v>468</v>
      </c>
      <c r="O94">
        <v>4</v>
      </c>
      <c r="P94" s="6">
        <v>800</v>
      </c>
      <c r="Q94" t="s">
        <v>1161</v>
      </c>
      <c r="R94" t="s">
        <v>1164</v>
      </c>
      <c r="S94" s="2">
        <f>HYPERLINK("https://yandex.ru/maps/?&amp;text=45.198003, 37.159494", "45.198003, 37.159494")</f>
        <v>0</v>
      </c>
      <c r="T94" s="2">
        <f>HYPERLINK("D:\torgi_project\venv_torgi\cache\objs_in_district/45.198003_37.159494.json", "45.198003_37.159494.json")</f>
        <v>0</v>
      </c>
      <c r="U94" t="s">
        <v>1249</v>
      </c>
      <c r="V94" s="7" t="s">
        <v>1628</v>
      </c>
    </row>
    <row r="95" spans="1:22">
      <c r="A95" s="8">
        <v>93</v>
      </c>
      <c r="B95">
        <v>23</v>
      </c>
      <c r="C95" s="1">
        <v>75.3</v>
      </c>
      <c r="D95" s="2">
        <f>HYPERLINK("https://torgi.gov.ru/new/public/lots/lot/22000009370000000010_1/(lotInfo:info)", "22000009370000000010_1")</f>
        <v>0</v>
      </c>
      <c r="E95" t="s">
        <v>114</v>
      </c>
      <c r="F95" s="3" t="s">
        <v>550</v>
      </c>
      <c r="G95" t="s">
        <v>799</v>
      </c>
      <c r="H95" s="4">
        <v>2560000</v>
      </c>
      <c r="I95" s="4">
        <v>33997.34395750332</v>
      </c>
      <c r="J95" s="5">
        <v>39.12</v>
      </c>
      <c r="K95" s="5">
        <v>4.68</v>
      </c>
      <c r="L95" s="4">
        <v>492.71</v>
      </c>
      <c r="M95">
        <v>869</v>
      </c>
      <c r="N95">
        <v>7260</v>
      </c>
      <c r="O95">
        <v>69</v>
      </c>
      <c r="P95" s="6">
        <v>100</v>
      </c>
      <c r="Q95" t="s">
        <v>1161</v>
      </c>
      <c r="R95" t="s">
        <v>1164</v>
      </c>
      <c r="S95" s="2">
        <f>HYPERLINK("https://yandex.ru/maps/?&amp;text=44.55089, 38.065876", "44.55089, 38.065876")</f>
        <v>0</v>
      </c>
      <c r="T95" s="2">
        <f>HYPERLINK("D:\torgi_project\venv_torgi\cache\objs_in_district/44.55089_38.065876.json", "44.55089_38.065876.json")</f>
        <v>0</v>
      </c>
      <c r="U95" t="s">
        <v>1250</v>
      </c>
    </row>
    <row r="96" spans="1:22">
      <c r="A96" s="8">
        <v>94</v>
      </c>
      <c r="B96">
        <v>23</v>
      </c>
      <c r="C96" s="1">
        <v>150.4</v>
      </c>
      <c r="D96" s="2">
        <f>HYPERLINK("https://torgi.gov.ru/new/public/lots/lot/22000032330000000003_1/(lotInfo:info)", "22000032330000000003_1")</f>
        <v>0</v>
      </c>
      <c r="E96" t="s">
        <v>115</v>
      </c>
      <c r="F96" s="3" t="s">
        <v>551</v>
      </c>
      <c r="G96" t="s">
        <v>800</v>
      </c>
      <c r="H96" s="4">
        <v>8021667</v>
      </c>
      <c r="I96" s="4">
        <v>53335.55186170212</v>
      </c>
      <c r="J96" s="5">
        <v>40.81</v>
      </c>
      <c r="K96" s="5">
        <v>13.59</v>
      </c>
      <c r="L96" s="4">
        <v>433.62</v>
      </c>
      <c r="M96">
        <v>1307</v>
      </c>
      <c r="N96">
        <v>3924</v>
      </c>
      <c r="O96">
        <v>123</v>
      </c>
      <c r="P96" s="6">
        <v>600</v>
      </c>
      <c r="Q96" t="s">
        <v>1161</v>
      </c>
      <c r="R96" t="s">
        <v>1164</v>
      </c>
      <c r="S96" s="2">
        <f>HYPERLINK("https://yandex.ru/maps/?&amp;text=44.714413, 37.781838", "44.714413, 37.781838")</f>
        <v>0</v>
      </c>
      <c r="T96" s="2">
        <f>HYPERLINK("D:\torgi_project\venv_torgi\cache\objs_in_district/44.714413_37.781838.json", "44.714413_37.781838.json")</f>
        <v>0</v>
      </c>
      <c r="U96" t="s">
        <v>1251</v>
      </c>
    </row>
    <row r="97" spans="1:22">
      <c r="A97" s="8">
        <v>95</v>
      </c>
      <c r="B97">
        <v>24</v>
      </c>
      <c r="C97" s="1">
        <v>778.5</v>
      </c>
      <c r="D97" s="2">
        <f>HYPERLINK("https://torgi.gov.ru/new/public/lots/lot/22000054220000000002_1/(lotInfo:info)", "22000054220000000002_1")</f>
        <v>0</v>
      </c>
      <c r="E97" t="s">
        <v>116</v>
      </c>
      <c r="F97" s="3" t="s">
        <v>552</v>
      </c>
      <c r="G97" t="s">
        <v>801</v>
      </c>
      <c r="H97" s="4">
        <v>1256000</v>
      </c>
      <c r="I97" s="4">
        <v>1613.359023763648</v>
      </c>
      <c r="J97" s="5">
        <v>6.98</v>
      </c>
      <c r="K97" s="5">
        <v>11.2</v>
      </c>
      <c r="M97">
        <v>231</v>
      </c>
      <c r="N97">
        <v>144</v>
      </c>
      <c r="O97">
        <v>0</v>
      </c>
      <c r="P97" s="6">
        <v>900</v>
      </c>
      <c r="Q97" t="s">
        <v>1161</v>
      </c>
      <c r="R97" t="s">
        <v>1164</v>
      </c>
      <c r="S97" s="2">
        <f>HYPERLINK("https://yandex.ru/maps/?&amp;text=58.111345, 92.716585", "58.111345, 92.716585")</f>
        <v>0</v>
      </c>
      <c r="U97" t="s">
        <v>1252</v>
      </c>
      <c r="V97" s="7" t="s">
        <v>1628</v>
      </c>
    </row>
    <row r="98" spans="1:22">
      <c r="A98" s="8">
        <v>96</v>
      </c>
      <c r="B98">
        <v>24</v>
      </c>
      <c r="C98" s="1">
        <v>1460</v>
      </c>
      <c r="D98" s="2">
        <f>HYPERLINK("https://torgi.gov.ru/new/public/lots/lot/22000024070000000054_2/(lotInfo:info)", "22000024070000000054_2")</f>
        <v>0</v>
      </c>
      <c r="E98" t="s">
        <v>117</v>
      </c>
      <c r="F98" s="3" t="s">
        <v>553</v>
      </c>
      <c r="G98" t="s">
        <v>802</v>
      </c>
      <c r="H98" s="4">
        <v>4678800</v>
      </c>
      <c r="I98" s="4">
        <v>3204.657534246575</v>
      </c>
      <c r="J98" s="5">
        <v>1.42</v>
      </c>
      <c r="K98" s="5">
        <v>1.22</v>
      </c>
      <c r="L98" s="4">
        <v>3204</v>
      </c>
      <c r="M98">
        <v>2251</v>
      </c>
      <c r="N98">
        <v>2619</v>
      </c>
      <c r="O98">
        <v>1</v>
      </c>
      <c r="P98" s="6">
        <v>900</v>
      </c>
      <c r="Q98" t="s">
        <v>1162</v>
      </c>
      <c r="R98" t="s">
        <v>1164</v>
      </c>
      <c r="S98" s="2">
        <f>HYPERLINK("https://yandex.ru/maps/?&amp;text=56.265247, 90.482906", "56.265247, 90.482906")</f>
        <v>0</v>
      </c>
      <c r="T98" s="2">
        <f>HYPERLINK("D:\torgi_project\venv_torgi\cache\objs_in_district/56.265247_90.482906.json", "56.265247_90.482906.json")</f>
        <v>0</v>
      </c>
      <c r="U98" t="s">
        <v>1253</v>
      </c>
      <c r="V98" s="7" t="s">
        <v>1628</v>
      </c>
    </row>
    <row r="99" spans="1:22">
      <c r="A99" s="8">
        <v>97</v>
      </c>
      <c r="B99">
        <v>24</v>
      </c>
      <c r="C99" s="1">
        <v>806.8</v>
      </c>
      <c r="D99" s="2">
        <f>HYPERLINK("https://torgi.gov.ru/new/public/lots/lot/22000024070000000049_4/(lotInfo:info)", "22000024070000000049_4")</f>
        <v>0</v>
      </c>
      <c r="E99" t="s">
        <v>118</v>
      </c>
      <c r="F99" s="3" t="s">
        <v>554</v>
      </c>
      <c r="G99" t="s">
        <v>803</v>
      </c>
      <c r="H99" s="4">
        <v>3267204</v>
      </c>
      <c r="I99" s="4">
        <v>4049.583539910759</v>
      </c>
      <c r="J99" s="5">
        <v>1.88</v>
      </c>
      <c r="K99" s="5">
        <v>7.8</v>
      </c>
      <c r="L99" s="4">
        <v>404.9</v>
      </c>
      <c r="M99">
        <v>2156</v>
      </c>
      <c r="N99">
        <v>519</v>
      </c>
      <c r="O99">
        <v>10</v>
      </c>
      <c r="P99" s="6">
        <v>600</v>
      </c>
      <c r="Q99" t="s">
        <v>1162</v>
      </c>
      <c r="R99" t="s">
        <v>1164</v>
      </c>
      <c r="S99" s="2">
        <f>HYPERLINK("https://yandex.ru/maps/?&amp;text=56.278702, 90.499093", "56.278702, 90.499093")</f>
        <v>0</v>
      </c>
      <c r="T99" s="2">
        <f>HYPERLINK("D:\torgi_project\venv_torgi\cache\objs_in_district/56.278702_90.499093.json", "56.278702_90.499093.json")</f>
        <v>0</v>
      </c>
      <c r="U99" t="s">
        <v>1254</v>
      </c>
      <c r="V99" s="7" t="s">
        <v>1630</v>
      </c>
    </row>
    <row r="100" spans="1:22">
      <c r="A100" s="8">
        <v>98</v>
      </c>
      <c r="B100">
        <v>24</v>
      </c>
      <c r="C100" s="1">
        <v>341.2</v>
      </c>
      <c r="D100" s="2">
        <f>HYPERLINK("https://torgi.gov.ru/new/public/lots/lot/22000024070000000049_7/(lotInfo:info)", "22000024070000000049_7")</f>
        <v>0</v>
      </c>
      <c r="E100" t="s">
        <v>119</v>
      </c>
      <c r="F100" s="3" t="s">
        <v>554</v>
      </c>
      <c r="G100" t="s">
        <v>804</v>
      </c>
      <c r="H100" s="4">
        <v>1868664</v>
      </c>
      <c r="I100" s="4">
        <v>5476.740914419695</v>
      </c>
      <c r="J100" s="5">
        <v>22.82</v>
      </c>
      <c r="K100" s="5">
        <v>202.81</v>
      </c>
      <c r="M100">
        <v>240</v>
      </c>
      <c r="N100">
        <v>27</v>
      </c>
      <c r="O100">
        <v>0</v>
      </c>
      <c r="P100" s="6">
        <v>800</v>
      </c>
      <c r="Q100" t="s">
        <v>1162</v>
      </c>
      <c r="R100" t="s">
        <v>1164</v>
      </c>
      <c r="S100" s="2">
        <f>HYPERLINK("https://yandex.ru/maps/?&amp;text=56.199136, 90.35998", "56.199136, 90.35998")</f>
        <v>0</v>
      </c>
      <c r="U100" t="s">
        <v>1255</v>
      </c>
      <c r="V100" s="7" t="s">
        <v>1628</v>
      </c>
    </row>
    <row r="101" spans="1:22">
      <c r="A101" s="8">
        <v>99</v>
      </c>
      <c r="B101">
        <v>24</v>
      </c>
      <c r="C101" s="1">
        <v>96.90000000000001</v>
      </c>
      <c r="D101" s="2">
        <f>HYPERLINK("https://torgi.gov.ru/new/public/lots/lot/21000003570000000040_1/(lotInfo:info)", "21000003570000000040_1")</f>
        <v>0</v>
      </c>
      <c r="E101" t="s">
        <v>120</v>
      </c>
      <c r="F101" s="3" t="s">
        <v>555</v>
      </c>
      <c r="G101" t="s">
        <v>805</v>
      </c>
      <c r="H101" s="4">
        <v>579000</v>
      </c>
      <c r="I101" s="4">
        <v>5975.232198142415</v>
      </c>
      <c r="J101" s="5">
        <v>5.23</v>
      </c>
      <c r="M101">
        <v>1142</v>
      </c>
      <c r="P101" s="6">
        <v>2200</v>
      </c>
      <c r="Q101" t="s">
        <v>1161</v>
      </c>
      <c r="R101" t="s">
        <v>1164</v>
      </c>
      <c r="S101" s="2">
        <f>HYPERLINK("https://yandex.ru/maps/?&amp;text=58.454694, 92.131117", "58.454694, 92.131117")</f>
        <v>0</v>
      </c>
      <c r="U101" t="s">
        <v>1256</v>
      </c>
    </row>
    <row r="102" spans="1:22">
      <c r="A102" s="8">
        <v>100</v>
      </c>
      <c r="B102">
        <v>24</v>
      </c>
      <c r="C102" s="1">
        <v>646.4</v>
      </c>
      <c r="D102" s="2">
        <f>HYPERLINK("https://torgi.gov.ru/new/public/lots/lot/22000024070000000050_5/(lotInfo:info)", "22000024070000000050_5")</f>
        <v>0</v>
      </c>
      <c r="E102" t="s">
        <v>121</v>
      </c>
      <c r="F102" s="3" t="s">
        <v>554</v>
      </c>
      <c r="G102" t="s">
        <v>806</v>
      </c>
      <c r="H102" s="4">
        <v>4811744</v>
      </c>
      <c r="I102" s="4">
        <v>7443.910891089109</v>
      </c>
      <c r="J102" s="5">
        <v>14.4</v>
      </c>
      <c r="K102" s="5">
        <v>3.54</v>
      </c>
      <c r="M102">
        <v>517</v>
      </c>
      <c r="N102">
        <v>2103</v>
      </c>
      <c r="O102">
        <v>0</v>
      </c>
      <c r="P102" s="6">
        <v>1000</v>
      </c>
      <c r="Q102" t="s">
        <v>1162</v>
      </c>
      <c r="R102" t="s">
        <v>1164</v>
      </c>
      <c r="S102" s="2">
        <f>HYPERLINK("https://yandex.ru/maps/?&amp;text=56.259843, 90.506244", "56.259843, 90.506244")</f>
        <v>0</v>
      </c>
      <c r="U102" t="s">
        <v>1257</v>
      </c>
      <c r="V102" s="7" t="s">
        <v>1628</v>
      </c>
    </row>
    <row r="103" spans="1:22">
      <c r="A103" s="8">
        <v>101</v>
      </c>
      <c r="B103">
        <v>24</v>
      </c>
      <c r="C103" s="1">
        <v>400.8</v>
      </c>
      <c r="D103" s="2">
        <f>HYPERLINK("https://torgi.gov.ru/new/public/lots/lot/22000024070000000044_3/(lotInfo:info)", "22000024070000000044_3")</f>
        <v>0</v>
      </c>
      <c r="E103" t="s">
        <v>122</v>
      </c>
      <c r="F103" s="3" t="s">
        <v>556</v>
      </c>
      <c r="G103" t="s">
        <v>807</v>
      </c>
      <c r="H103" s="4">
        <v>3232320</v>
      </c>
      <c r="I103" s="4">
        <v>8064.670658682635</v>
      </c>
      <c r="J103" s="5">
        <v>21.91</v>
      </c>
      <c r="K103" s="5">
        <v>31.62</v>
      </c>
      <c r="L103" s="4">
        <v>8064</v>
      </c>
      <c r="M103">
        <v>368</v>
      </c>
      <c r="N103">
        <v>255</v>
      </c>
      <c r="O103">
        <v>1</v>
      </c>
      <c r="Q103" t="s">
        <v>1162</v>
      </c>
      <c r="R103" t="s">
        <v>1164</v>
      </c>
      <c r="S103" s="2">
        <f>HYPERLINK("https://yandex.ru/maps/?&amp;text=56.203347, 90.352794", "56.203347, 90.352794")</f>
        <v>0</v>
      </c>
      <c r="T103" s="2">
        <f>HYPERLINK("D:\torgi_project\venv_torgi\cache\objs_in_district/56.203347_90.352794.json", "56.203347_90.352794.json")</f>
        <v>0</v>
      </c>
      <c r="U103" t="s">
        <v>1258</v>
      </c>
    </row>
    <row r="104" spans="1:22">
      <c r="A104" s="8">
        <v>102</v>
      </c>
      <c r="B104">
        <v>24</v>
      </c>
      <c r="C104" s="1">
        <v>615.9</v>
      </c>
      <c r="D104" s="2">
        <f>HYPERLINK("https://torgi.gov.ru/new/public/lots/lot/22000024070000000044_5/(lotInfo:info)", "22000024070000000044_5")</f>
        <v>0</v>
      </c>
      <c r="E104" t="s">
        <v>123</v>
      </c>
      <c r="F104" s="3" t="s">
        <v>556</v>
      </c>
      <c r="G104" t="s">
        <v>808</v>
      </c>
      <c r="H104" s="4">
        <v>4967040</v>
      </c>
      <c r="I104" s="4">
        <v>8064.685825621043</v>
      </c>
      <c r="J104" s="5">
        <v>3.74</v>
      </c>
      <c r="K104" s="5">
        <v>9.99</v>
      </c>
      <c r="L104" s="4">
        <v>733.09</v>
      </c>
      <c r="M104">
        <v>2156</v>
      </c>
      <c r="N104">
        <v>807</v>
      </c>
      <c r="O104">
        <v>11</v>
      </c>
      <c r="P104" s="6">
        <v>400</v>
      </c>
      <c r="Q104" t="s">
        <v>1162</v>
      </c>
      <c r="R104" t="s">
        <v>1164</v>
      </c>
      <c r="S104" s="2">
        <f>HYPERLINK("https://yandex.ru/maps/?&amp;text=56.276593, 90.500315", "56.276593, 90.500315")</f>
        <v>0</v>
      </c>
      <c r="T104" s="2">
        <f>HYPERLINK("D:\torgi_project\venv_torgi\cache\objs_in_district/56.276593_90.500315.json", "56.276593_90.500315.json")</f>
        <v>0</v>
      </c>
      <c r="U104" t="s">
        <v>1259</v>
      </c>
      <c r="V104" s="7" t="s">
        <v>1628</v>
      </c>
    </row>
    <row r="105" spans="1:22">
      <c r="A105" s="8">
        <v>103</v>
      </c>
      <c r="B105">
        <v>24</v>
      </c>
      <c r="C105" s="1">
        <v>671</v>
      </c>
      <c r="D105" s="2">
        <f>HYPERLINK("https://torgi.gov.ru/new/public/lots/lot/22000024070000000054_1/(lotInfo:info)", "22000024070000000054_1")</f>
        <v>0</v>
      </c>
      <c r="E105" t="s">
        <v>124</v>
      </c>
      <c r="F105" s="3" t="s">
        <v>553</v>
      </c>
      <c r="G105" t="s">
        <v>809</v>
      </c>
      <c r="H105" s="4">
        <v>5468948</v>
      </c>
      <c r="I105" s="4">
        <v>8150.444113263786</v>
      </c>
      <c r="J105" s="5">
        <v>3.62</v>
      </c>
      <c r="K105" s="5">
        <v>13.12</v>
      </c>
      <c r="M105">
        <v>2251</v>
      </c>
      <c r="N105">
        <v>621</v>
      </c>
      <c r="O105">
        <v>0</v>
      </c>
      <c r="P105" s="6">
        <v>1200</v>
      </c>
      <c r="Q105" t="s">
        <v>1162</v>
      </c>
      <c r="R105" t="s">
        <v>1164</v>
      </c>
      <c r="S105" s="2">
        <f>HYPERLINK("https://yandex.ru/maps/?&amp;text=56.265967, 90.479753", "56.265967, 90.479753")</f>
        <v>0</v>
      </c>
      <c r="U105" t="s">
        <v>1260</v>
      </c>
      <c r="V105" s="7" t="s">
        <v>1628</v>
      </c>
    </row>
    <row r="106" spans="1:22">
      <c r="A106" s="8">
        <v>104</v>
      </c>
      <c r="B106">
        <v>24</v>
      </c>
      <c r="C106" s="1">
        <v>942</v>
      </c>
      <c r="D106" s="2">
        <f>HYPERLINK("https://torgi.gov.ru/new/public/lots/lot/22000024070000000054_3/(lotInfo:info)", "22000024070000000054_3")</f>
        <v>0</v>
      </c>
      <c r="E106" t="s">
        <v>125</v>
      </c>
      <c r="F106" s="3" t="s">
        <v>553</v>
      </c>
      <c r="G106" t="s">
        <v>810</v>
      </c>
      <c r="H106" s="4">
        <v>8768640</v>
      </c>
      <c r="I106" s="4">
        <v>9308.535031847134</v>
      </c>
      <c r="J106" s="5">
        <v>4.14</v>
      </c>
      <c r="K106" s="5">
        <v>2.92</v>
      </c>
      <c r="L106" s="4">
        <v>4654</v>
      </c>
      <c r="M106">
        <v>2251</v>
      </c>
      <c r="N106">
        <v>3189</v>
      </c>
      <c r="O106">
        <v>2</v>
      </c>
      <c r="P106" s="6">
        <v>900</v>
      </c>
      <c r="Q106" t="s">
        <v>1162</v>
      </c>
      <c r="R106" t="s">
        <v>1164</v>
      </c>
      <c r="S106" s="2">
        <f>HYPERLINK("https://yandex.ru/maps/?&amp;text=56.264692, 90.482502", "56.264692, 90.482502")</f>
        <v>0</v>
      </c>
      <c r="T106" s="2">
        <f>HYPERLINK("D:\torgi_project\venv_torgi\cache\objs_in_district/56.264692_90.482502.json", "56.264692_90.482502.json")</f>
        <v>0</v>
      </c>
      <c r="U106" t="s">
        <v>1261</v>
      </c>
      <c r="V106" s="7" t="s">
        <v>1628</v>
      </c>
    </row>
    <row r="107" spans="1:22">
      <c r="A107" s="8">
        <v>105</v>
      </c>
      <c r="B107">
        <v>24</v>
      </c>
      <c r="C107" s="1">
        <v>998</v>
      </c>
      <c r="D107" s="2">
        <f>HYPERLINK("https://torgi.gov.ru/new/public/lots/lot/22000024070000000054_4/(lotInfo:info)", "22000024070000000054_4")</f>
        <v>0</v>
      </c>
      <c r="E107" t="s">
        <v>126</v>
      </c>
      <c r="F107" s="3" t="s">
        <v>553</v>
      </c>
      <c r="G107" t="s">
        <v>811</v>
      </c>
      <c r="H107" s="4">
        <v>9721480</v>
      </c>
      <c r="I107" s="4">
        <v>9740.961923847695</v>
      </c>
      <c r="J107" s="5">
        <v>4.33</v>
      </c>
      <c r="K107" s="5">
        <v>202.92</v>
      </c>
      <c r="M107">
        <v>2251</v>
      </c>
      <c r="N107">
        <v>48</v>
      </c>
      <c r="O107">
        <v>0</v>
      </c>
      <c r="P107" s="6">
        <v>1500</v>
      </c>
      <c r="Q107" t="s">
        <v>1162</v>
      </c>
      <c r="R107" t="s">
        <v>1164</v>
      </c>
      <c r="S107" s="2">
        <f>HYPERLINK("https://yandex.ru/maps/?&amp;text=56.265642, 90.476393", "56.265642, 90.476393")</f>
        <v>0</v>
      </c>
      <c r="V107" s="7" t="s">
        <v>1628</v>
      </c>
    </row>
    <row r="108" spans="1:22">
      <c r="A108" s="8">
        <v>106</v>
      </c>
      <c r="B108">
        <v>24</v>
      </c>
      <c r="C108" s="1">
        <v>320.5</v>
      </c>
      <c r="D108" s="2">
        <f>HYPERLINK("https://torgi.gov.ru/new/public/lots/lot/22000024070000000049_6/(lotInfo:info)", "22000024070000000049_6")</f>
        <v>0</v>
      </c>
      <c r="E108" t="s">
        <v>127</v>
      </c>
      <c r="F108" s="3" t="s">
        <v>554</v>
      </c>
      <c r="G108" t="s">
        <v>812</v>
      </c>
      <c r="H108" s="4">
        <v>3165380</v>
      </c>
      <c r="I108" s="4">
        <v>9876.380655226209</v>
      </c>
      <c r="J108" s="5">
        <v>6.15</v>
      </c>
      <c r="K108" s="5">
        <v>40.15</v>
      </c>
      <c r="M108">
        <v>1605</v>
      </c>
      <c r="N108">
        <v>246</v>
      </c>
      <c r="O108">
        <v>0</v>
      </c>
      <c r="P108" s="6">
        <v>900</v>
      </c>
      <c r="Q108" t="s">
        <v>1162</v>
      </c>
      <c r="R108" t="s">
        <v>1164</v>
      </c>
      <c r="S108" s="2">
        <f>HYPERLINK("https://yandex.ru/maps/?&amp;text=56.24831, 90.51248", "56.24831, 90.51248")</f>
        <v>0</v>
      </c>
      <c r="U108" t="s">
        <v>1262</v>
      </c>
      <c r="V108" s="7" t="s">
        <v>1628</v>
      </c>
    </row>
    <row r="109" spans="1:22">
      <c r="A109" s="8">
        <v>107</v>
      </c>
      <c r="B109">
        <v>24</v>
      </c>
      <c r="C109" s="1">
        <v>270.7</v>
      </c>
      <c r="D109" s="2">
        <f>HYPERLINK("https://torgi.gov.ru/new/public/lots/lot/22000024070000000049_5/(lotInfo:info)", "22000024070000000049_5")</f>
        <v>0</v>
      </c>
      <c r="E109" t="s">
        <v>128</v>
      </c>
      <c r="F109" s="3" t="s">
        <v>554</v>
      </c>
      <c r="G109" t="s">
        <v>813</v>
      </c>
      <c r="H109" s="4">
        <v>2827446</v>
      </c>
      <c r="I109" s="4">
        <v>10444.94274104174</v>
      </c>
      <c r="J109" s="5">
        <v>5.32</v>
      </c>
      <c r="K109" s="5">
        <v>41.44</v>
      </c>
      <c r="L109" s="4">
        <v>949.45</v>
      </c>
      <c r="M109">
        <v>1965</v>
      </c>
      <c r="N109">
        <v>252</v>
      </c>
      <c r="O109">
        <v>11</v>
      </c>
      <c r="P109" s="6">
        <v>300</v>
      </c>
      <c r="Q109" t="s">
        <v>1162</v>
      </c>
      <c r="R109" t="s">
        <v>1164</v>
      </c>
      <c r="S109" s="2">
        <f>HYPERLINK("https://yandex.ru/maps/?&amp;text=56.303397, 90.519189", "56.303397, 90.519189")</f>
        <v>0</v>
      </c>
      <c r="T109" s="2">
        <f>HYPERLINK("D:\torgi_project\venv_torgi\cache\objs_in_district/56.303397_90.519189.json", "56.303397_90.519189.json")</f>
        <v>0</v>
      </c>
      <c r="U109" t="s">
        <v>1263</v>
      </c>
      <c r="V109" s="7" t="s">
        <v>1628</v>
      </c>
    </row>
    <row r="110" spans="1:22">
      <c r="A110" s="8">
        <v>108</v>
      </c>
      <c r="B110">
        <v>24</v>
      </c>
      <c r="C110" s="1">
        <v>237.9</v>
      </c>
      <c r="D110" s="2">
        <f>HYPERLINK("https://torgi.gov.ru/new/public/lots/lot/22000024070000000044_1/(lotInfo:info)", "22000024070000000044_1")</f>
        <v>0</v>
      </c>
      <c r="E110" t="s">
        <v>129</v>
      </c>
      <c r="F110" s="3" t="s">
        <v>556</v>
      </c>
      <c r="G110" t="s">
        <v>806</v>
      </c>
      <c r="H110" s="4">
        <v>2714264.4</v>
      </c>
      <c r="I110" s="4">
        <v>11409.26607818411</v>
      </c>
      <c r="J110" s="5">
        <v>22.07</v>
      </c>
      <c r="K110" s="5">
        <v>5.43</v>
      </c>
      <c r="M110">
        <v>517</v>
      </c>
      <c r="N110">
        <v>2103</v>
      </c>
      <c r="O110">
        <v>0</v>
      </c>
      <c r="P110" s="6">
        <v>1000</v>
      </c>
      <c r="Q110" t="s">
        <v>1162</v>
      </c>
      <c r="R110" t="s">
        <v>1164</v>
      </c>
      <c r="S110" s="2">
        <f>HYPERLINK("https://yandex.ru/maps/?&amp;text=56.259843, 90.506244", "56.259843, 90.506244")</f>
        <v>0</v>
      </c>
      <c r="U110" t="s">
        <v>1264</v>
      </c>
      <c r="V110" s="7" t="s">
        <v>1628</v>
      </c>
    </row>
    <row r="111" spans="1:22">
      <c r="A111" s="8">
        <v>109</v>
      </c>
      <c r="B111">
        <v>24</v>
      </c>
      <c r="C111" s="1">
        <v>753</v>
      </c>
      <c r="D111" s="2">
        <f>HYPERLINK("https://torgi.gov.ru/new/public/lots/lot/22000024070000000044_2/(lotInfo:info)", "22000024070000000044_2")</f>
        <v>0</v>
      </c>
      <c r="E111" t="s">
        <v>130</v>
      </c>
      <c r="F111" s="3" t="s">
        <v>556</v>
      </c>
      <c r="G111" t="s">
        <v>814</v>
      </c>
      <c r="H111" s="4">
        <v>8592452.4</v>
      </c>
      <c r="I111" s="4">
        <v>11410.9593625498</v>
      </c>
      <c r="J111" s="5">
        <v>31.01</v>
      </c>
      <c r="K111" s="5">
        <v>52.1</v>
      </c>
      <c r="L111" s="4">
        <v>11410</v>
      </c>
      <c r="M111">
        <v>368</v>
      </c>
      <c r="N111">
        <v>219</v>
      </c>
      <c r="O111">
        <v>1</v>
      </c>
      <c r="Q111" t="s">
        <v>1162</v>
      </c>
      <c r="R111" t="s">
        <v>1164</v>
      </c>
      <c r="S111" s="2">
        <f>HYPERLINK("https://yandex.ru/maps/?&amp;text=56.202686, 90.353252", "56.202686, 90.353252")</f>
        <v>0</v>
      </c>
      <c r="T111" s="2">
        <f>HYPERLINK("D:\torgi_project\venv_torgi\cache\objs_in_district/56.202686_90.353252.json", "56.202686_90.353252.json")</f>
        <v>0</v>
      </c>
      <c r="U111" t="s">
        <v>1265</v>
      </c>
    </row>
    <row r="112" spans="1:22">
      <c r="A112" s="8">
        <v>110</v>
      </c>
      <c r="B112">
        <v>24</v>
      </c>
      <c r="C112" s="1">
        <v>162.5</v>
      </c>
      <c r="D112" s="2">
        <f>HYPERLINK("https://torgi.gov.ru/new/public/lots/lot/22000024070000000050_2/(lotInfo:info)", "22000024070000000050_2")</f>
        <v>0</v>
      </c>
      <c r="E112" t="s">
        <v>131</v>
      </c>
      <c r="F112" s="3" t="s">
        <v>554</v>
      </c>
      <c r="G112" t="s">
        <v>815</v>
      </c>
      <c r="H112" s="4">
        <v>1921055.6</v>
      </c>
      <c r="I112" s="4">
        <v>11821.88061538462</v>
      </c>
      <c r="J112" s="5">
        <v>5.78</v>
      </c>
      <c r="L112" s="4">
        <v>11821</v>
      </c>
      <c r="M112">
        <v>2044</v>
      </c>
      <c r="O112">
        <v>1</v>
      </c>
      <c r="P112" s="6">
        <v>1200</v>
      </c>
      <c r="Q112" t="s">
        <v>1162</v>
      </c>
      <c r="R112" t="s">
        <v>1164</v>
      </c>
      <c r="S112" s="2">
        <f>HYPERLINK("https://yandex.ru/maps/?&amp;text=56.233489, 90.47536", "56.233489, 90.47536")</f>
        <v>0</v>
      </c>
      <c r="T112" s="2">
        <f>HYPERLINK("D:\torgi_project\venv_torgi\cache\objs_in_district/56.233489_90.47536.json", "56.233489_90.47536.json")</f>
        <v>0</v>
      </c>
      <c r="U112" t="s">
        <v>1266</v>
      </c>
      <c r="V112" s="7" t="s">
        <v>1628</v>
      </c>
    </row>
    <row r="113" spans="1:22">
      <c r="A113" s="8">
        <v>111</v>
      </c>
      <c r="B113">
        <v>24</v>
      </c>
      <c r="C113" s="1">
        <v>113.8</v>
      </c>
      <c r="D113" s="2">
        <f>HYPERLINK("https://torgi.gov.ru/new/public/lots/lot/22000024070000000049_1/(lotInfo:info)", "22000024070000000049_1")</f>
        <v>0</v>
      </c>
      <c r="E113" t="s">
        <v>132</v>
      </c>
      <c r="F113" s="3" t="s">
        <v>554</v>
      </c>
      <c r="G113" t="s">
        <v>816</v>
      </c>
      <c r="H113" s="4">
        <v>1383214.4</v>
      </c>
      <c r="I113" s="4">
        <v>12154.78383128295</v>
      </c>
      <c r="J113" s="5">
        <v>5.23</v>
      </c>
      <c r="K113" s="5">
        <v>162.05</v>
      </c>
      <c r="L113" s="4">
        <v>6077</v>
      </c>
      <c r="M113">
        <v>2322</v>
      </c>
      <c r="N113">
        <v>75</v>
      </c>
      <c r="O113">
        <v>2</v>
      </c>
      <c r="P113" s="6">
        <v>1100</v>
      </c>
      <c r="Q113" t="s">
        <v>1162</v>
      </c>
      <c r="R113" t="s">
        <v>1164</v>
      </c>
      <c r="S113" s="2">
        <f>HYPERLINK("https://yandex.ru/maps/?&amp;text=56.292882, 90.526708", "56.292882, 90.526708")</f>
        <v>0</v>
      </c>
      <c r="T113" s="2">
        <f>HYPERLINK("D:\torgi_project\venv_torgi\cache\objs_in_district/56.292882_90.526708.json", "56.292882_90.526708.json")</f>
        <v>0</v>
      </c>
      <c r="U113" t="s">
        <v>1267</v>
      </c>
      <c r="V113" s="7" t="s">
        <v>1628</v>
      </c>
    </row>
    <row r="114" spans="1:22">
      <c r="A114" s="8">
        <v>112</v>
      </c>
      <c r="B114">
        <v>24</v>
      </c>
      <c r="C114" s="1">
        <v>102.8</v>
      </c>
      <c r="D114" s="2">
        <f>HYPERLINK("https://torgi.gov.ru/new/public/lots/lot/22000024070000000044_4/(lotInfo:info)", "22000024070000000044_4")</f>
        <v>0</v>
      </c>
      <c r="E114" t="s">
        <v>133</v>
      </c>
      <c r="F114" s="3" t="s">
        <v>556</v>
      </c>
      <c r="G114" t="s">
        <v>817</v>
      </c>
      <c r="H114" s="4">
        <v>1425056.4</v>
      </c>
      <c r="I114" s="4">
        <v>13862.41634241245</v>
      </c>
      <c r="J114" s="5">
        <v>6.64</v>
      </c>
      <c r="K114" s="5">
        <v>50.04</v>
      </c>
      <c r="L114" s="4">
        <v>6931</v>
      </c>
      <c r="M114">
        <v>2088</v>
      </c>
      <c r="N114">
        <v>277</v>
      </c>
      <c r="O114">
        <v>2</v>
      </c>
      <c r="P114" s="6">
        <v>800</v>
      </c>
      <c r="Q114" t="s">
        <v>1162</v>
      </c>
      <c r="R114" t="s">
        <v>1164</v>
      </c>
      <c r="S114" s="2">
        <f>HYPERLINK("https://yandex.ru/maps/?&amp;text=56.298467, 90.533795", "56.298467, 90.533795")</f>
        <v>0</v>
      </c>
      <c r="T114" s="2">
        <f>HYPERLINK("D:\torgi_project\venv_torgi\cache\objs_in_district/56.298467_90.533795.json", "56.298467_90.533795.json")</f>
        <v>0</v>
      </c>
      <c r="U114" t="s">
        <v>1268</v>
      </c>
      <c r="V114" s="7" t="s">
        <v>1631</v>
      </c>
    </row>
    <row r="115" spans="1:22">
      <c r="A115" s="8">
        <v>113</v>
      </c>
      <c r="B115">
        <v>24</v>
      </c>
      <c r="C115" s="1">
        <v>117.9</v>
      </c>
      <c r="D115" s="2">
        <f>HYPERLINK("https://torgi.gov.ru/new/public/lots/lot/22000024070000000049_3/(lotInfo:info)", "22000024070000000049_3")</f>
        <v>0</v>
      </c>
      <c r="E115" t="s">
        <v>134</v>
      </c>
      <c r="F115" s="3" t="s">
        <v>554</v>
      </c>
      <c r="G115" t="s">
        <v>818</v>
      </c>
      <c r="H115" s="4">
        <v>1893222</v>
      </c>
      <c r="I115" s="4">
        <v>16057.86259541985</v>
      </c>
      <c r="J115" s="5">
        <v>7.45</v>
      </c>
      <c r="K115" s="5">
        <v>25.73</v>
      </c>
      <c r="L115" s="4">
        <v>1784.11</v>
      </c>
      <c r="M115">
        <v>2156</v>
      </c>
      <c r="N115">
        <v>624</v>
      </c>
      <c r="O115">
        <v>9</v>
      </c>
      <c r="P115" s="6">
        <v>700</v>
      </c>
      <c r="Q115" t="s">
        <v>1162</v>
      </c>
      <c r="R115" t="s">
        <v>1164</v>
      </c>
      <c r="S115" s="2">
        <f>HYPERLINK("https://yandex.ru/maps/?&amp;text=56.277718, 90.498042", "56.277718, 90.498042")</f>
        <v>0</v>
      </c>
      <c r="T115" s="2">
        <f>HYPERLINK("D:\torgi_project\venv_torgi\cache\objs_in_district/56.277718_90.498042.json", "56.277718_90.498042.json")</f>
        <v>0</v>
      </c>
      <c r="U115" t="s">
        <v>1269</v>
      </c>
      <c r="V115" s="7" t="s">
        <v>1628</v>
      </c>
    </row>
    <row r="116" spans="1:22">
      <c r="A116" s="8">
        <v>114</v>
      </c>
      <c r="B116">
        <v>24</v>
      </c>
      <c r="C116" s="1">
        <v>279.4</v>
      </c>
      <c r="D116" s="2">
        <f>HYPERLINK("https://torgi.gov.ru/new/public/lots/lot/22000061080000000046_1/(lotInfo:info)", "22000061080000000046_1")</f>
        <v>0</v>
      </c>
      <c r="E116" t="s">
        <v>135</v>
      </c>
      <c r="F116" s="3" t="s">
        <v>557</v>
      </c>
      <c r="G116" t="s">
        <v>819</v>
      </c>
      <c r="H116" s="4">
        <v>6140000</v>
      </c>
      <c r="I116" s="4">
        <v>21975.66213314245</v>
      </c>
      <c r="J116" s="5">
        <v>9.07</v>
      </c>
      <c r="K116" s="5">
        <v>27.5</v>
      </c>
      <c r="L116" s="4">
        <v>3662.5</v>
      </c>
      <c r="M116">
        <v>2422</v>
      </c>
      <c r="N116">
        <v>799</v>
      </c>
      <c r="O116">
        <v>6</v>
      </c>
      <c r="P116" s="6">
        <v>600</v>
      </c>
      <c r="Q116" t="s">
        <v>1161</v>
      </c>
      <c r="R116" t="s">
        <v>1164</v>
      </c>
      <c r="S116" s="2">
        <f>HYPERLINK("https://yandex.ru/maps/?&amp;text=69.411369, 86.160464", "69.411369, 86.160464")</f>
        <v>0</v>
      </c>
      <c r="T116" s="2">
        <f>HYPERLINK("D:\torgi_project\venv_torgi\cache\objs_in_district/69.411369_86.160464.json", "69.411369_86.160464.json")</f>
        <v>0</v>
      </c>
      <c r="U116" t="s">
        <v>1270</v>
      </c>
      <c r="V116" s="7" t="s">
        <v>1630</v>
      </c>
    </row>
    <row r="117" spans="1:22">
      <c r="A117" s="8">
        <v>115</v>
      </c>
      <c r="B117">
        <v>24</v>
      </c>
      <c r="C117" s="1">
        <v>108.1</v>
      </c>
      <c r="D117" s="2">
        <f>HYPERLINK("https://torgi.gov.ru/new/public/lots/lot/21000014890000000039_1/(lotInfo:info)", "21000014890000000039_1")</f>
        <v>0</v>
      </c>
      <c r="E117" t="s">
        <v>136</v>
      </c>
      <c r="F117" s="3" t="s">
        <v>558</v>
      </c>
      <c r="G117" t="s">
        <v>820</v>
      </c>
      <c r="H117" s="4">
        <v>2500000</v>
      </c>
      <c r="I117" s="4">
        <v>23126.73450508788</v>
      </c>
      <c r="J117" s="5">
        <v>22.65</v>
      </c>
      <c r="K117" s="5">
        <v>6.83</v>
      </c>
      <c r="L117" s="4">
        <v>1360.35</v>
      </c>
      <c r="M117">
        <v>1021</v>
      </c>
      <c r="N117">
        <v>3384</v>
      </c>
      <c r="O117">
        <v>17</v>
      </c>
      <c r="P117" s="6">
        <v>500</v>
      </c>
      <c r="Q117" t="s">
        <v>1161</v>
      </c>
      <c r="R117" t="s">
        <v>1164</v>
      </c>
      <c r="S117" s="2">
        <f>HYPERLINK("https://yandex.ru/maps/?&amp;text=56.121295, 92.930959", "56.121295, 92.930959")</f>
        <v>0</v>
      </c>
      <c r="T117" s="2">
        <f>HYPERLINK("D:\torgi_project\venv_torgi\cache\objs_in_district/56.121295_92.930959.json", "56.121295_92.930959.json")</f>
        <v>0</v>
      </c>
      <c r="U117" t="s">
        <v>1271</v>
      </c>
      <c r="V117" s="7" t="s">
        <v>1628</v>
      </c>
    </row>
    <row r="118" spans="1:22">
      <c r="A118" s="8">
        <v>116</v>
      </c>
      <c r="B118">
        <v>25</v>
      </c>
      <c r="C118" s="1">
        <v>567.7</v>
      </c>
      <c r="D118" s="2">
        <f>HYPERLINK("https://torgi.gov.ru/new/public/lots/lot/22000104060000000036_2/(lotInfo:info)", "22000104060000000036_2")</f>
        <v>0</v>
      </c>
      <c r="E118" t="s">
        <v>137</v>
      </c>
      <c r="F118" s="3" t="s">
        <v>559</v>
      </c>
      <c r="G118" t="s">
        <v>821</v>
      </c>
      <c r="H118" s="4">
        <v>849000</v>
      </c>
      <c r="I118" s="4">
        <v>1495.508190945922</v>
      </c>
      <c r="J118" s="5">
        <v>45.3</v>
      </c>
      <c r="K118" s="5">
        <v>99.67</v>
      </c>
      <c r="L118" s="4">
        <v>299</v>
      </c>
      <c r="M118">
        <v>33</v>
      </c>
      <c r="N118">
        <v>15</v>
      </c>
      <c r="O118">
        <v>5</v>
      </c>
      <c r="P118" s="6">
        <v>300</v>
      </c>
      <c r="Q118" t="s">
        <v>1161</v>
      </c>
      <c r="R118" t="s">
        <v>1165</v>
      </c>
      <c r="S118" s="2">
        <f>HYPERLINK("https://yandex.ru/maps/?&amp;text=44.278148, 134.956789", "44.278148, 134.956789")</f>
        <v>0</v>
      </c>
      <c r="T118" s="2">
        <f>HYPERLINK("D:\torgi_project\venv_torgi\cache\objs_in_district/44.278148_134.956789.json", "44.278148_134.956789.json")</f>
        <v>0</v>
      </c>
      <c r="U118" t="s">
        <v>1272</v>
      </c>
      <c r="V118" s="7" t="s">
        <v>1628</v>
      </c>
    </row>
    <row r="119" spans="1:22">
      <c r="A119" s="8">
        <v>117</v>
      </c>
      <c r="B119">
        <v>25</v>
      </c>
      <c r="C119" s="1">
        <v>139.7</v>
      </c>
      <c r="D119" s="2">
        <f>HYPERLINK("https://torgi.gov.ru/new/public/lots/lot/22000014870000000007_5/(lotInfo:info)", "22000014870000000007_5")</f>
        <v>0</v>
      </c>
      <c r="E119" t="s">
        <v>138</v>
      </c>
      <c r="F119" s="3" t="s">
        <v>560</v>
      </c>
      <c r="G119" t="s">
        <v>822</v>
      </c>
      <c r="H119" s="4">
        <v>911000</v>
      </c>
      <c r="I119" s="4">
        <v>6521.116678596994</v>
      </c>
      <c r="J119" s="5">
        <v>4.53</v>
      </c>
      <c r="K119" s="5">
        <v>5.15</v>
      </c>
      <c r="L119" s="4">
        <v>1086.83</v>
      </c>
      <c r="M119">
        <v>1441</v>
      </c>
      <c r="N119">
        <v>1266</v>
      </c>
      <c r="O119">
        <v>6</v>
      </c>
      <c r="P119" s="6">
        <v>500</v>
      </c>
      <c r="Q119" t="s">
        <v>1161</v>
      </c>
      <c r="R119" t="s">
        <v>1164</v>
      </c>
      <c r="S119" s="2">
        <f>HYPERLINK("https://yandex.ru/maps/?&amp;text=44.60173, 132.82066", "44.60173, 132.82066")</f>
        <v>0</v>
      </c>
      <c r="T119" s="2">
        <f>HYPERLINK("D:\torgi_project\venv_torgi\cache\objs_in_district/44.60173_132.82066.json", "44.60173_132.82066.json")</f>
        <v>0</v>
      </c>
      <c r="U119" t="s">
        <v>1273</v>
      </c>
      <c r="V119" s="7" t="s">
        <v>1628</v>
      </c>
    </row>
    <row r="120" spans="1:22">
      <c r="A120" s="8">
        <v>118</v>
      </c>
      <c r="B120">
        <v>25</v>
      </c>
      <c r="C120" s="1">
        <v>260.4</v>
      </c>
      <c r="D120" s="2">
        <f>HYPERLINK("https://torgi.gov.ru/new/public/lots/lot/22000040590000000014_1/(lotInfo:info)", "22000040590000000014_1")</f>
        <v>0</v>
      </c>
      <c r="E120" t="s">
        <v>139</v>
      </c>
      <c r="F120" s="3" t="s">
        <v>561</v>
      </c>
      <c r="G120" t="s">
        <v>823</v>
      </c>
      <c r="H120" s="4">
        <v>2356000</v>
      </c>
      <c r="I120" s="4">
        <v>9047.619047619048</v>
      </c>
      <c r="J120" s="5">
        <v>3.73</v>
      </c>
      <c r="K120" s="5">
        <v>0.66</v>
      </c>
      <c r="L120" s="4">
        <v>1292.43</v>
      </c>
      <c r="M120">
        <v>2428</v>
      </c>
      <c r="N120">
        <v>13734</v>
      </c>
      <c r="O120">
        <v>7</v>
      </c>
      <c r="P120" s="6">
        <v>500</v>
      </c>
      <c r="Q120" t="s">
        <v>1161</v>
      </c>
      <c r="R120" t="s">
        <v>1164</v>
      </c>
      <c r="S120" s="2">
        <f>HYPERLINK("https://yandex.ru/maps/?&amp;text=44.171356, 133.26518", "44.171356, 133.26518")</f>
        <v>0</v>
      </c>
      <c r="T120" s="2">
        <f>HYPERLINK("D:\torgi_project\venv_torgi\cache\objs_in_district/44.171356_133.26518.json", "44.171356_133.26518.json")</f>
        <v>0</v>
      </c>
      <c r="U120" t="s">
        <v>1274</v>
      </c>
      <c r="V120" s="7" t="s">
        <v>1628</v>
      </c>
    </row>
    <row r="121" spans="1:22">
      <c r="A121" s="8">
        <v>119</v>
      </c>
      <c r="B121">
        <v>25</v>
      </c>
      <c r="C121" s="1">
        <v>62.4</v>
      </c>
      <c r="D121" s="2">
        <f>HYPERLINK("https://torgi.gov.ru/new/public/lots/lot/22000104060000000027_1/(lotInfo:info)", "22000104060000000027_1")</f>
        <v>0</v>
      </c>
      <c r="E121" t="s">
        <v>140</v>
      </c>
      <c r="F121" s="3" t="s">
        <v>562</v>
      </c>
      <c r="G121" t="s">
        <v>824</v>
      </c>
      <c r="H121" s="4">
        <v>4579583</v>
      </c>
      <c r="I121" s="4">
        <v>73390.7532051282</v>
      </c>
      <c r="J121" s="5">
        <v>38.16</v>
      </c>
      <c r="K121" s="5">
        <v>15.48</v>
      </c>
      <c r="L121" s="4">
        <v>6115.83</v>
      </c>
      <c r="M121">
        <v>1923</v>
      </c>
      <c r="N121">
        <v>4740</v>
      </c>
      <c r="O121">
        <v>12</v>
      </c>
      <c r="P121" s="6">
        <v>100</v>
      </c>
      <c r="Q121" t="s">
        <v>1161</v>
      </c>
      <c r="R121" t="s">
        <v>1165</v>
      </c>
      <c r="S121" s="2">
        <f>HYPERLINK("https://yandex.ru/maps/?&amp;text=43.809563, 131.982602", "43.809563, 131.982602")</f>
        <v>0</v>
      </c>
      <c r="T121" s="2">
        <f>HYPERLINK("D:\torgi_project\venv_torgi\cache\objs_in_district/43.809563_131.982602.json", "43.809563_131.982602.json")</f>
        <v>0</v>
      </c>
      <c r="U121" t="s">
        <v>1275</v>
      </c>
      <c r="V121" s="7" t="s">
        <v>1628</v>
      </c>
    </row>
    <row r="122" spans="1:22">
      <c r="A122" s="8">
        <v>120</v>
      </c>
      <c r="B122">
        <v>26</v>
      </c>
      <c r="C122" s="1">
        <v>135.7</v>
      </c>
      <c r="D122" s="2">
        <f>HYPERLINK("https://torgi.gov.ru/new/public/lots/lot/21000004960000000031_1/(lotInfo:info)", "21000004960000000031_1")</f>
        <v>0</v>
      </c>
      <c r="E122" t="s">
        <v>141</v>
      </c>
      <c r="F122" s="3" t="s">
        <v>563</v>
      </c>
      <c r="G122" t="s">
        <v>825</v>
      </c>
      <c r="H122" s="4">
        <v>634000</v>
      </c>
      <c r="I122" s="4">
        <v>4672.070744288873</v>
      </c>
      <c r="J122" s="5">
        <v>1.03</v>
      </c>
      <c r="K122" s="5">
        <v>1.13</v>
      </c>
      <c r="L122" s="4">
        <v>41.71</v>
      </c>
      <c r="M122">
        <v>4519</v>
      </c>
      <c r="N122">
        <v>4137</v>
      </c>
      <c r="O122">
        <v>112</v>
      </c>
      <c r="P122" s="6">
        <v>100</v>
      </c>
      <c r="Q122" t="s">
        <v>1161</v>
      </c>
      <c r="R122" t="s">
        <v>1164</v>
      </c>
      <c r="S122" s="2">
        <f>HYPERLINK("https://yandex.ru/maps/?&amp;text=45.050208, 41.981768", "45.050208, 41.981768")</f>
        <v>0</v>
      </c>
      <c r="T122" s="2">
        <f>HYPERLINK("D:\torgi_project\venv_torgi\cache\objs_in_district/45.050208_41.981768.json", "45.050208_41.981768.json")</f>
        <v>0</v>
      </c>
      <c r="U122" t="s">
        <v>1276</v>
      </c>
      <c r="V122" s="7" t="s">
        <v>1632</v>
      </c>
    </row>
    <row r="123" spans="1:22">
      <c r="A123" s="8">
        <v>121</v>
      </c>
      <c r="B123">
        <v>26</v>
      </c>
      <c r="C123" s="1">
        <v>99.8</v>
      </c>
      <c r="D123" s="2">
        <f>HYPERLINK("https://torgi.gov.ru/new/public/lots/lot/21000004960000000029_1/(lotInfo:info)", "21000004960000000029_1")</f>
        <v>0</v>
      </c>
      <c r="E123" t="s">
        <v>142</v>
      </c>
      <c r="F123" s="3" t="s">
        <v>563</v>
      </c>
      <c r="G123" t="s">
        <v>826</v>
      </c>
      <c r="H123" s="4">
        <v>535000</v>
      </c>
      <c r="I123" s="4">
        <v>5360.721442885771</v>
      </c>
      <c r="J123" s="5">
        <v>1.15</v>
      </c>
      <c r="K123" s="5">
        <v>1.32</v>
      </c>
      <c r="L123" s="4">
        <v>243.64</v>
      </c>
      <c r="M123">
        <v>4651</v>
      </c>
      <c r="N123">
        <v>4064</v>
      </c>
      <c r="O123">
        <v>22</v>
      </c>
      <c r="P123" s="6">
        <v>200</v>
      </c>
      <c r="Q123" t="s">
        <v>1161</v>
      </c>
      <c r="R123" t="s">
        <v>1164</v>
      </c>
      <c r="S123" s="2">
        <f>HYPERLINK("https://yandex.ru/maps/?&amp;text=45.0309246, 41.9599613", "45.0309246, 41.9599613")</f>
        <v>0</v>
      </c>
      <c r="T123" s="2">
        <f>HYPERLINK("D:\torgi_project\venv_torgi\cache\objs_in_district/45.0309246_41.9599613.json", "45.0309246_41.9599613.json")</f>
        <v>0</v>
      </c>
      <c r="U123" t="s">
        <v>1277</v>
      </c>
      <c r="V123" s="7" t="s">
        <v>1632</v>
      </c>
    </row>
    <row r="124" spans="1:22">
      <c r="A124" s="8">
        <v>122</v>
      </c>
      <c r="B124">
        <v>26</v>
      </c>
      <c r="C124" s="1">
        <v>54.9</v>
      </c>
      <c r="D124" s="2">
        <f>HYPERLINK("https://torgi.gov.ru/new/public/lots/lot/21000004960000000022_1/(lotInfo:info)", "21000004960000000022_1")</f>
        <v>0</v>
      </c>
      <c r="E124" t="s">
        <v>143</v>
      </c>
      <c r="F124" s="3" t="s">
        <v>563</v>
      </c>
      <c r="G124" t="s">
        <v>827</v>
      </c>
      <c r="H124" s="4">
        <v>513000</v>
      </c>
      <c r="I124" s="4">
        <v>9344.262295081968</v>
      </c>
      <c r="J124" s="5">
        <v>2.19</v>
      </c>
      <c r="K124" s="5">
        <v>2.78</v>
      </c>
      <c r="L124" s="4">
        <v>148.32</v>
      </c>
      <c r="M124">
        <v>4261</v>
      </c>
      <c r="N124">
        <v>3358</v>
      </c>
      <c r="O124">
        <v>63</v>
      </c>
      <c r="P124" s="6">
        <v>400</v>
      </c>
      <c r="Q124" t="s">
        <v>1161</v>
      </c>
      <c r="R124" t="s">
        <v>1164</v>
      </c>
      <c r="S124" s="2">
        <f>HYPERLINK("https://yandex.ru/maps/?&amp;text=45.049866, 41.989197", "45.049866, 41.989197")</f>
        <v>0</v>
      </c>
      <c r="T124" s="2">
        <f>HYPERLINK("D:\torgi_project\venv_torgi\cache\objs_in_district/45.049866_41.989197.json", "45.049866_41.989197.json")</f>
        <v>0</v>
      </c>
      <c r="U124" t="s">
        <v>1278</v>
      </c>
      <c r="V124" s="7" t="s">
        <v>1628</v>
      </c>
    </row>
    <row r="125" spans="1:22">
      <c r="A125" s="8">
        <v>123</v>
      </c>
      <c r="B125">
        <v>26</v>
      </c>
      <c r="C125" s="1">
        <v>183.5</v>
      </c>
      <c r="D125" s="2">
        <f>HYPERLINK("https://torgi.gov.ru/new/public/lots/lot/21000004820000000006_5/(lotInfo:info)", "21000004820000000006_5")</f>
        <v>0</v>
      </c>
      <c r="E125" t="s">
        <v>144</v>
      </c>
      <c r="F125" s="3" t="s">
        <v>564</v>
      </c>
      <c r="G125" t="s">
        <v>828</v>
      </c>
      <c r="H125" s="4">
        <v>1826400</v>
      </c>
      <c r="I125" s="4">
        <v>9953.133514986375</v>
      </c>
      <c r="J125" s="5">
        <v>6.47</v>
      </c>
      <c r="K125" s="5">
        <v>2.7</v>
      </c>
      <c r="L125" s="4">
        <v>231.47</v>
      </c>
      <c r="M125">
        <v>1538</v>
      </c>
      <c r="N125">
        <v>3686</v>
      </c>
      <c r="O125">
        <v>43</v>
      </c>
      <c r="P125" s="6">
        <v>100</v>
      </c>
      <c r="Q125" t="s">
        <v>1161</v>
      </c>
      <c r="R125" t="s">
        <v>1164</v>
      </c>
      <c r="S125" s="2">
        <f>HYPERLINK("https://yandex.ru/maps/?&amp;text=44.057153, 43.066097", "44.057153, 43.066097")</f>
        <v>0</v>
      </c>
      <c r="T125" s="2">
        <f>HYPERLINK("D:\torgi_project\venv_torgi\cache\objs_in_district/44.057153_43.066097.json", "44.057153_43.066097.json")</f>
        <v>0</v>
      </c>
      <c r="U125" t="s">
        <v>1279</v>
      </c>
      <c r="V125" s="7" t="s">
        <v>1629</v>
      </c>
    </row>
    <row r="126" spans="1:22">
      <c r="A126" s="8">
        <v>124</v>
      </c>
      <c r="B126">
        <v>26</v>
      </c>
      <c r="C126" s="1">
        <v>160.4</v>
      </c>
      <c r="D126" s="2">
        <f>HYPERLINK("https://torgi.gov.ru/new/public/lots/lot/21000004820000000006_7/(lotInfo:info)", "21000004820000000006_7")</f>
        <v>0</v>
      </c>
      <c r="E126" t="s">
        <v>145</v>
      </c>
      <c r="F126" s="3" t="s">
        <v>564</v>
      </c>
      <c r="G126" t="s">
        <v>829</v>
      </c>
      <c r="H126" s="4">
        <v>1634400</v>
      </c>
      <c r="I126" s="4">
        <v>10189.52618453865</v>
      </c>
      <c r="J126" s="5">
        <v>2.45</v>
      </c>
      <c r="K126" s="5">
        <v>4.12</v>
      </c>
      <c r="L126" s="4">
        <v>135.85</v>
      </c>
      <c r="M126">
        <v>4156</v>
      </c>
      <c r="N126">
        <v>2475</v>
      </c>
      <c r="O126">
        <v>75</v>
      </c>
      <c r="P126" s="6">
        <v>200</v>
      </c>
      <c r="Q126" t="s">
        <v>1161</v>
      </c>
      <c r="R126" t="s">
        <v>1164</v>
      </c>
      <c r="S126" s="2">
        <f>HYPERLINK("https://yandex.ru/maps/?&amp;text=44.033859, 43.080533", "44.033859, 43.080533")</f>
        <v>0</v>
      </c>
      <c r="T126" s="2">
        <f>HYPERLINK("D:\torgi_project\venv_torgi\cache\objs_in_district/44.033859_43.080533.json", "44.033859_43.080533.json")</f>
        <v>0</v>
      </c>
      <c r="U126" t="s">
        <v>1280</v>
      </c>
      <c r="V126" s="7" t="s">
        <v>1630</v>
      </c>
    </row>
    <row r="127" spans="1:22">
      <c r="A127" s="8">
        <v>125</v>
      </c>
      <c r="B127">
        <v>26</v>
      </c>
      <c r="C127" s="1">
        <v>332.2</v>
      </c>
      <c r="D127" s="2">
        <f>HYPERLINK("https://torgi.gov.ru/new/public/lots/lot/21000003150000000008_1/(lotInfo:info)", "21000003150000000008_1")</f>
        <v>0</v>
      </c>
      <c r="E127" t="s">
        <v>146</v>
      </c>
      <c r="F127" s="3" t="s">
        <v>565</v>
      </c>
      <c r="G127" t="s">
        <v>830</v>
      </c>
      <c r="H127" s="4">
        <v>4130000</v>
      </c>
      <c r="I127" s="4">
        <v>12432.26971703793</v>
      </c>
      <c r="J127" s="5">
        <v>6.88</v>
      </c>
      <c r="K127" s="5">
        <v>16.06</v>
      </c>
      <c r="M127">
        <v>1806</v>
      </c>
      <c r="N127">
        <v>774</v>
      </c>
      <c r="O127">
        <v>0</v>
      </c>
      <c r="P127" s="6">
        <v>900</v>
      </c>
      <c r="Q127" t="s">
        <v>1161</v>
      </c>
      <c r="R127" t="s">
        <v>1164</v>
      </c>
      <c r="S127" s="2">
        <f>HYPERLINK("https://yandex.ru/maps/?&amp;text=44.628594, 41.936421", "44.628594, 41.936421")</f>
        <v>0</v>
      </c>
      <c r="U127" t="s">
        <v>1281</v>
      </c>
      <c r="V127" s="7" t="s">
        <v>1628</v>
      </c>
    </row>
    <row r="128" spans="1:22">
      <c r="A128" s="8">
        <v>126</v>
      </c>
      <c r="B128">
        <v>26</v>
      </c>
      <c r="C128" s="1">
        <v>60.7</v>
      </c>
      <c r="D128" s="2">
        <f>HYPERLINK("https://torgi.gov.ru/new/public/lots/lot/21000016400000000005_10/(lotInfo:info)", "21000016400000000005_10")</f>
        <v>0</v>
      </c>
      <c r="E128" t="s">
        <v>147</v>
      </c>
      <c r="F128" s="3" t="s">
        <v>566</v>
      </c>
      <c r="G128" t="s">
        <v>831</v>
      </c>
      <c r="H128" s="4">
        <v>1210980</v>
      </c>
      <c r="I128" s="4">
        <v>19950.2471169687</v>
      </c>
      <c r="J128" s="5">
        <v>8.19</v>
      </c>
      <c r="K128" s="5">
        <v>2.33</v>
      </c>
      <c r="L128" s="4">
        <v>570</v>
      </c>
      <c r="M128">
        <v>2437</v>
      </c>
      <c r="N128">
        <v>8573</v>
      </c>
      <c r="O128">
        <v>35</v>
      </c>
      <c r="P128" s="6">
        <v>100</v>
      </c>
      <c r="Q128" t="s">
        <v>1161</v>
      </c>
      <c r="R128" t="s">
        <v>1164</v>
      </c>
      <c r="S128" s="2">
        <f>HYPERLINK("https://yandex.ru/maps/?&amp;text=44.144135, 43.004913", "44.144135, 43.004913")</f>
        <v>0</v>
      </c>
      <c r="T128" s="2">
        <f>HYPERLINK("D:\torgi_project\venv_torgi\cache\objs_in_district/44.144135_43.004913.json", "44.144135_43.004913.json")</f>
        <v>0</v>
      </c>
      <c r="U128" t="s">
        <v>1282</v>
      </c>
      <c r="V128" s="7" t="s">
        <v>1631</v>
      </c>
    </row>
    <row r="129" spans="1:22">
      <c r="A129" s="8">
        <v>127</v>
      </c>
      <c r="B129">
        <v>26</v>
      </c>
      <c r="C129" s="1">
        <v>43.7</v>
      </c>
      <c r="D129" s="2">
        <f>HYPERLINK("https://torgi.gov.ru/new/public/lots/lot/21000016400000000005_1/(lotInfo:info)", "21000016400000000005_1")</f>
        <v>0</v>
      </c>
      <c r="E129" t="s">
        <v>148</v>
      </c>
      <c r="F129" s="3" t="s">
        <v>566</v>
      </c>
      <c r="G129" t="s">
        <v>832</v>
      </c>
      <c r="H129" s="4">
        <v>1145464</v>
      </c>
      <c r="I129" s="4">
        <v>26211.99084668192</v>
      </c>
      <c r="J129" s="5">
        <v>16.26</v>
      </c>
      <c r="K129" s="5">
        <v>3.85</v>
      </c>
      <c r="L129" s="4">
        <v>379.87</v>
      </c>
      <c r="M129">
        <v>1612</v>
      </c>
      <c r="N129">
        <v>6801</v>
      </c>
      <c r="O129">
        <v>69</v>
      </c>
      <c r="Q129" t="s">
        <v>1161</v>
      </c>
      <c r="R129" t="s">
        <v>1164</v>
      </c>
      <c r="S129" s="2">
        <f>HYPERLINK("https://yandex.ru/maps/?&amp;text=44.14233, 43.014248", "44.14233, 43.014248")</f>
        <v>0</v>
      </c>
      <c r="T129" s="2">
        <f>HYPERLINK("D:\torgi_project\venv_torgi\cache\objs_in_district/44.14233_43.014248.json", "44.14233_43.014248.json")</f>
        <v>0</v>
      </c>
      <c r="U129" t="s">
        <v>1283</v>
      </c>
      <c r="V129" s="7" t="s">
        <v>1631</v>
      </c>
    </row>
    <row r="130" spans="1:22">
      <c r="A130" s="8">
        <v>128</v>
      </c>
      <c r="B130">
        <v>26</v>
      </c>
      <c r="C130" s="1">
        <v>43.7</v>
      </c>
      <c r="D130" s="2">
        <f>HYPERLINK("https://torgi.gov.ru/new/public/lots/lot/21000004820000000006_2/(lotInfo:info)", "21000004820000000006_2")</f>
        <v>0</v>
      </c>
      <c r="E130" t="s">
        <v>149</v>
      </c>
      <c r="F130" s="3" t="s">
        <v>564</v>
      </c>
      <c r="G130" t="s">
        <v>833</v>
      </c>
      <c r="H130" s="4">
        <v>1206000</v>
      </c>
      <c r="I130" s="4">
        <v>27597.25400457666</v>
      </c>
      <c r="J130" s="5">
        <v>8.66</v>
      </c>
      <c r="K130" s="5">
        <v>5.06</v>
      </c>
      <c r="L130" s="4">
        <v>766.58</v>
      </c>
      <c r="M130">
        <v>3186</v>
      </c>
      <c r="N130">
        <v>5454</v>
      </c>
      <c r="O130">
        <v>36</v>
      </c>
      <c r="P130" s="6">
        <v>400</v>
      </c>
      <c r="Q130" t="s">
        <v>1161</v>
      </c>
      <c r="R130" t="s">
        <v>1164</v>
      </c>
      <c r="S130" s="2">
        <f>HYPERLINK("https://yandex.ru/maps/?&amp;text=44.058164, 43.054653", "44.058164, 43.054653")</f>
        <v>0</v>
      </c>
      <c r="T130" s="2">
        <f>HYPERLINK("D:\torgi_project\venv_torgi\cache\objs_in_district/44.058164_43.054653.json", "44.058164_43.054653.json")</f>
        <v>0</v>
      </c>
      <c r="U130" t="s">
        <v>1284</v>
      </c>
      <c r="V130" s="7" t="s">
        <v>1631</v>
      </c>
    </row>
    <row r="131" spans="1:22">
      <c r="A131" s="8">
        <v>129</v>
      </c>
      <c r="B131">
        <v>26</v>
      </c>
      <c r="C131" s="1">
        <v>18.6</v>
      </c>
      <c r="D131" s="2">
        <f>HYPERLINK("https://torgi.gov.ru/new/public/lots/lot/21000016400000000005_11/(lotInfo:info)", "21000016400000000005_11")</f>
        <v>0</v>
      </c>
      <c r="E131" t="s">
        <v>150</v>
      </c>
      <c r="F131" s="3" t="s">
        <v>566</v>
      </c>
      <c r="G131" t="s">
        <v>834</v>
      </c>
      <c r="H131" s="4">
        <v>545538</v>
      </c>
      <c r="I131" s="4">
        <v>29330</v>
      </c>
      <c r="J131" s="5">
        <v>11.17</v>
      </c>
      <c r="K131" s="5">
        <v>31.95</v>
      </c>
      <c r="L131" s="4">
        <v>2444.08</v>
      </c>
      <c r="M131">
        <v>2625</v>
      </c>
      <c r="N131">
        <v>918</v>
      </c>
      <c r="O131">
        <v>12</v>
      </c>
      <c r="P131" s="6">
        <v>100</v>
      </c>
      <c r="Q131" t="s">
        <v>1161</v>
      </c>
      <c r="R131" t="s">
        <v>1164</v>
      </c>
      <c r="S131" s="2">
        <f>HYPERLINK("https://yandex.ru/maps/?&amp;text=44.089924, 43.088034", "44.089924, 43.088034")</f>
        <v>0</v>
      </c>
      <c r="T131" s="2">
        <f>HYPERLINK("D:\torgi_project\venv_torgi\cache\objs_in_district/44.089924_43.088034.json", "44.089924_43.088034.json")</f>
        <v>0</v>
      </c>
      <c r="U131" t="s">
        <v>1285</v>
      </c>
      <c r="V131" s="7" t="s">
        <v>1628</v>
      </c>
    </row>
    <row r="132" spans="1:22">
      <c r="A132" s="8">
        <v>130</v>
      </c>
      <c r="B132">
        <v>26</v>
      </c>
      <c r="C132" s="1">
        <v>15.8</v>
      </c>
      <c r="D132" s="2">
        <f>HYPERLINK("https://torgi.gov.ru/new/public/lots/lot/21000016400000000005_6/(lotInfo:info)", "21000016400000000005_6")</f>
        <v>0</v>
      </c>
      <c r="E132" t="s">
        <v>151</v>
      </c>
      <c r="F132" s="3" t="s">
        <v>566</v>
      </c>
      <c r="G132" t="s">
        <v>835</v>
      </c>
      <c r="H132" s="4">
        <v>536110</v>
      </c>
      <c r="I132" s="4">
        <v>33931.01265822785</v>
      </c>
      <c r="J132" s="5">
        <v>9.68</v>
      </c>
      <c r="K132" s="5">
        <v>8.27</v>
      </c>
      <c r="L132" s="4">
        <v>6786.2</v>
      </c>
      <c r="M132">
        <v>3507</v>
      </c>
      <c r="N132">
        <v>4104</v>
      </c>
      <c r="O132">
        <v>5</v>
      </c>
      <c r="P132" s="6">
        <v>500</v>
      </c>
      <c r="Q132" t="s">
        <v>1161</v>
      </c>
      <c r="R132" t="s">
        <v>1164</v>
      </c>
      <c r="S132" s="2">
        <f>HYPERLINK("https://yandex.ru/maps/?&amp;text=44.1098519, 43.0853164", "44.1098519, 43.0853164")</f>
        <v>0</v>
      </c>
      <c r="T132" s="2">
        <f>HYPERLINK("D:\torgi_project\venv_torgi\cache\objs_in_district/44.1098519_43.0853164.json", "44.1098519_43.0853164.json")</f>
        <v>0</v>
      </c>
      <c r="U132" t="s">
        <v>1286</v>
      </c>
      <c r="V132" s="7" t="s">
        <v>1633</v>
      </c>
    </row>
    <row r="133" spans="1:22">
      <c r="A133" s="8">
        <v>131</v>
      </c>
      <c r="B133">
        <v>26</v>
      </c>
      <c r="C133" s="1">
        <v>26.8</v>
      </c>
      <c r="D133" s="2">
        <f>HYPERLINK("https://torgi.gov.ru/new/public/lots/lot/21000003150000000008_2/(lotInfo:info)", "21000003150000000008_2")</f>
        <v>0</v>
      </c>
      <c r="E133" t="s">
        <v>152</v>
      </c>
      <c r="F133" s="3" t="s">
        <v>565</v>
      </c>
      <c r="G133" t="s">
        <v>836</v>
      </c>
      <c r="H133" s="4">
        <v>974000</v>
      </c>
      <c r="I133" s="4">
        <v>36343.28358208955</v>
      </c>
      <c r="J133" s="5">
        <v>18.97</v>
      </c>
      <c r="K133" s="5">
        <v>14.09</v>
      </c>
      <c r="L133" s="4">
        <v>2137.82</v>
      </c>
      <c r="M133">
        <v>1916</v>
      </c>
      <c r="N133">
        <v>2580</v>
      </c>
      <c r="O133">
        <v>17</v>
      </c>
      <c r="P133" s="6">
        <v>1000</v>
      </c>
      <c r="Q133" t="s">
        <v>1161</v>
      </c>
      <c r="R133" t="s">
        <v>1164</v>
      </c>
      <c r="S133" s="2">
        <f>HYPERLINK("https://yandex.ru/maps/?&amp;text=44.64318, 41.929495", "44.64318, 41.929495")</f>
        <v>0</v>
      </c>
      <c r="T133" s="2">
        <f>HYPERLINK("D:\torgi_project\venv_torgi\cache\objs_in_district/44.64318_41.929495.json", "44.64318_41.929495.json")</f>
        <v>0</v>
      </c>
      <c r="U133" t="s">
        <v>1287</v>
      </c>
      <c r="V133" s="7" t="s">
        <v>1628</v>
      </c>
    </row>
    <row r="134" spans="1:22">
      <c r="A134" s="8">
        <v>132</v>
      </c>
      <c r="B134">
        <v>27</v>
      </c>
      <c r="C134" s="1">
        <v>340.2</v>
      </c>
      <c r="D134" s="2">
        <f>HYPERLINK("https://torgi.gov.ru/new/public/lots/lot/22000137830000000001_1/(lotInfo:info)", "22000137830000000001_1")</f>
        <v>0</v>
      </c>
      <c r="E134" t="s">
        <v>153</v>
      </c>
      <c r="F134" s="3" t="s">
        <v>567</v>
      </c>
      <c r="G134" t="s">
        <v>837</v>
      </c>
      <c r="H134" s="4">
        <v>714000</v>
      </c>
      <c r="I134" s="4">
        <v>2098.765432098765</v>
      </c>
      <c r="J134" s="5">
        <v>3.19</v>
      </c>
      <c r="K134" s="5">
        <v>11.46</v>
      </c>
      <c r="L134" s="4">
        <v>2098</v>
      </c>
      <c r="M134">
        <v>657</v>
      </c>
      <c r="N134">
        <v>183</v>
      </c>
      <c r="O134">
        <v>1</v>
      </c>
      <c r="P134" s="6">
        <v>900</v>
      </c>
      <c r="Q134" t="s">
        <v>1161</v>
      </c>
      <c r="R134" t="s">
        <v>1164</v>
      </c>
      <c r="S134" s="2">
        <f>HYPERLINK("https://yandex.ru/maps/?&amp;text=50.130362, 136.923219", "50.130362, 136.923219")</f>
        <v>0</v>
      </c>
      <c r="T134" s="2">
        <f>HYPERLINK("D:\torgi_project\venv_torgi\cache\objs_in_district/50.130362_136.923219.json", "50.130362_136.923219.json")</f>
        <v>0</v>
      </c>
      <c r="U134" t="s">
        <v>1288</v>
      </c>
    </row>
    <row r="135" spans="1:22">
      <c r="A135" s="8">
        <v>133</v>
      </c>
      <c r="B135">
        <v>27</v>
      </c>
      <c r="C135" s="1">
        <v>464.1</v>
      </c>
      <c r="D135" s="2">
        <f>HYPERLINK("https://torgi.gov.ru/new/public/lots/lot/22000053890000000010_1/(lotInfo:info)", "22000053890000000010_1")</f>
        <v>0</v>
      </c>
      <c r="E135" t="s">
        <v>154</v>
      </c>
      <c r="F135" s="3" t="s">
        <v>568</v>
      </c>
      <c r="G135" t="s">
        <v>838</v>
      </c>
      <c r="H135" s="4">
        <v>3374000</v>
      </c>
      <c r="I135" s="4">
        <v>7269.98491704374</v>
      </c>
      <c r="J135" s="5">
        <v>23.45</v>
      </c>
      <c r="K135" s="5">
        <v>35.63</v>
      </c>
      <c r="L135" s="4">
        <v>2423</v>
      </c>
      <c r="M135">
        <v>310</v>
      </c>
      <c r="N135">
        <v>204</v>
      </c>
      <c r="O135">
        <v>3</v>
      </c>
      <c r="P135" s="6">
        <v>1500</v>
      </c>
      <c r="Q135" t="s">
        <v>1161</v>
      </c>
      <c r="R135" t="s">
        <v>1164</v>
      </c>
      <c r="S135" s="2">
        <f>HYPERLINK("https://yandex.ru/maps/?&amp;text=48.613172, 135.124693", "48.613172, 135.124693")</f>
        <v>0</v>
      </c>
      <c r="T135" s="2">
        <f>HYPERLINK("D:\torgi_project\venv_torgi\cache\objs_in_district/48.613172_135.124693.json", "48.613172_135.124693.json")</f>
        <v>0</v>
      </c>
      <c r="U135" t="s">
        <v>1289</v>
      </c>
      <c r="V135" s="7" t="s">
        <v>1628</v>
      </c>
    </row>
    <row r="136" spans="1:22">
      <c r="A136" s="8">
        <v>134</v>
      </c>
      <c r="B136">
        <v>27</v>
      </c>
      <c r="C136" s="1">
        <v>48.1</v>
      </c>
      <c r="D136" s="2">
        <f>HYPERLINK("https://torgi.gov.ru/new/public/lots/lot/21000032990000000018_1/(lotInfo:info)", "21000032990000000018_1")</f>
        <v>0</v>
      </c>
      <c r="E136" t="s">
        <v>155</v>
      </c>
      <c r="F136" s="3" t="s">
        <v>569</v>
      </c>
      <c r="G136" t="s">
        <v>839</v>
      </c>
      <c r="H136" s="4">
        <v>1030000</v>
      </c>
      <c r="I136" s="4">
        <v>21413.72141372141</v>
      </c>
      <c r="J136" s="5">
        <v>6.17</v>
      </c>
      <c r="K136" s="5">
        <v>5.28</v>
      </c>
      <c r="L136" s="4">
        <v>246.13</v>
      </c>
      <c r="M136">
        <v>3470</v>
      </c>
      <c r="N136">
        <v>4059</v>
      </c>
      <c r="O136">
        <v>87</v>
      </c>
      <c r="P136" s="6">
        <v>200</v>
      </c>
      <c r="Q136" t="s">
        <v>1162</v>
      </c>
      <c r="R136" t="s">
        <v>1164</v>
      </c>
      <c r="S136" s="2">
        <f>HYPERLINK("https://yandex.ru/maps/?&amp;text=48.47859, 135.06108", "48.47859, 135.06108")</f>
        <v>0</v>
      </c>
      <c r="T136" s="2">
        <f>HYPERLINK("D:\torgi_project\venv_torgi\cache\objs_in_district/48.47859_135.06108.json", "48.47859_135.06108.json")</f>
        <v>0</v>
      </c>
      <c r="U136" t="s">
        <v>1290</v>
      </c>
    </row>
    <row r="137" spans="1:22">
      <c r="A137" s="8">
        <v>135</v>
      </c>
      <c r="B137">
        <v>27</v>
      </c>
      <c r="C137" s="1">
        <v>97.7</v>
      </c>
      <c r="D137" s="2">
        <f>HYPERLINK("https://torgi.gov.ru/new/public/lots/lot/22000053890000000009_1/(lotInfo:info)", "22000053890000000009_1")</f>
        <v>0</v>
      </c>
      <c r="E137" t="s">
        <v>156</v>
      </c>
      <c r="F137" s="3" t="s">
        <v>570</v>
      </c>
      <c r="G137" t="s">
        <v>840</v>
      </c>
      <c r="H137" s="4">
        <v>2315295</v>
      </c>
      <c r="I137" s="4">
        <v>23698.00409416581</v>
      </c>
      <c r="J137" s="5">
        <v>85.55</v>
      </c>
      <c r="K137" s="5">
        <v>62.69</v>
      </c>
      <c r="M137">
        <v>277</v>
      </c>
      <c r="N137">
        <v>378</v>
      </c>
      <c r="O137">
        <v>0</v>
      </c>
      <c r="P137" s="6">
        <v>4700</v>
      </c>
      <c r="Q137" t="s">
        <v>1161</v>
      </c>
      <c r="R137" t="s">
        <v>1164</v>
      </c>
      <c r="S137" s="2">
        <f>HYPERLINK("https://yandex.ru/maps/?&amp;text=48.619488, 135.06297", "48.619488, 135.06297")</f>
        <v>0</v>
      </c>
      <c r="U137" t="s">
        <v>1291</v>
      </c>
      <c r="V137" s="7" t="s">
        <v>1629</v>
      </c>
    </row>
    <row r="138" spans="1:22">
      <c r="A138" s="8">
        <v>136</v>
      </c>
      <c r="B138">
        <v>27</v>
      </c>
      <c r="C138" s="1">
        <v>25</v>
      </c>
      <c r="D138" s="2">
        <f>HYPERLINK("https://torgi.gov.ru/new/public/lots/lot/21000032990000000020_1/(lotInfo:info)", "21000032990000000020_1")</f>
        <v>0</v>
      </c>
      <c r="E138" t="s">
        <v>157</v>
      </c>
      <c r="F138" s="3" t="s">
        <v>569</v>
      </c>
      <c r="G138" t="s">
        <v>841</v>
      </c>
      <c r="H138" s="4">
        <v>1393000</v>
      </c>
      <c r="I138" s="4">
        <v>55720</v>
      </c>
      <c r="J138" s="5">
        <v>15.62</v>
      </c>
      <c r="K138" s="5">
        <v>15.77</v>
      </c>
      <c r="L138" s="4">
        <v>1359.02</v>
      </c>
      <c r="M138">
        <v>3568</v>
      </c>
      <c r="N138">
        <v>3534</v>
      </c>
      <c r="O138">
        <v>41</v>
      </c>
      <c r="P138" s="6">
        <v>100</v>
      </c>
      <c r="Q138" t="s">
        <v>1162</v>
      </c>
      <c r="R138" t="s">
        <v>1164</v>
      </c>
      <c r="S138" s="2">
        <f>HYPERLINK("https://yandex.ru/maps/?&amp;text=48.483883, 135.06555", "48.483883, 135.06555")</f>
        <v>0</v>
      </c>
      <c r="T138" s="2">
        <f>HYPERLINK("D:\torgi_project\venv_torgi\cache\objs_in_district/48.483883_135.06555.json", "48.483883_135.06555.json")</f>
        <v>0</v>
      </c>
      <c r="U138" t="s">
        <v>1292</v>
      </c>
    </row>
    <row r="139" spans="1:22">
      <c r="A139" s="8">
        <v>137</v>
      </c>
      <c r="B139">
        <v>28</v>
      </c>
      <c r="C139" s="1">
        <v>165.1</v>
      </c>
      <c r="D139" s="2">
        <f>HYPERLINK("https://torgi.gov.ru/new/public/lots/lot/21000028650000000136_5/(lotInfo:info)", "21000028650000000136_5")</f>
        <v>0</v>
      </c>
      <c r="E139" t="s">
        <v>158</v>
      </c>
      <c r="F139" s="3" t="s">
        <v>571</v>
      </c>
      <c r="G139" t="s">
        <v>842</v>
      </c>
      <c r="H139" s="4">
        <v>2229900</v>
      </c>
      <c r="I139" s="4">
        <v>13506.35978195033</v>
      </c>
      <c r="J139" s="5">
        <v>28.55</v>
      </c>
      <c r="K139" s="5">
        <v>76.31</v>
      </c>
      <c r="L139" s="4">
        <v>13506</v>
      </c>
      <c r="M139">
        <v>473</v>
      </c>
      <c r="N139">
        <v>177</v>
      </c>
      <c r="O139">
        <v>1</v>
      </c>
      <c r="P139" s="6">
        <v>2800</v>
      </c>
      <c r="Q139" t="s">
        <v>1161</v>
      </c>
      <c r="R139" t="s">
        <v>1165</v>
      </c>
      <c r="S139" s="2">
        <f>HYPERLINK("https://yandex.ru/maps/?&amp;text=55.1659793, 124.7138884", "55.1659793, 124.7138884")</f>
        <v>0</v>
      </c>
      <c r="T139" s="2">
        <f>HYPERLINK("D:\torgi_project\venv_torgi\cache\objs_in_district/55.1659793_124.7138884.json", "55.1659793_124.7138884.json")</f>
        <v>0</v>
      </c>
      <c r="U139" t="s">
        <v>1293</v>
      </c>
    </row>
    <row r="140" spans="1:22">
      <c r="A140" s="8">
        <v>138</v>
      </c>
      <c r="B140">
        <v>28</v>
      </c>
      <c r="C140" s="1">
        <v>50.8</v>
      </c>
      <c r="D140" s="2">
        <f>HYPERLINK("https://torgi.gov.ru/new/public/lots/lot/21000032710000000014_2/(lotInfo:info)", "21000032710000000014_2")</f>
        <v>0</v>
      </c>
      <c r="E140" t="s">
        <v>159</v>
      </c>
      <c r="F140" s="3" t="s">
        <v>572</v>
      </c>
      <c r="G140" t="s">
        <v>843</v>
      </c>
      <c r="H140" s="4">
        <v>696820</v>
      </c>
      <c r="I140" s="4">
        <v>13716.92913385827</v>
      </c>
      <c r="J140" s="5">
        <v>10.41</v>
      </c>
      <c r="K140" s="5">
        <v>6.06</v>
      </c>
      <c r="L140" s="4">
        <v>857.25</v>
      </c>
      <c r="M140">
        <v>1317</v>
      </c>
      <c r="N140">
        <v>2262</v>
      </c>
      <c r="O140">
        <v>16</v>
      </c>
      <c r="P140" s="6">
        <v>400</v>
      </c>
      <c r="Q140" t="s">
        <v>1161</v>
      </c>
      <c r="R140" t="s">
        <v>1164</v>
      </c>
      <c r="S140" s="2">
        <f>HYPERLINK("https://yandex.ru/maps/?&amp;text=49.805144, 129.399424", "49.805144, 129.399424")</f>
        <v>0</v>
      </c>
      <c r="T140" s="2">
        <f>HYPERLINK("D:\torgi_project\venv_torgi\cache\objs_in_district/49.805144_129.399424.json", "49.805144_129.399424.json")</f>
        <v>0</v>
      </c>
      <c r="U140" t="s">
        <v>1294</v>
      </c>
      <c r="V140" s="7" t="s">
        <v>1628</v>
      </c>
    </row>
    <row r="141" spans="1:22">
      <c r="A141" s="8">
        <v>139</v>
      </c>
      <c r="B141">
        <v>28</v>
      </c>
      <c r="C141" s="1">
        <v>51.5</v>
      </c>
      <c r="D141" s="2">
        <f>HYPERLINK("https://torgi.gov.ru/new/public/lots/lot/21000032710000000014_1/(lotInfo:info)", "21000032710000000014_1")</f>
        <v>0</v>
      </c>
      <c r="E141" t="s">
        <v>160</v>
      </c>
      <c r="F141" s="3" t="s">
        <v>572</v>
      </c>
      <c r="G141" t="s">
        <v>843</v>
      </c>
      <c r="H141" s="4">
        <v>706485</v>
      </c>
      <c r="I141" s="4">
        <v>13718.15533980583</v>
      </c>
      <c r="J141" s="5">
        <v>10.42</v>
      </c>
      <c r="K141" s="5">
        <v>6.06</v>
      </c>
      <c r="L141" s="4">
        <v>857.38</v>
      </c>
      <c r="M141">
        <v>1317</v>
      </c>
      <c r="N141">
        <v>2262</v>
      </c>
      <c r="O141">
        <v>16</v>
      </c>
      <c r="P141" s="6">
        <v>400</v>
      </c>
      <c r="Q141" t="s">
        <v>1161</v>
      </c>
      <c r="R141" t="s">
        <v>1164</v>
      </c>
      <c r="S141" s="2">
        <f>HYPERLINK("https://yandex.ru/maps/?&amp;text=49.805144, 129.399424", "49.805144, 129.399424")</f>
        <v>0</v>
      </c>
      <c r="T141" s="2">
        <f>HYPERLINK("D:\torgi_project\venv_torgi\cache\objs_in_district/49.805144_129.399424.json", "49.805144_129.399424.json")</f>
        <v>0</v>
      </c>
      <c r="U141" t="s">
        <v>1295</v>
      </c>
      <c r="V141" s="7" t="s">
        <v>1628</v>
      </c>
    </row>
    <row r="142" spans="1:22">
      <c r="A142" s="8">
        <v>140</v>
      </c>
      <c r="B142">
        <v>28</v>
      </c>
      <c r="C142" s="1">
        <v>34.3</v>
      </c>
      <c r="D142" s="2">
        <f>HYPERLINK("https://torgi.gov.ru/new/public/lots/lot/21000028650000000139_3/(lotInfo:info)", "21000028650000000139_3")</f>
        <v>0</v>
      </c>
      <c r="E142" t="s">
        <v>161</v>
      </c>
      <c r="F142" s="3" t="s">
        <v>573</v>
      </c>
      <c r="G142" t="s">
        <v>844</v>
      </c>
      <c r="H142" s="4">
        <v>1293700</v>
      </c>
      <c r="I142" s="4">
        <v>37717.20116618076</v>
      </c>
      <c r="J142" s="5">
        <v>15.62</v>
      </c>
      <c r="K142" s="5">
        <v>40.08</v>
      </c>
      <c r="L142" s="4">
        <v>18858.5</v>
      </c>
      <c r="M142">
        <v>2415</v>
      </c>
      <c r="N142">
        <v>941</v>
      </c>
      <c r="O142">
        <v>2</v>
      </c>
      <c r="P142" s="6">
        <v>600</v>
      </c>
      <c r="Q142" t="s">
        <v>1161</v>
      </c>
      <c r="R142" t="s">
        <v>1165</v>
      </c>
      <c r="S142" s="2">
        <f>HYPERLINK("https://yandex.ru/maps/?&amp;text=50.265789, 127.563968", "50.265789, 127.563968")</f>
        <v>0</v>
      </c>
      <c r="T142" s="2">
        <f>HYPERLINK("D:\torgi_project\venv_torgi\cache\objs_in_district/50.265789_127.563968.json", "50.265789_127.563968.json")</f>
        <v>0</v>
      </c>
      <c r="U142" t="s">
        <v>1296</v>
      </c>
    </row>
    <row r="143" spans="1:22">
      <c r="A143" s="8">
        <v>141</v>
      </c>
      <c r="B143">
        <v>28</v>
      </c>
      <c r="C143" s="1">
        <v>129.5</v>
      </c>
      <c r="D143" s="2">
        <f>HYPERLINK("https://torgi.gov.ru/new/public/lots/lot/21000003100000000020_1/(lotInfo:info)", "21000003100000000020_1")</f>
        <v>0</v>
      </c>
      <c r="E143" t="s">
        <v>162</v>
      </c>
      <c r="F143" s="3" t="s">
        <v>543</v>
      </c>
      <c r="G143" t="s">
        <v>845</v>
      </c>
      <c r="H143" s="4">
        <v>5443000</v>
      </c>
      <c r="I143" s="4">
        <v>42030.88803088803</v>
      </c>
      <c r="J143" s="5">
        <v>18.37</v>
      </c>
      <c r="K143" s="5">
        <v>11.12</v>
      </c>
      <c r="L143" s="4">
        <v>1556.67</v>
      </c>
      <c r="M143">
        <v>2288</v>
      </c>
      <c r="N143">
        <v>3780</v>
      </c>
      <c r="O143">
        <v>27</v>
      </c>
      <c r="P143" s="6">
        <v>300</v>
      </c>
      <c r="Q143" t="s">
        <v>1161</v>
      </c>
      <c r="R143" t="s">
        <v>1164</v>
      </c>
      <c r="S143" s="2">
        <f>HYPERLINK("https://yandex.ru/maps/?&amp;text=50.92023, 128.46344", "50.92023, 128.46344")</f>
        <v>0</v>
      </c>
      <c r="T143" s="2">
        <f>HYPERLINK("D:\torgi_project\venv_torgi\cache\objs_in_district/50.92023_128.46344.json", "50.92023_128.46344.json")</f>
        <v>0</v>
      </c>
      <c r="U143" t="s">
        <v>1297</v>
      </c>
    </row>
    <row r="144" spans="1:22">
      <c r="A144" s="8">
        <v>142</v>
      </c>
      <c r="B144">
        <v>29</v>
      </c>
      <c r="C144" s="1">
        <v>45.9</v>
      </c>
      <c r="D144" s="2">
        <f>HYPERLINK("https://torgi.gov.ru/new/public/lots/lot/22000124530000000001_1/(lotInfo:info)", "22000124530000000001_1")</f>
        <v>0</v>
      </c>
      <c r="E144" t="s">
        <v>163</v>
      </c>
      <c r="F144" s="3" t="s">
        <v>574</v>
      </c>
      <c r="G144" t="s">
        <v>846</v>
      </c>
      <c r="H144" s="4">
        <v>549672</v>
      </c>
      <c r="I144" s="4">
        <v>11975.42483660131</v>
      </c>
      <c r="J144" s="5">
        <v>3.72</v>
      </c>
      <c r="K144" s="5">
        <v>3.37</v>
      </c>
      <c r="L144" s="4">
        <v>1710.71</v>
      </c>
      <c r="M144">
        <v>3222</v>
      </c>
      <c r="N144">
        <v>3549</v>
      </c>
      <c r="O144">
        <v>7</v>
      </c>
      <c r="P144" s="6">
        <v>400</v>
      </c>
      <c r="Q144" t="s">
        <v>1161</v>
      </c>
      <c r="R144" t="s">
        <v>1164</v>
      </c>
      <c r="S144" s="2">
        <f>HYPERLINK("https://yandex.ru/maps/?&amp;text=61.310555, 47.16", "61.310555, 47.16")</f>
        <v>0</v>
      </c>
      <c r="T144" s="2">
        <f>HYPERLINK("D:\torgi_project\venv_torgi\cache\objs_in_district/61.310555_47.16.json", "61.310555_47.16.json")</f>
        <v>0</v>
      </c>
      <c r="U144" t="s">
        <v>1298</v>
      </c>
      <c r="V144" s="7" t="s">
        <v>1628</v>
      </c>
    </row>
    <row r="145" spans="1:22">
      <c r="A145" s="8">
        <v>143</v>
      </c>
      <c r="B145">
        <v>29</v>
      </c>
      <c r="C145" s="1">
        <v>109.2</v>
      </c>
      <c r="D145" s="2">
        <f>HYPERLINK("https://torgi.gov.ru/new/public/lots/lot/22000124530000000001_2/(lotInfo:info)", "22000124530000000001_2")</f>
        <v>0</v>
      </c>
      <c r="E145" t="s">
        <v>164</v>
      </c>
      <c r="F145" s="3" t="s">
        <v>574</v>
      </c>
      <c r="G145" t="s">
        <v>846</v>
      </c>
      <c r="H145" s="4">
        <v>1467866</v>
      </c>
      <c r="I145" s="4">
        <v>13441.99633699634</v>
      </c>
      <c r="J145" s="5">
        <v>4.17</v>
      </c>
      <c r="K145" s="5">
        <v>3.79</v>
      </c>
      <c r="L145" s="4">
        <v>1920.14</v>
      </c>
      <c r="M145">
        <v>3222</v>
      </c>
      <c r="N145">
        <v>3549</v>
      </c>
      <c r="O145">
        <v>7</v>
      </c>
      <c r="P145" s="6">
        <v>400</v>
      </c>
      <c r="Q145" t="s">
        <v>1161</v>
      </c>
      <c r="R145" t="s">
        <v>1164</v>
      </c>
      <c r="S145" s="2">
        <f>HYPERLINK("https://yandex.ru/maps/?&amp;text=61.310555, 47.16", "61.310555, 47.16")</f>
        <v>0</v>
      </c>
      <c r="T145" s="2">
        <f>HYPERLINK("D:\torgi_project\venv_torgi\cache\objs_in_district/61.310555_47.16.json", "61.310555_47.16.json")</f>
        <v>0</v>
      </c>
      <c r="U145" t="s">
        <v>1299</v>
      </c>
      <c r="V145" s="7" t="s">
        <v>1630</v>
      </c>
    </row>
    <row r="146" spans="1:22">
      <c r="A146" s="8">
        <v>144</v>
      </c>
      <c r="B146">
        <v>29</v>
      </c>
      <c r="C146" s="1">
        <v>65.2</v>
      </c>
      <c r="D146" s="2">
        <f>HYPERLINK("https://torgi.gov.ru/new/public/lots/lot/22000037620000000010_3/(lotInfo:info)", "22000037620000000010_3")</f>
        <v>0</v>
      </c>
      <c r="E146" t="s">
        <v>165</v>
      </c>
      <c r="F146" s="3" t="s">
        <v>575</v>
      </c>
      <c r="G146" t="s">
        <v>847</v>
      </c>
      <c r="H146" s="4">
        <v>984000</v>
      </c>
      <c r="I146" s="4">
        <v>15092.0245398773</v>
      </c>
      <c r="J146" s="5">
        <v>18.63</v>
      </c>
      <c r="K146" s="5">
        <v>3.93</v>
      </c>
      <c r="L146" s="4">
        <v>1006.13</v>
      </c>
      <c r="M146">
        <v>810</v>
      </c>
      <c r="N146">
        <v>3837</v>
      </c>
      <c r="O146">
        <v>15</v>
      </c>
      <c r="Q146" t="s">
        <v>1162</v>
      </c>
      <c r="R146" t="s">
        <v>1164</v>
      </c>
      <c r="S146" s="2">
        <f>HYPERLINK("https://yandex.ru/maps/?&amp;text=61.314726, 47.159819", "61.314726, 47.159819")</f>
        <v>0</v>
      </c>
      <c r="T146" s="2">
        <f>HYPERLINK("D:\torgi_project\venv_torgi\cache\objs_in_district/61.314726_47.159819.json", "61.314726_47.159819.json")</f>
        <v>0</v>
      </c>
      <c r="U146" t="s">
        <v>1300</v>
      </c>
      <c r="V146" s="7" t="s">
        <v>1628</v>
      </c>
    </row>
    <row r="147" spans="1:22">
      <c r="A147" s="8">
        <v>145</v>
      </c>
      <c r="B147">
        <v>29</v>
      </c>
      <c r="C147" s="1">
        <v>136.8</v>
      </c>
      <c r="D147" s="2">
        <f>HYPERLINK("https://torgi.gov.ru/new/public/lots/lot/22000037620000000010_2/(lotInfo:info)", "22000037620000000010_2")</f>
        <v>0</v>
      </c>
      <c r="E147" t="s">
        <v>166</v>
      </c>
      <c r="F147" s="3" t="s">
        <v>575</v>
      </c>
      <c r="G147" t="s">
        <v>847</v>
      </c>
      <c r="H147" s="4">
        <v>2144400</v>
      </c>
      <c r="I147" s="4">
        <v>15675.43859649123</v>
      </c>
      <c r="J147" s="5">
        <v>19.35</v>
      </c>
      <c r="K147" s="5">
        <v>4.09</v>
      </c>
      <c r="L147" s="4">
        <v>1045</v>
      </c>
      <c r="M147">
        <v>810</v>
      </c>
      <c r="N147">
        <v>3837</v>
      </c>
      <c r="O147">
        <v>15</v>
      </c>
      <c r="Q147" t="s">
        <v>1162</v>
      </c>
      <c r="R147" t="s">
        <v>1164</v>
      </c>
      <c r="S147" s="2">
        <f>HYPERLINK("https://yandex.ru/maps/?&amp;text=61.314726, 47.159819", "61.314726, 47.159819")</f>
        <v>0</v>
      </c>
      <c r="T147" s="2">
        <f>HYPERLINK("D:\torgi_project\venv_torgi\cache\objs_in_district/61.314726_47.159819.json", "61.314726_47.159819.json")</f>
        <v>0</v>
      </c>
      <c r="U147" t="s">
        <v>1301</v>
      </c>
      <c r="V147" s="7" t="s">
        <v>1628</v>
      </c>
    </row>
    <row r="148" spans="1:22">
      <c r="A148" s="8">
        <v>146</v>
      </c>
      <c r="B148">
        <v>29</v>
      </c>
      <c r="C148" s="1">
        <v>81</v>
      </c>
      <c r="D148" s="2">
        <f>HYPERLINK("https://torgi.gov.ru/new/public/lots/lot/21000007690000000007_1/(lotInfo:info)", "21000007690000000007_1")</f>
        <v>0</v>
      </c>
      <c r="E148" t="s">
        <v>167</v>
      </c>
      <c r="F148" s="3" t="s">
        <v>576</v>
      </c>
      <c r="G148" t="s">
        <v>848</v>
      </c>
      <c r="H148" s="4">
        <v>1920000</v>
      </c>
      <c r="I148" s="4">
        <v>23703.7037037037</v>
      </c>
      <c r="J148" s="5">
        <v>12.64</v>
      </c>
      <c r="K148" s="5">
        <v>14.08</v>
      </c>
      <c r="L148" s="4">
        <v>1580.2</v>
      </c>
      <c r="M148">
        <v>1875</v>
      </c>
      <c r="N148">
        <v>1683</v>
      </c>
      <c r="O148">
        <v>15</v>
      </c>
      <c r="P148" s="6">
        <v>200</v>
      </c>
      <c r="Q148" t="s">
        <v>1162</v>
      </c>
      <c r="R148" t="s">
        <v>1164</v>
      </c>
      <c r="S148" s="2">
        <f>HYPERLINK("https://yandex.ru/maps/?&amp;text=64.616518, 40.49626", "64.616518, 40.49626")</f>
        <v>0</v>
      </c>
      <c r="T148" s="2">
        <f>HYPERLINK("D:\torgi_project\venv_torgi\cache\objs_in_district/64.616518_40.49626.json", "64.616518_40.49626.json")</f>
        <v>0</v>
      </c>
      <c r="U148" t="s">
        <v>1302</v>
      </c>
      <c r="V148" s="7" t="s">
        <v>1628</v>
      </c>
    </row>
    <row r="149" spans="1:22">
      <c r="A149" s="8">
        <v>147</v>
      </c>
      <c r="B149">
        <v>29</v>
      </c>
      <c r="C149" s="1">
        <v>38.1</v>
      </c>
      <c r="D149" s="2">
        <f>HYPERLINK("https://torgi.gov.ru/new/public/lots/lot/21000015630000000157_4/(lotInfo:info)", "21000015630000000157_4")</f>
        <v>0</v>
      </c>
      <c r="E149" t="s">
        <v>168</v>
      </c>
      <c r="F149" s="3" t="s">
        <v>577</v>
      </c>
      <c r="G149" t="s">
        <v>849</v>
      </c>
      <c r="H149" s="4">
        <v>2112505</v>
      </c>
      <c r="I149" s="4">
        <v>55446.32545931758</v>
      </c>
      <c r="J149" s="5">
        <v>27.61</v>
      </c>
      <c r="K149" s="5">
        <v>18.11</v>
      </c>
      <c r="L149" s="4">
        <v>543.59</v>
      </c>
      <c r="M149">
        <v>2008</v>
      </c>
      <c r="N149">
        <v>3062</v>
      </c>
      <c r="O149">
        <v>102</v>
      </c>
      <c r="Q149" t="s">
        <v>1161</v>
      </c>
      <c r="R149" t="s">
        <v>1165</v>
      </c>
      <c r="S149" s="2">
        <f>HYPERLINK("https://yandex.ru/maps/?&amp;text=64.528955, 40.567146", "64.528955, 40.567146")</f>
        <v>0</v>
      </c>
      <c r="T149" s="2">
        <f>HYPERLINK("D:\torgi_project\venv_torgi\cache\objs_in_district/64.528955_40.567146.json", "64.528955_40.567146.json")</f>
        <v>0</v>
      </c>
      <c r="U149" t="s">
        <v>1303</v>
      </c>
      <c r="V149" s="7" t="s">
        <v>1628</v>
      </c>
    </row>
    <row r="150" spans="1:22">
      <c r="A150" s="8">
        <v>148</v>
      </c>
      <c r="B150">
        <v>29</v>
      </c>
      <c r="C150" s="1">
        <v>10.3</v>
      </c>
      <c r="D150" s="2">
        <f>HYPERLINK("https://torgi.gov.ru/new/public/lots/lot/21000015630000000157_3/(lotInfo:info)", "21000015630000000157_3")</f>
        <v>0</v>
      </c>
      <c r="E150" t="s">
        <v>169</v>
      </c>
      <c r="F150" s="3" t="s">
        <v>577</v>
      </c>
      <c r="G150" t="s">
        <v>849</v>
      </c>
      <c r="H150" s="4">
        <v>674645</v>
      </c>
      <c r="I150" s="4">
        <v>65499.51456310679</v>
      </c>
      <c r="J150" s="5">
        <v>32.62</v>
      </c>
      <c r="K150" s="5">
        <v>21.39</v>
      </c>
      <c r="L150" s="4">
        <v>642.15</v>
      </c>
      <c r="M150">
        <v>2008</v>
      </c>
      <c r="N150">
        <v>3062</v>
      </c>
      <c r="O150">
        <v>102</v>
      </c>
      <c r="Q150" t="s">
        <v>1161</v>
      </c>
      <c r="R150" t="s">
        <v>1165</v>
      </c>
      <c r="S150" s="2">
        <f>HYPERLINK("https://yandex.ru/maps/?&amp;text=64.528955, 40.567146", "64.528955, 40.567146")</f>
        <v>0</v>
      </c>
      <c r="T150" s="2">
        <f>HYPERLINK("D:\torgi_project\venv_torgi\cache\objs_in_district/64.528955_40.567146.json", "64.528955_40.567146.json")</f>
        <v>0</v>
      </c>
      <c r="U150" t="s">
        <v>1304</v>
      </c>
      <c r="V150" s="7" t="s">
        <v>1628</v>
      </c>
    </row>
    <row r="151" spans="1:22">
      <c r="A151" s="8">
        <v>149</v>
      </c>
      <c r="B151">
        <v>30</v>
      </c>
      <c r="C151" s="1">
        <v>87.90000000000001</v>
      </c>
      <c r="D151" s="2">
        <f>HYPERLINK("https://torgi.gov.ru/new/public/lots/lot/21000021980000000016_3/(lotInfo:info)", "21000021980000000016_3")</f>
        <v>0</v>
      </c>
      <c r="E151" t="s">
        <v>170</v>
      </c>
      <c r="F151" s="3" t="s">
        <v>578</v>
      </c>
      <c r="G151" t="s">
        <v>850</v>
      </c>
      <c r="H151" s="4">
        <v>1152000</v>
      </c>
      <c r="I151" s="4">
        <v>13105.80204778157</v>
      </c>
      <c r="J151" s="5">
        <v>3.02</v>
      </c>
      <c r="K151" s="5">
        <v>5.86</v>
      </c>
      <c r="L151" s="4">
        <v>655.25</v>
      </c>
      <c r="M151">
        <v>4338</v>
      </c>
      <c r="N151">
        <v>2236</v>
      </c>
      <c r="O151">
        <v>20</v>
      </c>
      <c r="P151" s="6">
        <v>500</v>
      </c>
      <c r="Q151" t="s">
        <v>1162</v>
      </c>
      <c r="R151" t="s">
        <v>1164</v>
      </c>
      <c r="S151" s="2">
        <f>HYPERLINK("https://yandex.ru/maps/?&amp;text=46.346868, 48.050822", "46.346868, 48.050822")</f>
        <v>0</v>
      </c>
      <c r="T151" s="2">
        <f>HYPERLINK("D:\torgi_project\venv_torgi\cache\objs_in_district/46.346868_48.050822.json", "46.346868_48.050822.json")</f>
        <v>0</v>
      </c>
      <c r="U151" t="s">
        <v>1305</v>
      </c>
      <c r="V151" s="7" t="s">
        <v>1629</v>
      </c>
    </row>
    <row r="152" spans="1:22">
      <c r="A152" s="8">
        <v>150</v>
      </c>
      <c r="B152">
        <v>30</v>
      </c>
      <c r="C152" s="1">
        <v>39</v>
      </c>
      <c r="D152" s="2">
        <f>HYPERLINK("https://torgi.gov.ru/new/public/lots/lot/21000021980000000016_1/(lotInfo:info)", "21000021980000000016_1")</f>
        <v>0</v>
      </c>
      <c r="E152" t="s">
        <v>171</v>
      </c>
      <c r="F152" s="3" t="s">
        <v>578</v>
      </c>
      <c r="G152" t="s">
        <v>851</v>
      </c>
      <c r="H152" s="4">
        <v>548000</v>
      </c>
      <c r="I152" s="4">
        <v>14051.28205128205</v>
      </c>
      <c r="J152" s="5">
        <v>3.65</v>
      </c>
      <c r="K152" s="5">
        <v>5.57</v>
      </c>
      <c r="L152" s="4">
        <v>826.53</v>
      </c>
      <c r="M152">
        <v>3849</v>
      </c>
      <c r="N152">
        <v>2523</v>
      </c>
      <c r="O152">
        <v>17</v>
      </c>
      <c r="P152" s="6">
        <v>800</v>
      </c>
      <c r="Q152" t="s">
        <v>1162</v>
      </c>
      <c r="R152" t="s">
        <v>1164</v>
      </c>
      <c r="S152" s="2">
        <f>HYPERLINK("https://yandex.ru/maps/?&amp;text=46.403082, 48.098567", "46.403082, 48.098567")</f>
        <v>0</v>
      </c>
      <c r="T152" s="2">
        <f>HYPERLINK("D:\torgi_project\venv_torgi\cache\objs_in_district/46.403082_48.098567.json", "46.403082_48.098567.json")</f>
        <v>0</v>
      </c>
      <c r="U152" t="s">
        <v>1306</v>
      </c>
      <c r="V152" s="7" t="s">
        <v>1628</v>
      </c>
    </row>
    <row r="153" spans="1:22">
      <c r="A153" s="8">
        <v>151</v>
      </c>
      <c r="B153">
        <v>30</v>
      </c>
      <c r="C153" s="1">
        <v>178.4</v>
      </c>
      <c r="D153" s="2">
        <f>HYPERLINK("https://torgi.gov.ru/new/public/lots/lot/21000021980000000016_2/(lotInfo:info)", "21000021980000000016_2")</f>
        <v>0</v>
      </c>
      <c r="E153" t="s">
        <v>172</v>
      </c>
      <c r="F153" s="3" t="s">
        <v>578</v>
      </c>
      <c r="G153" t="s">
        <v>852</v>
      </c>
      <c r="H153" s="4">
        <v>2534000</v>
      </c>
      <c r="I153" s="4">
        <v>14204.03587443946</v>
      </c>
      <c r="J153" s="5">
        <v>3.69</v>
      </c>
      <c r="K153" s="5">
        <v>5.63</v>
      </c>
      <c r="L153" s="4">
        <v>835.53</v>
      </c>
      <c r="M153">
        <v>3849</v>
      </c>
      <c r="N153">
        <v>2523</v>
      </c>
      <c r="O153">
        <v>17</v>
      </c>
      <c r="P153" s="6">
        <v>800</v>
      </c>
      <c r="Q153" t="s">
        <v>1162</v>
      </c>
      <c r="R153" t="s">
        <v>1164</v>
      </c>
      <c r="S153" s="2">
        <f>HYPERLINK("https://yandex.ru/maps/?&amp;text=46.403082, 48.098567", "46.403082, 48.098567")</f>
        <v>0</v>
      </c>
      <c r="T153" s="2">
        <f>HYPERLINK("D:\torgi_project\venv_torgi\cache\objs_in_district/46.403082_48.098567.json", "46.403082_48.098567.json")</f>
        <v>0</v>
      </c>
      <c r="U153" t="s">
        <v>1307</v>
      </c>
      <c r="V153" s="7" t="s">
        <v>1628</v>
      </c>
    </row>
    <row r="154" spans="1:22">
      <c r="A154" s="8">
        <v>152</v>
      </c>
      <c r="B154">
        <v>30</v>
      </c>
      <c r="C154" s="1">
        <v>130.1</v>
      </c>
      <c r="D154" s="2">
        <f>HYPERLINK("https://torgi.gov.ru/new/public/lots/lot/21000002210000000855_1/(lotInfo:info)", "21000002210000000855_1")</f>
        <v>0</v>
      </c>
      <c r="E154" t="s">
        <v>173</v>
      </c>
      <c r="F154" s="3" t="s">
        <v>579</v>
      </c>
      <c r="G154" t="s">
        <v>853</v>
      </c>
      <c r="H154" s="4">
        <v>1871000</v>
      </c>
      <c r="I154" s="4">
        <v>14381.24519600308</v>
      </c>
      <c r="J154" s="5">
        <v>10.3</v>
      </c>
      <c r="K154" s="5">
        <v>19.81</v>
      </c>
      <c r="L154" s="4">
        <v>1027.21</v>
      </c>
      <c r="M154">
        <v>1396</v>
      </c>
      <c r="N154">
        <v>726</v>
      </c>
      <c r="O154">
        <v>14</v>
      </c>
      <c r="Q154" t="s">
        <v>1161</v>
      </c>
      <c r="R154" t="s">
        <v>1164</v>
      </c>
      <c r="S154" s="2">
        <f>HYPERLINK("https://yandex.ru/maps/?&amp;text=45.785231, 47.225944", "45.785231, 47.225944")</f>
        <v>0</v>
      </c>
      <c r="T154" s="2">
        <f>HYPERLINK("D:\torgi_project\venv_torgi\cache\objs_in_district/45.785231_47.225944.json", "45.785231_47.225944.json")</f>
        <v>0</v>
      </c>
      <c r="U154" t="s">
        <v>1308</v>
      </c>
      <c r="V154" s="7" t="s">
        <v>1628</v>
      </c>
    </row>
    <row r="155" spans="1:22">
      <c r="A155" s="8">
        <v>153</v>
      </c>
      <c r="B155">
        <v>30</v>
      </c>
      <c r="C155" s="1">
        <v>159.1</v>
      </c>
      <c r="D155" s="2">
        <f>HYPERLINK("https://torgi.gov.ru/new/public/lots/lot/21000021980000000016_4/(lotInfo:info)", "21000021980000000016_4")</f>
        <v>0</v>
      </c>
      <c r="E155" t="s">
        <v>174</v>
      </c>
      <c r="F155" s="3" t="s">
        <v>578</v>
      </c>
      <c r="G155" t="s">
        <v>854</v>
      </c>
      <c r="H155" s="4">
        <v>2850000</v>
      </c>
      <c r="I155" s="4">
        <v>17913.26209930861</v>
      </c>
      <c r="J155" s="5">
        <v>4.27</v>
      </c>
      <c r="K155" s="5">
        <v>5.26</v>
      </c>
      <c r="L155" s="4">
        <v>1194.2</v>
      </c>
      <c r="M155">
        <v>4197</v>
      </c>
      <c r="N155">
        <v>3405</v>
      </c>
      <c r="O155">
        <v>15</v>
      </c>
      <c r="P155" s="6">
        <v>800</v>
      </c>
      <c r="Q155" t="s">
        <v>1162</v>
      </c>
      <c r="R155" t="s">
        <v>1164</v>
      </c>
      <c r="S155" s="2">
        <f>HYPERLINK("https://yandex.ru/maps/?&amp;text=46.33528, 48.041615", "46.33528, 48.041615")</f>
        <v>0</v>
      </c>
      <c r="T155" s="2">
        <f>HYPERLINK("D:\torgi_project\venv_torgi\cache\objs_in_district/46.33528_48.041615.json", "46.33528_48.041615.json")</f>
        <v>0</v>
      </c>
      <c r="U155" t="s">
        <v>1309</v>
      </c>
      <c r="V155" s="7" t="s">
        <v>1628</v>
      </c>
    </row>
    <row r="156" spans="1:22">
      <c r="A156" s="8">
        <v>154</v>
      </c>
      <c r="B156">
        <v>30</v>
      </c>
      <c r="C156" s="1">
        <v>49.8</v>
      </c>
      <c r="D156" s="2">
        <f>HYPERLINK("https://torgi.gov.ru/new/public/lots/lot/21000021980000000018_1/(lotInfo:info)", "21000021980000000018_1")</f>
        <v>0</v>
      </c>
      <c r="E156" t="s">
        <v>175</v>
      </c>
      <c r="F156" s="3" t="s">
        <v>580</v>
      </c>
      <c r="G156" t="s">
        <v>855</v>
      </c>
      <c r="H156" s="4">
        <v>899000</v>
      </c>
      <c r="I156" s="4">
        <v>18052.20883534137</v>
      </c>
      <c r="J156" s="5">
        <v>8.08</v>
      </c>
      <c r="K156" s="5">
        <v>3008.67</v>
      </c>
      <c r="M156">
        <v>2235</v>
      </c>
      <c r="N156">
        <v>6</v>
      </c>
      <c r="O156">
        <v>0</v>
      </c>
      <c r="P156" s="6">
        <v>600</v>
      </c>
      <c r="Q156" t="s">
        <v>1162</v>
      </c>
      <c r="R156" t="s">
        <v>1164</v>
      </c>
      <c r="S156" s="2">
        <f>HYPERLINK("https://yandex.ru/maps/?&amp;text=46.406922, 48.008412", "46.406922, 48.008412")</f>
        <v>0</v>
      </c>
      <c r="U156" t="s">
        <v>1310</v>
      </c>
      <c r="V156" s="7" t="s">
        <v>1628</v>
      </c>
    </row>
    <row r="157" spans="1:22">
      <c r="A157" s="8">
        <v>155</v>
      </c>
      <c r="B157">
        <v>30</v>
      </c>
      <c r="C157" s="1">
        <v>77.09999999999999</v>
      </c>
      <c r="D157" s="2">
        <f>HYPERLINK("https://torgi.gov.ru/new/public/lots/lot/21000021980000000018_2/(lotInfo:info)", "21000021980000000018_2")</f>
        <v>0</v>
      </c>
      <c r="E157" t="s">
        <v>176</v>
      </c>
      <c r="F157" s="3" t="s">
        <v>580</v>
      </c>
      <c r="G157" t="s">
        <v>856</v>
      </c>
      <c r="H157" s="4">
        <v>1406000</v>
      </c>
      <c r="I157" s="4">
        <v>18236.05706874189</v>
      </c>
      <c r="J157" s="5">
        <v>8</v>
      </c>
      <c r="K157" s="5">
        <v>31.01</v>
      </c>
      <c r="M157">
        <v>2279</v>
      </c>
      <c r="N157">
        <v>588</v>
      </c>
      <c r="O157">
        <v>0</v>
      </c>
      <c r="P157" s="6">
        <v>700</v>
      </c>
      <c r="Q157" t="s">
        <v>1162</v>
      </c>
      <c r="R157" t="s">
        <v>1164</v>
      </c>
      <c r="S157" s="2">
        <f>HYPERLINK("https://yandex.ru/maps/?&amp;text=46.283072, 47.944524", "46.283072, 47.944524")</f>
        <v>0</v>
      </c>
      <c r="U157" t="s">
        <v>1311</v>
      </c>
      <c r="V157" s="7" t="s">
        <v>1628</v>
      </c>
    </row>
    <row r="158" spans="1:22">
      <c r="A158" s="8">
        <v>156</v>
      </c>
      <c r="B158">
        <v>30</v>
      </c>
      <c r="C158" s="1">
        <v>39</v>
      </c>
      <c r="D158" s="2">
        <f>HYPERLINK("https://torgi.gov.ru/new/public/lots/lot/21000021980000000019_6/(lotInfo:info)", "21000021980000000019_6")</f>
        <v>0</v>
      </c>
      <c r="E158" t="s">
        <v>177</v>
      </c>
      <c r="F158" s="3" t="s">
        <v>508</v>
      </c>
      <c r="G158" t="s">
        <v>857</v>
      </c>
      <c r="H158" s="4">
        <v>783000</v>
      </c>
      <c r="I158" s="4">
        <v>20076.92307692308</v>
      </c>
      <c r="J158" s="5">
        <v>4.44</v>
      </c>
      <c r="K158" s="5">
        <v>71.95999999999999</v>
      </c>
      <c r="M158">
        <v>4525</v>
      </c>
      <c r="N158">
        <v>279</v>
      </c>
      <c r="O158">
        <v>0</v>
      </c>
      <c r="P158" s="6">
        <v>1100</v>
      </c>
      <c r="Q158" t="s">
        <v>1161</v>
      </c>
      <c r="R158" t="s">
        <v>1164</v>
      </c>
      <c r="S158" s="2">
        <f>HYPERLINK("https://yandex.ru/maps/?&amp;text=46.314217, 48.032963", "46.314217, 48.032963")</f>
        <v>0</v>
      </c>
      <c r="U158" t="s">
        <v>1312</v>
      </c>
      <c r="V158" s="7" t="s">
        <v>1628</v>
      </c>
    </row>
    <row r="159" spans="1:22">
      <c r="A159" s="8">
        <v>157</v>
      </c>
      <c r="B159">
        <v>31</v>
      </c>
      <c r="C159" s="1">
        <v>367.7</v>
      </c>
      <c r="D159" s="2">
        <f>HYPERLINK("https://torgi.gov.ru/new/public/lots/lot/21000016390000000105_8/(lotInfo:info)", "21000016390000000105_8")</f>
        <v>0</v>
      </c>
      <c r="E159" t="s">
        <v>178</v>
      </c>
      <c r="F159" s="3" t="s">
        <v>581</v>
      </c>
      <c r="G159" t="s">
        <v>858</v>
      </c>
      <c r="H159" s="4">
        <v>5433452</v>
      </c>
      <c r="I159" s="4">
        <v>14776.86157193364</v>
      </c>
      <c r="J159" s="5">
        <v>220.54</v>
      </c>
      <c r="M159">
        <v>67</v>
      </c>
      <c r="P159" s="6">
        <v>5000</v>
      </c>
      <c r="Q159" t="s">
        <v>1161</v>
      </c>
      <c r="R159" t="s">
        <v>1165</v>
      </c>
      <c r="S159" s="2">
        <f>HYPERLINK("https://yandex.ru/maps/?&amp;text=51.020121, 36.122569", "51.020121, 36.122569")</f>
        <v>0</v>
      </c>
      <c r="U159" t="s">
        <v>1313</v>
      </c>
      <c r="V159" s="7" t="s">
        <v>1628</v>
      </c>
    </row>
    <row r="160" spans="1:22">
      <c r="A160" s="8">
        <v>158</v>
      </c>
      <c r="B160">
        <v>31</v>
      </c>
      <c r="C160" s="1">
        <v>190.9</v>
      </c>
      <c r="D160" s="2">
        <f>HYPERLINK("https://torgi.gov.ru/new/public/lots/lot/21000016390000000117_5/(lotInfo:info)", "21000016390000000117_5")</f>
        <v>0</v>
      </c>
      <c r="E160" t="s">
        <v>179</v>
      </c>
      <c r="F160" s="3" t="s">
        <v>582</v>
      </c>
      <c r="G160" t="s">
        <v>859</v>
      </c>
      <c r="H160" s="4">
        <v>4535228</v>
      </c>
      <c r="I160" s="4">
        <v>23757.08748035621</v>
      </c>
      <c r="J160" s="5">
        <v>54.61</v>
      </c>
      <c r="M160">
        <v>435</v>
      </c>
      <c r="P160" s="6">
        <v>600</v>
      </c>
      <c r="Q160" t="s">
        <v>1161</v>
      </c>
      <c r="R160" t="s">
        <v>1165</v>
      </c>
      <c r="S160" s="2">
        <f>HYPERLINK("https://yandex.ru/maps/?&amp;text=50.580682, 35.908959", "50.580682, 35.908959")</f>
        <v>0</v>
      </c>
      <c r="U160" t="s">
        <v>1314</v>
      </c>
    </row>
    <row r="161" spans="1:22">
      <c r="A161" s="8">
        <v>159</v>
      </c>
      <c r="B161">
        <v>31</v>
      </c>
      <c r="C161" s="1">
        <v>62.7</v>
      </c>
      <c r="D161" s="2">
        <f>HYPERLINK("https://torgi.gov.ru/new/public/lots/lot/21000016390000000117_10/(lotInfo:info)", "21000016390000000117_10")</f>
        <v>0</v>
      </c>
      <c r="E161" t="s">
        <v>180</v>
      </c>
      <c r="F161" s="3" t="s">
        <v>582</v>
      </c>
      <c r="G161" t="s">
        <v>860</v>
      </c>
      <c r="H161" s="4">
        <v>2158447.5</v>
      </c>
      <c r="I161" s="4">
        <v>34425</v>
      </c>
      <c r="J161" s="5">
        <v>21.24</v>
      </c>
      <c r="K161" s="5">
        <v>8.630000000000001</v>
      </c>
      <c r="L161" s="4">
        <v>2458.93</v>
      </c>
      <c r="M161">
        <v>1621</v>
      </c>
      <c r="N161">
        <v>3987</v>
      </c>
      <c r="O161">
        <v>14</v>
      </c>
      <c r="P161" s="6">
        <v>700</v>
      </c>
      <c r="Q161" t="s">
        <v>1161</v>
      </c>
      <c r="R161" t="s">
        <v>1165</v>
      </c>
      <c r="S161" s="2">
        <f>HYPERLINK("https://yandex.ru/maps/?&amp;text=50.585224, 36.672976", "50.585224, 36.672976")</f>
        <v>0</v>
      </c>
      <c r="T161" s="2">
        <f>HYPERLINK("D:\torgi_project\venv_torgi\cache\objs_in_district/50.585224_36.672976.json", "50.585224_36.672976.json")</f>
        <v>0</v>
      </c>
      <c r="U161" t="s">
        <v>1315</v>
      </c>
    </row>
    <row r="162" spans="1:22">
      <c r="A162" s="8">
        <v>160</v>
      </c>
      <c r="B162">
        <v>31</v>
      </c>
      <c r="C162" s="1">
        <v>95.40000000000001</v>
      </c>
      <c r="D162" s="2">
        <f>HYPERLINK("https://torgi.gov.ru/new/public/lots/lot/21000016390000000108_10/(lotInfo:info)", "21000016390000000108_10")</f>
        <v>0</v>
      </c>
      <c r="E162" t="s">
        <v>181</v>
      </c>
      <c r="F162" s="3" t="s">
        <v>583</v>
      </c>
      <c r="G162" t="s">
        <v>861</v>
      </c>
      <c r="H162" s="4">
        <v>3324690</v>
      </c>
      <c r="I162" s="4">
        <v>34850</v>
      </c>
      <c r="J162" s="5">
        <v>79.38</v>
      </c>
      <c r="K162" s="5">
        <v>41.34</v>
      </c>
      <c r="M162">
        <v>439</v>
      </c>
      <c r="N162">
        <v>843</v>
      </c>
      <c r="O162">
        <v>0</v>
      </c>
      <c r="P162" s="6">
        <v>800</v>
      </c>
      <c r="Q162" t="s">
        <v>1161</v>
      </c>
      <c r="R162" t="s">
        <v>1165</v>
      </c>
      <c r="S162" s="2">
        <f>HYPERLINK("https://yandex.ru/maps/?&amp;text=50.524784, 36.463364", "50.524784, 36.463364")</f>
        <v>0</v>
      </c>
      <c r="U162" t="s">
        <v>1316</v>
      </c>
    </row>
    <row r="163" spans="1:22">
      <c r="A163" s="8">
        <v>161</v>
      </c>
      <c r="B163">
        <v>31</v>
      </c>
      <c r="C163" s="1">
        <v>17.8</v>
      </c>
      <c r="D163" s="2">
        <f>HYPERLINK("https://torgi.gov.ru/new/public/lots/lot/22000028620000000007_1/(lotInfo:info)", "22000028620000000007_1")</f>
        <v>0</v>
      </c>
      <c r="E163" t="s">
        <v>182</v>
      </c>
      <c r="F163" s="3" t="s">
        <v>584</v>
      </c>
      <c r="G163" t="s">
        <v>862</v>
      </c>
      <c r="H163" s="4">
        <v>750000</v>
      </c>
      <c r="I163" s="4">
        <v>42134.83146067416</v>
      </c>
      <c r="J163" s="5">
        <v>58.2</v>
      </c>
      <c r="K163" s="5">
        <v>360.12</v>
      </c>
      <c r="L163" s="4">
        <v>2808.93</v>
      </c>
      <c r="M163">
        <v>724</v>
      </c>
      <c r="N163">
        <v>117</v>
      </c>
      <c r="O163">
        <v>15</v>
      </c>
      <c r="P163" s="6">
        <v>1000</v>
      </c>
      <c r="Q163" t="s">
        <v>1161</v>
      </c>
      <c r="R163" t="s">
        <v>1164</v>
      </c>
      <c r="S163" s="2">
        <f>HYPERLINK("https://yandex.ru/maps/?&amp;text=50.627555, 38.698506", "50.627555, 38.698506")</f>
        <v>0</v>
      </c>
      <c r="T163" s="2">
        <f>HYPERLINK("D:\torgi_project\venv_torgi\cache\objs_in_district/50.627555_38.698506.json", "50.627555_38.698506.json")</f>
        <v>0</v>
      </c>
      <c r="U163" t="s">
        <v>1317</v>
      </c>
    </row>
    <row r="164" spans="1:22">
      <c r="A164" s="8">
        <v>162</v>
      </c>
      <c r="B164">
        <v>31</v>
      </c>
      <c r="C164" s="1">
        <v>160.3</v>
      </c>
      <c r="D164" s="2">
        <f>HYPERLINK("https://torgi.gov.ru/new/public/lots/lot/21000026630000000013_1/(lotInfo:info)", "21000026630000000013_1")</f>
        <v>0</v>
      </c>
      <c r="E164" t="s">
        <v>183</v>
      </c>
      <c r="F164" s="3" t="s">
        <v>585</v>
      </c>
      <c r="G164" t="s">
        <v>863</v>
      </c>
      <c r="H164" s="4">
        <v>7015400</v>
      </c>
      <c r="I164" s="4">
        <v>43764.19213973798</v>
      </c>
      <c r="J164" s="5">
        <v>41.96</v>
      </c>
      <c r="K164" s="5">
        <v>5.3</v>
      </c>
      <c r="L164" s="4">
        <v>460.67</v>
      </c>
      <c r="M164">
        <v>1043</v>
      </c>
      <c r="N164">
        <v>8265</v>
      </c>
      <c r="O164">
        <v>95</v>
      </c>
      <c r="P164" s="6">
        <v>300</v>
      </c>
      <c r="Q164" t="s">
        <v>1161</v>
      </c>
      <c r="R164" t="s">
        <v>1164</v>
      </c>
      <c r="S164" s="2">
        <f>HYPERLINK("https://yandex.ru/maps/?&amp;text=51.28618, 37.80576", "51.28618, 37.80576")</f>
        <v>0</v>
      </c>
      <c r="T164" s="2">
        <f>HYPERLINK("D:\torgi_project\venv_torgi\cache\objs_in_district/51.28618_37.80576.json", "51.28618_37.80576.json")</f>
        <v>0</v>
      </c>
      <c r="U164" t="s">
        <v>1318</v>
      </c>
      <c r="V164" s="7" t="s">
        <v>1628</v>
      </c>
    </row>
    <row r="165" spans="1:22">
      <c r="A165" s="8">
        <v>163</v>
      </c>
      <c r="B165">
        <v>31</v>
      </c>
      <c r="C165" s="1">
        <v>159.1</v>
      </c>
      <c r="D165" s="2">
        <f>HYPERLINK("https://torgi.gov.ru/new/public/lots/lot/21000016390000000105_6/(lotInfo:info)", "21000016390000000105_6")</f>
        <v>0</v>
      </c>
      <c r="E165" t="s">
        <v>184</v>
      </c>
      <c r="F165" s="3" t="s">
        <v>581</v>
      </c>
      <c r="G165" t="s">
        <v>864</v>
      </c>
      <c r="H165" s="4">
        <v>9466450</v>
      </c>
      <c r="I165" s="4">
        <v>59500</v>
      </c>
      <c r="J165" s="5">
        <v>20.92</v>
      </c>
      <c r="K165" s="5">
        <v>13.41</v>
      </c>
      <c r="L165" s="4">
        <v>2833.33</v>
      </c>
      <c r="M165">
        <v>2844</v>
      </c>
      <c r="N165">
        <v>4437</v>
      </c>
      <c r="O165">
        <v>21</v>
      </c>
      <c r="P165" s="6">
        <v>1000</v>
      </c>
      <c r="Q165" t="s">
        <v>1161</v>
      </c>
      <c r="R165" t="s">
        <v>1165</v>
      </c>
      <c r="S165" s="2">
        <f>HYPERLINK("https://yandex.ru/maps/?&amp;text=50.561735, 36.577629", "50.561735, 36.577629")</f>
        <v>0</v>
      </c>
      <c r="T165" s="2">
        <f>HYPERLINK("D:\torgi_project\venv_torgi\cache\objs_in_district/50.561735_36.577629.json", "50.561735_36.577629.json")</f>
        <v>0</v>
      </c>
      <c r="U165" t="s">
        <v>1319</v>
      </c>
    </row>
    <row r="166" spans="1:22">
      <c r="A166" s="8">
        <v>164</v>
      </c>
      <c r="B166">
        <v>31</v>
      </c>
      <c r="C166" s="1">
        <v>126.3</v>
      </c>
      <c r="D166" s="2">
        <f>HYPERLINK("https://torgi.gov.ru/new/public/lots/lot/21000016390000000103_2/(lotInfo:info)", "21000016390000000103_2")</f>
        <v>0</v>
      </c>
      <c r="E166" t="s">
        <v>185</v>
      </c>
      <c r="F166" s="3" t="s">
        <v>551</v>
      </c>
      <c r="G166" t="s">
        <v>865</v>
      </c>
      <c r="H166" s="4">
        <v>8985613.5</v>
      </c>
      <c r="I166" s="4">
        <v>71145</v>
      </c>
      <c r="J166" s="5">
        <v>29.09</v>
      </c>
      <c r="K166" s="5">
        <v>23.91</v>
      </c>
      <c r="L166" s="4">
        <v>3557.25</v>
      </c>
      <c r="M166">
        <v>2446</v>
      </c>
      <c r="N166">
        <v>2976</v>
      </c>
      <c r="O166">
        <v>20</v>
      </c>
      <c r="P166" s="6">
        <v>1200</v>
      </c>
      <c r="Q166" t="s">
        <v>1161</v>
      </c>
      <c r="R166" t="s">
        <v>1165</v>
      </c>
      <c r="S166" s="2">
        <f>HYPERLINK("https://yandex.ru/maps/?&amp;text=50.557796, 36.578087", "50.557796, 36.578087")</f>
        <v>0</v>
      </c>
      <c r="T166" s="2">
        <f>HYPERLINK("D:\torgi_project\venv_torgi\cache\objs_in_district/50.557796_36.578087.json", "50.557796_36.578087.json")</f>
        <v>0</v>
      </c>
      <c r="U166" t="s">
        <v>1320</v>
      </c>
    </row>
    <row r="167" spans="1:22">
      <c r="A167" s="8">
        <v>165</v>
      </c>
      <c r="B167">
        <v>31</v>
      </c>
      <c r="C167" s="1">
        <v>45.7</v>
      </c>
      <c r="D167" s="2">
        <f>HYPERLINK("https://torgi.gov.ru/new/public/lots/lot/21000016390000000105_7/(lotInfo:info)", "21000016390000000105_7")</f>
        <v>0</v>
      </c>
      <c r="E167" t="s">
        <v>186</v>
      </c>
      <c r="F167" s="3" t="s">
        <v>581</v>
      </c>
      <c r="G167" t="s">
        <v>866</v>
      </c>
      <c r="H167" s="4">
        <v>4899040</v>
      </c>
      <c r="I167" s="4">
        <v>107200</v>
      </c>
      <c r="J167" s="5">
        <v>31.77</v>
      </c>
      <c r="K167" s="5">
        <v>16.81</v>
      </c>
      <c r="L167" s="4">
        <v>1468.49</v>
      </c>
      <c r="M167">
        <v>3374</v>
      </c>
      <c r="N167">
        <v>6378</v>
      </c>
      <c r="O167">
        <v>73</v>
      </c>
      <c r="P167" s="6">
        <v>400</v>
      </c>
      <c r="Q167" t="s">
        <v>1161</v>
      </c>
      <c r="R167" t="s">
        <v>1165</v>
      </c>
      <c r="S167" s="2">
        <f>HYPERLINK("https://yandex.ru/maps/?&amp;text=50.601486, 36.58592", "50.601486, 36.58592")</f>
        <v>0</v>
      </c>
      <c r="T167" s="2">
        <f>HYPERLINK("D:\torgi_project\venv_torgi\cache\objs_in_district/50.601486_36.58592.json", "50.601486_36.58592.json")</f>
        <v>0</v>
      </c>
      <c r="U167" t="s">
        <v>1321</v>
      </c>
    </row>
    <row r="168" spans="1:22">
      <c r="A168" s="8">
        <v>166</v>
      </c>
      <c r="B168">
        <v>32</v>
      </c>
      <c r="C168" s="1">
        <v>130.7</v>
      </c>
      <c r="D168" s="2">
        <f>HYPERLINK("https://torgi.gov.ru/new/public/lots/lot/21000026170000000008_2/(lotInfo:info)", "21000026170000000008_2")</f>
        <v>0</v>
      </c>
      <c r="E168" t="s">
        <v>187</v>
      </c>
      <c r="F168" s="3" t="s">
        <v>586</v>
      </c>
      <c r="G168" t="s">
        <v>867</v>
      </c>
      <c r="H168" s="4">
        <v>670560</v>
      </c>
      <c r="I168" s="4">
        <v>5130.52792654935</v>
      </c>
      <c r="J168" s="5">
        <v>3.04</v>
      </c>
      <c r="K168" s="5">
        <v>1.69</v>
      </c>
      <c r="L168" s="4">
        <v>51.82</v>
      </c>
      <c r="M168">
        <v>1690</v>
      </c>
      <c r="N168">
        <v>3039</v>
      </c>
      <c r="O168">
        <v>99</v>
      </c>
      <c r="P168" s="6">
        <v>100</v>
      </c>
      <c r="Q168" t="s">
        <v>1161</v>
      </c>
      <c r="R168" t="s">
        <v>1164</v>
      </c>
      <c r="S168" s="2">
        <f>HYPERLINK("https://yandex.ru/maps/?&amp;text=52.534065, 31.929647", "52.534065, 31.929647")</f>
        <v>0</v>
      </c>
      <c r="T168" s="2">
        <f>HYPERLINK("D:\torgi_project\venv_torgi\cache\objs_in_district/52.534065_31.929647.json", "52.534065_31.929647.json")</f>
        <v>0</v>
      </c>
      <c r="U168" t="s">
        <v>1322</v>
      </c>
      <c r="V168" s="7" t="s">
        <v>1630</v>
      </c>
    </row>
    <row r="169" spans="1:22">
      <c r="A169" s="8">
        <v>167</v>
      </c>
      <c r="B169">
        <v>32</v>
      </c>
      <c r="C169" s="1">
        <v>138</v>
      </c>
      <c r="D169" s="2">
        <f>HYPERLINK("https://torgi.gov.ru/new/public/lots/lot/21000026170000000008_4/(lotInfo:info)", "21000026170000000008_4")</f>
        <v>0</v>
      </c>
      <c r="E169" t="s">
        <v>188</v>
      </c>
      <c r="F169" s="3" t="s">
        <v>586</v>
      </c>
      <c r="G169" t="s">
        <v>867</v>
      </c>
      <c r="H169" s="4">
        <v>747840</v>
      </c>
      <c r="I169" s="4">
        <v>5419.130434782609</v>
      </c>
      <c r="J169" s="5">
        <v>3.21</v>
      </c>
      <c r="K169" s="5">
        <v>1.78</v>
      </c>
      <c r="L169" s="4">
        <v>54.74</v>
      </c>
      <c r="M169">
        <v>1690</v>
      </c>
      <c r="N169">
        <v>3039</v>
      </c>
      <c r="O169">
        <v>99</v>
      </c>
      <c r="P169" s="6">
        <v>100</v>
      </c>
      <c r="Q169" t="s">
        <v>1161</v>
      </c>
      <c r="R169" t="s">
        <v>1164</v>
      </c>
      <c r="S169" s="2">
        <f>HYPERLINK("https://yandex.ru/maps/?&amp;text=52.534065, 31.929647", "52.534065, 31.929647")</f>
        <v>0</v>
      </c>
      <c r="T169" s="2">
        <f>HYPERLINK("D:\torgi_project\venv_torgi\cache\objs_in_district/52.534065_31.929647.json", "52.534065_31.929647.json")</f>
        <v>0</v>
      </c>
      <c r="U169" t="s">
        <v>1323</v>
      </c>
      <c r="V169" s="7" t="s">
        <v>1630</v>
      </c>
    </row>
    <row r="170" spans="1:22">
      <c r="A170" s="8">
        <v>168</v>
      </c>
      <c r="B170">
        <v>32</v>
      </c>
      <c r="C170" s="1">
        <v>261.6</v>
      </c>
      <c r="D170" s="2">
        <f>HYPERLINK("https://torgi.gov.ru/new/public/lots/lot/21000008500000000175_1/(lotInfo:info)", "21000008500000000175_1")</f>
        <v>0</v>
      </c>
      <c r="E170" t="s">
        <v>189</v>
      </c>
      <c r="F170" s="3" t="s">
        <v>587</v>
      </c>
      <c r="G170" t="s">
        <v>868</v>
      </c>
      <c r="H170" s="4">
        <v>2523263.84</v>
      </c>
      <c r="I170" s="4">
        <v>9645.503975535166</v>
      </c>
      <c r="J170" s="5">
        <v>101.53</v>
      </c>
      <c r="K170" s="5">
        <v>29.5</v>
      </c>
      <c r="L170" s="4">
        <v>1205.62</v>
      </c>
      <c r="M170">
        <v>95</v>
      </c>
      <c r="N170">
        <v>327</v>
      </c>
      <c r="O170">
        <v>8</v>
      </c>
      <c r="P170" s="6">
        <v>400</v>
      </c>
      <c r="Q170" t="s">
        <v>1161</v>
      </c>
      <c r="R170" t="s">
        <v>1164</v>
      </c>
      <c r="S170" s="2">
        <f>HYPERLINK("https://yandex.ru/maps/?&amp;text=53.344683, 34.308188", "53.344683, 34.308188")</f>
        <v>0</v>
      </c>
      <c r="T170" s="2">
        <f>HYPERLINK("D:\torgi_project\venv_torgi\cache\objs_in_district/53.344683_34.308188.json", "53.344683_34.308188.json")</f>
        <v>0</v>
      </c>
      <c r="U170" t="s">
        <v>1324</v>
      </c>
      <c r="V170" s="7" t="s">
        <v>1628</v>
      </c>
    </row>
    <row r="171" spans="1:22">
      <c r="A171" s="8">
        <v>169</v>
      </c>
      <c r="B171">
        <v>32</v>
      </c>
      <c r="C171" s="1">
        <v>495.7</v>
      </c>
      <c r="D171" s="2">
        <f>HYPERLINK("https://torgi.gov.ru/new/public/lots/lot/21000008500000000162_1/(lotInfo:info)", "21000008500000000162_1")</f>
        <v>0</v>
      </c>
      <c r="E171" t="s">
        <v>190</v>
      </c>
      <c r="F171" s="3" t="s">
        <v>553</v>
      </c>
      <c r="G171" t="s">
        <v>869</v>
      </c>
      <c r="H171" s="4">
        <v>5600000</v>
      </c>
      <c r="I171" s="4">
        <v>11297.15553762356</v>
      </c>
      <c r="J171" s="5">
        <v>2.14</v>
      </c>
      <c r="K171" s="5">
        <v>4.6</v>
      </c>
      <c r="L171" s="4">
        <v>664.53</v>
      </c>
      <c r="M171">
        <v>5287</v>
      </c>
      <c r="N171">
        <v>2457</v>
      </c>
      <c r="O171">
        <v>17</v>
      </c>
      <c r="P171" s="6">
        <v>900</v>
      </c>
      <c r="Q171" t="s">
        <v>1161</v>
      </c>
      <c r="R171" t="s">
        <v>1164</v>
      </c>
      <c r="S171" s="2">
        <f>HYPERLINK("https://yandex.ru/maps/?&amp;text=53.268848, 34.408566", "53.268848, 34.408566")</f>
        <v>0</v>
      </c>
      <c r="T171" s="2">
        <f>HYPERLINK("D:\torgi_project\venv_torgi\cache\objs_in_district/53.268848_34.408566.json", "53.268848_34.408566.json")</f>
        <v>0</v>
      </c>
      <c r="U171" t="s">
        <v>1325</v>
      </c>
      <c r="V171" s="7" t="s">
        <v>1628</v>
      </c>
    </row>
    <row r="172" spans="1:22">
      <c r="A172" s="8">
        <v>170</v>
      </c>
      <c r="B172">
        <v>32</v>
      </c>
      <c r="C172" s="1">
        <v>428.9</v>
      </c>
      <c r="D172" s="2">
        <f>HYPERLINK("https://torgi.gov.ru/new/public/lots/lot/21000008500000000178_1/(lotInfo:info)", "21000008500000000178_1")</f>
        <v>0</v>
      </c>
      <c r="E172" t="s">
        <v>191</v>
      </c>
      <c r="F172" s="3" t="s">
        <v>588</v>
      </c>
      <c r="G172" t="s">
        <v>870</v>
      </c>
      <c r="H172" s="4">
        <v>4860000</v>
      </c>
      <c r="I172" s="4">
        <v>11331.31266029378</v>
      </c>
      <c r="J172" s="5">
        <v>134.89</v>
      </c>
      <c r="K172" s="5">
        <v>30.71</v>
      </c>
      <c r="L172" s="4">
        <v>3777</v>
      </c>
      <c r="M172">
        <v>84</v>
      </c>
      <c r="N172">
        <v>369</v>
      </c>
      <c r="O172">
        <v>3</v>
      </c>
      <c r="P172" s="6">
        <v>600</v>
      </c>
      <c r="Q172" t="s">
        <v>1162</v>
      </c>
      <c r="R172" t="s">
        <v>1164</v>
      </c>
      <c r="S172" s="2">
        <f>HYPERLINK("https://yandex.ru/maps/?&amp;text=53.333817, 34.223488", "53.333817, 34.223488")</f>
        <v>0</v>
      </c>
      <c r="T172" s="2">
        <f>HYPERLINK("D:\torgi_project\venv_torgi\cache\objs_in_district/53.333817_34.223488.json", "53.333817_34.223488.json")</f>
        <v>0</v>
      </c>
      <c r="U172" t="s">
        <v>1326</v>
      </c>
      <c r="V172" s="7" t="s">
        <v>1628</v>
      </c>
    </row>
    <row r="173" spans="1:22">
      <c r="A173" s="8">
        <v>171</v>
      </c>
      <c r="B173">
        <v>32</v>
      </c>
      <c r="C173" s="1">
        <v>300.4</v>
      </c>
      <c r="D173" s="2">
        <f>HYPERLINK("https://torgi.gov.ru/new/public/lots/lot/21000008500000000168_1/(lotInfo:info)", "21000008500000000168_1")</f>
        <v>0</v>
      </c>
      <c r="E173" t="s">
        <v>192</v>
      </c>
      <c r="F173" s="3" t="s">
        <v>566</v>
      </c>
      <c r="G173" t="s">
        <v>871</v>
      </c>
      <c r="H173" s="4">
        <v>3500000</v>
      </c>
      <c r="I173" s="4">
        <v>11651.13182423436</v>
      </c>
      <c r="J173" s="5">
        <v>62.64</v>
      </c>
      <c r="K173" s="5">
        <v>27.35</v>
      </c>
      <c r="L173" s="4">
        <v>5825.5</v>
      </c>
      <c r="M173">
        <v>186</v>
      </c>
      <c r="N173">
        <v>426</v>
      </c>
      <c r="O173">
        <v>2</v>
      </c>
      <c r="P173" s="6">
        <v>500</v>
      </c>
      <c r="Q173" t="s">
        <v>1161</v>
      </c>
      <c r="R173" t="s">
        <v>1164</v>
      </c>
      <c r="S173" s="2">
        <f>HYPERLINK("https://yandex.ru/maps/?&amp;text=53.345564, 34.314278", "53.345564, 34.314278")</f>
        <v>0</v>
      </c>
      <c r="T173" s="2">
        <f>HYPERLINK("D:\torgi_project\venv_torgi\cache\objs_in_district/53.345564_34.314278.json", "53.345564_34.314278.json")</f>
        <v>0</v>
      </c>
      <c r="U173" t="s">
        <v>1327</v>
      </c>
      <c r="V173" s="7" t="s">
        <v>1628</v>
      </c>
    </row>
    <row r="174" spans="1:22">
      <c r="A174" s="8">
        <v>172</v>
      </c>
      <c r="B174">
        <v>32</v>
      </c>
      <c r="C174" s="1">
        <v>105.4</v>
      </c>
      <c r="D174" s="2">
        <f>HYPERLINK("https://torgi.gov.ru/new/public/lots/lot/21000008500000000145_1/(lotInfo:info)", "21000008500000000145_1")</f>
        <v>0</v>
      </c>
      <c r="E174" t="s">
        <v>193</v>
      </c>
      <c r="F174" s="3" t="s">
        <v>589</v>
      </c>
      <c r="G174" t="s">
        <v>872</v>
      </c>
      <c r="H174" s="4">
        <v>1263000</v>
      </c>
      <c r="I174" s="4">
        <v>11982.92220113852</v>
      </c>
      <c r="J174" s="5">
        <v>2.97</v>
      </c>
      <c r="K174" s="5">
        <v>73.95999999999999</v>
      </c>
      <c r="L174" s="4">
        <v>855.86</v>
      </c>
      <c r="M174">
        <v>4038</v>
      </c>
      <c r="N174">
        <v>162</v>
      </c>
      <c r="O174">
        <v>14</v>
      </c>
      <c r="P174" s="6">
        <v>300</v>
      </c>
      <c r="Q174" t="s">
        <v>1161</v>
      </c>
      <c r="R174" t="s">
        <v>1164</v>
      </c>
      <c r="S174" s="2">
        <f>HYPERLINK("https://yandex.ru/maps/?&amp;text=53.275278, 34.393788", "53.275278, 34.393788")</f>
        <v>0</v>
      </c>
      <c r="T174" s="2">
        <f>HYPERLINK("D:\torgi_project\venv_torgi\cache\objs_in_district/53.275278_34.393788.json", "53.275278_34.393788.json")</f>
        <v>0</v>
      </c>
      <c r="U174" t="s">
        <v>1328</v>
      </c>
      <c r="V174" s="7" t="s">
        <v>1628</v>
      </c>
    </row>
    <row r="175" spans="1:22">
      <c r="A175" s="8">
        <v>173</v>
      </c>
      <c r="B175">
        <v>32</v>
      </c>
      <c r="C175" s="1">
        <v>131.8</v>
      </c>
      <c r="D175" s="2">
        <f>HYPERLINK("https://torgi.gov.ru/new/public/lots/lot/21000008500000000146_1/(lotInfo:info)", "21000008500000000146_1")</f>
        <v>0</v>
      </c>
      <c r="E175" t="s">
        <v>194</v>
      </c>
      <c r="F175" s="3" t="s">
        <v>589</v>
      </c>
      <c r="G175" t="s">
        <v>873</v>
      </c>
      <c r="H175" s="4">
        <v>1899000</v>
      </c>
      <c r="I175" s="4">
        <v>14408.1942336874</v>
      </c>
      <c r="J175" s="5">
        <v>92.95</v>
      </c>
      <c r="K175" s="5">
        <v>184.72</v>
      </c>
      <c r="L175" s="4">
        <v>7204</v>
      </c>
      <c r="M175">
        <v>155</v>
      </c>
      <c r="N175">
        <v>78</v>
      </c>
      <c r="O175">
        <v>2</v>
      </c>
      <c r="P175" s="6">
        <v>400</v>
      </c>
      <c r="Q175" t="s">
        <v>1161</v>
      </c>
      <c r="R175" t="s">
        <v>1164</v>
      </c>
      <c r="S175" s="2">
        <f>HYPERLINK("https://yandex.ru/maps/?&amp;text=53.333037, 34.245746", "53.333037, 34.245746")</f>
        <v>0</v>
      </c>
      <c r="T175" s="2">
        <f>HYPERLINK("D:\torgi_project\venv_torgi\cache\objs_in_district/53.333037_34.245746.json", "53.333037_34.245746.json")</f>
        <v>0</v>
      </c>
      <c r="U175" t="s">
        <v>1329</v>
      </c>
      <c r="V175" s="7" t="s">
        <v>1628</v>
      </c>
    </row>
    <row r="176" spans="1:22">
      <c r="A176" s="8">
        <v>174</v>
      </c>
      <c r="B176">
        <v>32</v>
      </c>
      <c r="C176" s="1">
        <v>36.9</v>
      </c>
      <c r="D176" s="2">
        <f>HYPERLINK("https://torgi.gov.ru/new/public/lots/lot/21000008500000000166_1/(lotInfo:info)", "21000008500000000166_1")</f>
        <v>0</v>
      </c>
      <c r="E176" t="s">
        <v>195</v>
      </c>
      <c r="F176" s="3" t="s">
        <v>566</v>
      </c>
      <c r="G176" t="s">
        <v>874</v>
      </c>
      <c r="H176" s="4">
        <v>650000</v>
      </c>
      <c r="I176" s="4">
        <v>17615.17615176152</v>
      </c>
      <c r="J176" s="5">
        <v>3.15</v>
      </c>
      <c r="K176" s="5">
        <v>11.7</v>
      </c>
      <c r="L176" s="4">
        <v>1174.33</v>
      </c>
      <c r="M176">
        <v>5597</v>
      </c>
      <c r="N176">
        <v>1505</v>
      </c>
      <c r="O176">
        <v>15</v>
      </c>
      <c r="P176" s="6">
        <v>700</v>
      </c>
      <c r="Q176" t="s">
        <v>1161</v>
      </c>
      <c r="R176" t="s">
        <v>1164</v>
      </c>
      <c r="S176" s="2">
        <f>HYPERLINK("https://yandex.ru/maps/?&amp;text=53.213855, 34.429865", "53.213855, 34.429865")</f>
        <v>0</v>
      </c>
      <c r="T176" s="2">
        <f>HYPERLINK("D:\torgi_project\venv_torgi\cache\objs_in_district/53.213855_34.429865.json", "53.213855_34.429865.json")</f>
        <v>0</v>
      </c>
      <c r="U176" t="s">
        <v>1330</v>
      </c>
      <c r="V176" s="7" t="s">
        <v>1628</v>
      </c>
    </row>
    <row r="177" spans="1:22">
      <c r="A177" s="8">
        <v>175</v>
      </c>
      <c r="B177">
        <v>32</v>
      </c>
      <c r="C177" s="1">
        <v>52.8</v>
      </c>
      <c r="D177" s="2">
        <f>HYPERLINK("https://torgi.gov.ru/new/public/lots/lot/21000008500000000152_1/(lotInfo:info)", "21000008500000000152_1")</f>
        <v>0</v>
      </c>
      <c r="E177" t="s">
        <v>196</v>
      </c>
      <c r="F177" s="3" t="s">
        <v>555</v>
      </c>
      <c r="G177" t="s">
        <v>875</v>
      </c>
      <c r="H177" s="4">
        <v>990000</v>
      </c>
      <c r="I177" s="4">
        <v>18750</v>
      </c>
      <c r="J177" s="5">
        <v>33.07</v>
      </c>
      <c r="K177" s="5">
        <v>9.9</v>
      </c>
      <c r="L177" s="4">
        <v>1102.94</v>
      </c>
      <c r="M177">
        <v>567</v>
      </c>
      <c r="N177">
        <v>1893</v>
      </c>
      <c r="O177">
        <v>17</v>
      </c>
      <c r="Q177" t="s">
        <v>1161</v>
      </c>
      <c r="R177" t="s">
        <v>1164</v>
      </c>
      <c r="S177" s="2">
        <f>HYPERLINK("https://yandex.ru/maps/?&amp;text=53.207966, 34.662519", "53.207966, 34.662519")</f>
        <v>0</v>
      </c>
      <c r="T177" s="2">
        <f>HYPERLINK("D:\torgi_project\venv_torgi\cache\objs_in_district/53.207966_34.662519.json", "53.207966_34.662519.json")</f>
        <v>0</v>
      </c>
      <c r="U177" t="s">
        <v>1331</v>
      </c>
      <c r="V177" s="7" t="s">
        <v>1628</v>
      </c>
    </row>
    <row r="178" spans="1:22">
      <c r="A178" s="8">
        <v>176</v>
      </c>
      <c r="B178">
        <v>32</v>
      </c>
      <c r="C178" s="1">
        <v>25</v>
      </c>
      <c r="D178" s="2">
        <f>HYPERLINK("https://torgi.gov.ru/new/public/lots/lot/21000008500000000156_1/(lotInfo:info)", "21000008500000000156_1")</f>
        <v>0</v>
      </c>
      <c r="E178" t="s">
        <v>197</v>
      </c>
      <c r="F178" s="3" t="s">
        <v>555</v>
      </c>
      <c r="G178" t="s">
        <v>876</v>
      </c>
      <c r="H178" s="4">
        <v>500000</v>
      </c>
      <c r="I178" s="4">
        <v>20000</v>
      </c>
      <c r="J178" s="5">
        <v>5.22</v>
      </c>
      <c r="K178" s="5">
        <v>7.59</v>
      </c>
      <c r="L178" s="4">
        <v>2500</v>
      </c>
      <c r="M178">
        <v>3835</v>
      </c>
      <c r="N178">
        <v>2634</v>
      </c>
      <c r="O178">
        <v>8</v>
      </c>
      <c r="P178" s="6">
        <v>300</v>
      </c>
      <c r="Q178" t="s">
        <v>1161</v>
      </c>
      <c r="R178" t="s">
        <v>1164</v>
      </c>
      <c r="S178" s="2">
        <f>HYPERLINK("https://yandex.ru/maps/?&amp;text=53.253582, 34.370262", "53.253582, 34.370262")</f>
        <v>0</v>
      </c>
      <c r="T178" s="2">
        <f>HYPERLINK("D:\torgi_project\venv_torgi\cache\objs_in_district/53.253582_34.370262.json", "53.253582_34.370262.json")</f>
        <v>0</v>
      </c>
      <c r="U178" t="s">
        <v>1332</v>
      </c>
      <c r="V178" s="7" t="s">
        <v>1628</v>
      </c>
    </row>
    <row r="179" spans="1:22">
      <c r="A179" s="8">
        <v>177</v>
      </c>
      <c r="B179">
        <v>32</v>
      </c>
      <c r="C179" s="1">
        <v>93.40000000000001</v>
      </c>
      <c r="D179" s="2">
        <f>HYPERLINK("https://torgi.gov.ru/new/public/lots/lot/21000008500000000159_1/(lotInfo:info)", "21000008500000000159_1")</f>
        <v>0</v>
      </c>
      <c r="E179" t="s">
        <v>198</v>
      </c>
      <c r="F179" s="3" t="s">
        <v>553</v>
      </c>
      <c r="G179" t="s">
        <v>877</v>
      </c>
      <c r="H179" s="4">
        <v>2191000</v>
      </c>
      <c r="I179" s="4">
        <v>23458.24411134903</v>
      </c>
      <c r="J179" s="5">
        <v>6.15</v>
      </c>
      <c r="K179" s="5">
        <v>13.14</v>
      </c>
      <c r="L179" s="4">
        <v>7819.33</v>
      </c>
      <c r="M179">
        <v>3816</v>
      </c>
      <c r="N179">
        <v>1785</v>
      </c>
      <c r="O179">
        <v>3</v>
      </c>
      <c r="P179" s="6">
        <v>1200</v>
      </c>
      <c r="Q179" t="s">
        <v>1161</v>
      </c>
      <c r="R179" t="s">
        <v>1164</v>
      </c>
      <c r="S179" s="2">
        <f>HYPERLINK("https://yandex.ru/maps/?&amp;text=53.216357, 34.391417", "53.216357, 34.391417")</f>
        <v>0</v>
      </c>
      <c r="T179" s="2">
        <f>HYPERLINK("D:\torgi_project\venv_torgi\cache\objs_in_district/53.216357_34.391417.json", "53.216357_34.391417.json")</f>
        <v>0</v>
      </c>
      <c r="U179" t="s">
        <v>1333</v>
      </c>
      <c r="V179" s="7" t="s">
        <v>1628</v>
      </c>
    </row>
    <row r="180" spans="1:22">
      <c r="A180" s="8">
        <v>178</v>
      </c>
      <c r="B180">
        <v>33</v>
      </c>
      <c r="C180" s="1">
        <v>433.6</v>
      </c>
      <c r="D180" s="2">
        <f>HYPERLINK("https://torgi.gov.ru/new/public/lots/lot/21000003690000000008_1/(lotInfo:info)", "21000003690000000008_1")</f>
        <v>0</v>
      </c>
      <c r="E180" t="s">
        <v>199</v>
      </c>
      <c r="F180" s="3" t="s">
        <v>545</v>
      </c>
      <c r="G180" t="s">
        <v>878</v>
      </c>
      <c r="H180" s="4">
        <v>944886.67</v>
      </c>
      <c r="I180" s="4">
        <v>2179.166674354244</v>
      </c>
      <c r="J180" s="5">
        <v>1.31</v>
      </c>
      <c r="K180" s="5">
        <v>6.54</v>
      </c>
      <c r="L180" s="4">
        <v>544.75</v>
      </c>
      <c r="M180">
        <v>1661</v>
      </c>
      <c r="N180">
        <v>333</v>
      </c>
      <c r="O180">
        <v>4</v>
      </c>
      <c r="P180" s="6">
        <v>1000</v>
      </c>
      <c r="Q180" t="s">
        <v>1161</v>
      </c>
      <c r="R180" t="s">
        <v>1164</v>
      </c>
      <c r="S180" s="2">
        <f>HYPERLINK("https://yandex.ru/maps/?&amp;text=56.247111, 42.117225", "56.247111, 42.117225")</f>
        <v>0</v>
      </c>
      <c r="T180" s="2">
        <f>HYPERLINK("D:\torgi_project\venv_torgi\cache\objs_in_district/56.247111_42.117225.json", "56.247111_42.117225.json")</f>
        <v>0</v>
      </c>
      <c r="U180" t="s">
        <v>1334</v>
      </c>
    </row>
    <row r="181" spans="1:22">
      <c r="A181" s="8">
        <v>179</v>
      </c>
      <c r="B181">
        <v>33</v>
      </c>
      <c r="C181" s="1">
        <v>247.9</v>
      </c>
      <c r="D181" s="2">
        <f>HYPERLINK("https://torgi.gov.ru/new/public/lots/lot/21000011840000000019_1/(lotInfo:info)", "21000011840000000019_1")</f>
        <v>0</v>
      </c>
      <c r="E181" t="s">
        <v>200</v>
      </c>
      <c r="F181" s="3" t="s">
        <v>590</v>
      </c>
      <c r="G181" t="s">
        <v>879</v>
      </c>
      <c r="H181" s="4">
        <v>2070000</v>
      </c>
      <c r="I181" s="4">
        <v>8350.141185962082</v>
      </c>
      <c r="J181" s="5">
        <v>2.43</v>
      </c>
      <c r="K181" s="5">
        <v>6.91</v>
      </c>
      <c r="L181" s="4">
        <v>1670</v>
      </c>
      <c r="M181">
        <v>3434</v>
      </c>
      <c r="N181">
        <v>1209</v>
      </c>
      <c r="O181">
        <v>5</v>
      </c>
      <c r="P181" s="6">
        <v>600</v>
      </c>
      <c r="Q181" t="s">
        <v>1161</v>
      </c>
      <c r="R181" t="s">
        <v>1164</v>
      </c>
      <c r="S181" s="2">
        <f>HYPERLINK("https://yandex.ru/maps/?&amp;text=56.352543, 41.290928", "56.352543, 41.290928")</f>
        <v>0</v>
      </c>
      <c r="T181" s="2">
        <f>HYPERLINK("D:\torgi_project\venv_torgi\cache\objs_in_district/56.352543_41.290928.json", "56.352543_41.290928.json")</f>
        <v>0</v>
      </c>
      <c r="U181" t="s">
        <v>1335</v>
      </c>
      <c r="V181" s="7" t="s">
        <v>1628</v>
      </c>
    </row>
    <row r="182" spans="1:22">
      <c r="A182" s="8">
        <v>180</v>
      </c>
      <c r="B182">
        <v>33</v>
      </c>
      <c r="C182" s="1">
        <v>59.9</v>
      </c>
      <c r="D182" s="2">
        <f>HYPERLINK("https://torgi.gov.ru/new/public/lots/lot/21000003690000000011_1/(lotInfo:info)", "21000003690000000011_1")</f>
        <v>0</v>
      </c>
      <c r="E182" t="s">
        <v>201</v>
      </c>
      <c r="F182" s="3" t="s">
        <v>591</v>
      </c>
      <c r="G182" t="s">
        <v>880</v>
      </c>
      <c r="H182" s="4">
        <v>620764</v>
      </c>
      <c r="I182" s="4">
        <v>10363.33889816361</v>
      </c>
      <c r="J182" s="5">
        <v>127.94</v>
      </c>
      <c r="K182" s="5">
        <v>88.56999999999999</v>
      </c>
      <c r="M182">
        <v>81</v>
      </c>
      <c r="N182">
        <v>117</v>
      </c>
      <c r="O182">
        <v>0</v>
      </c>
      <c r="P182" s="6">
        <v>1700</v>
      </c>
      <c r="Q182" t="s">
        <v>1161</v>
      </c>
      <c r="R182" t="s">
        <v>1164</v>
      </c>
      <c r="S182" s="2">
        <f>HYPERLINK("https://yandex.ru/maps/?&amp;text=56.140645, 42.009436", "56.140645, 42.009436")</f>
        <v>0</v>
      </c>
      <c r="U182" t="s">
        <v>1336</v>
      </c>
    </row>
    <row r="183" spans="1:22">
      <c r="A183" s="8">
        <v>181</v>
      </c>
      <c r="B183">
        <v>33</v>
      </c>
      <c r="C183" s="1">
        <v>57.6</v>
      </c>
      <c r="D183" s="2">
        <f>HYPERLINK("https://torgi.gov.ru/new/public/lots/lot/21000001400000000011_1/(lotInfo:info)", "21000001400000000011_1")</f>
        <v>0</v>
      </c>
      <c r="E183" t="s">
        <v>202</v>
      </c>
      <c r="F183" s="3" t="s">
        <v>592</v>
      </c>
      <c r="G183" t="s">
        <v>881</v>
      </c>
      <c r="H183" s="4">
        <v>738000</v>
      </c>
      <c r="I183" s="4">
        <v>12812.5</v>
      </c>
      <c r="J183" s="5">
        <v>11.38</v>
      </c>
      <c r="K183" s="5">
        <v>7.67</v>
      </c>
      <c r="L183" s="4">
        <v>1601.5</v>
      </c>
      <c r="M183">
        <v>1126</v>
      </c>
      <c r="N183">
        <v>1671</v>
      </c>
      <c r="O183">
        <v>8</v>
      </c>
      <c r="P183" s="6">
        <v>500</v>
      </c>
      <c r="Q183" t="s">
        <v>1161</v>
      </c>
      <c r="R183" t="s">
        <v>1164</v>
      </c>
      <c r="S183" s="2">
        <f>HYPERLINK("https://yandex.ru/maps/?&amp;text=56.400952, 38.725348", "56.400952, 38.725348")</f>
        <v>0</v>
      </c>
      <c r="T183" s="2">
        <f>HYPERLINK("D:\torgi_project\venv_torgi\cache\objs_in_district/56.400952_38.725348.json", "56.400952_38.725348.json")</f>
        <v>0</v>
      </c>
      <c r="U183" t="s">
        <v>1337</v>
      </c>
      <c r="V183" s="7" t="s">
        <v>1628</v>
      </c>
    </row>
    <row r="184" spans="1:22">
      <c r="A184" s="8">
        <v>182</v>
      </c>
      <c r="B184">
        <v>33</v>
      </c>
      <c r="C184" s="1">
        <v>71.5</v>
      </c>
      <c r="D184" s="2">
        <f>HYPERLINK("https://torgi.gov.ru/new/public/lots/lot/21000011840000000018_1/(lotInfo:info)", "21000011840000000018_1")</f>
        <v>0</v>
      </c>
      <c r="E184" t="s">
        <v>203</v>
      </c>
      <c r="F184" s="3" t="s">
        <v>590</v>
      </c>
      <c r="G184" t="s">
        <v>879</v>
      </c>
      <c r="H184" s="4">
        <v>1950000</v>
      </c>
      <c r="I184" s="4">
        <v>27272.72727272727</v>
      </c>
      <c r="J184" s="5">
        <v>7.94</v>
      </c>
      <c r="K184" s="5">
        <v>22.56</v>
      </c>
      <c r="L184" s="4">
        <v>5454.4</v>
      </c>
      <c r="M184">
        <v>3434</v>
      </c>
      <c r="N184">
        <v>1209</v>
      </c>
      <c r="O184">
        <v>5</v>
      </c>
      <c r="P184" s="6">
        <v>600</v>
      </c>
      <c r="Q184" t="s">
        <v>1161</v>
      </c>
      <c r="R184" t="s">
        <v>1164</v>
      </c>
      <c r="S184" s="2">
        <f>HYPERLINK("https://yandex.ru/maps/?&amp;text=56.352543, 41.290928", "56.352543, 41.290928")</f>
        <v>0</v>
      </c>
      <c r="T184" s="2">
        <f>HYPERLINK("D:\torgi_project\venv_torgi\cache\objs_in_district/56.352543_41.290928.json", "56.352543_41.290928.json")</f>
        <v>0</v>
      </c>
      <c r="U184" t="s">
        <v>1338</v>
      </c>
      <c r="V184" s="7" t="s">
        <v>1628</v>
      </c>
    </row>
    <row r="185" spans="1:22">
      <c r="A185" s="8">
        <v>183</v>
      </c>
      <c r="B185">
        <v>33</v>
      </c>
      <c r="C185" s="1">
        <v>32.9</v>
      </c>
      <c r="D185" s="2">
        <f>HYPERLINK("https://torgi.gov.ru/new/public/lots/lot/21000001400000000010_1/(lotInfo:info)", "21000001400000000010_1")</f>
        <v>0</v>
      </c>
      <c r="E185" t="s">
        <v>204</v>
      </c>
      <c r="F185" s="3" t="s">
        <v>592</v>
      </c>
      <c r="G185" t="s">
        <v>882</v>
      </c>
      <c r="H185" s="4">
        <v>1306560</v>
      </c>
      <c r="I185" s="4">
        <v>39713.06990881459</v>
      </c>
      <c r="J185" s="5">
        <v>29.33</v>
      </c>
      <c r="K185" s="5">
        <v>254.57</v>
      </c>
      <c r="L185" s="4">
        <v>3610.27</v>
      </c>
      <c r="M185">
        <v>1354</v>
      </c>
      <c r="N185">
        <v>156</v>
      </c>
      <c r="O185">
        <v>11</v>
      </c>
      <c r="P185" s="6">
        <v>300</v>
      </c>
      <c r="Q185" t="s">
        <v>1161</v>
      </c>
      <c r="R185" t="s">
        <v>1164</v>
      </c>
      <c r="S185" s="2">
        <f>HYPERLINK("https://yandex.ru/maps/?&amp;text=56.399283, 38.741697", "56.399283, 38.741697")</f>
        <v>0</v>
      </c>
      <c r="T185" s="2">
        <f>HYPERLINK("D:\torgi_project\venv_torgi\cache\objs_in_district/56.399283_38.741697.json", "56.399283_38.741697.json")</f>
        <v>0</v>
      </c>
      <c r="U185" t="s">
        <v>1339</v>
      </c>
      <c r="V185" s="7" t="s">
        <v>1628</v>
      </c>
    </row>
    <row r="186" spans="1:22">
      <c r="A186" s="8">
        <v>184</v>
      </c>
      <c r="B186">
        <v>34</v>
      </c>
      <c r="C186" s="1">
        <v>575.6</v>
      </c>
      <c r="D186" s="2">
        <f>HYPERLINK("https://torgi.gov.ru/new/public/lots/lot/21000003300000000042_3/(lotInfo:info)", "21000003300000000042_3")</f>
        <v>0</v>
      </c>
      <c r="E186" t="s">
        <v>205</v>
      </c>
      <c r="F186" s="3" t="s">
        <v>593</v>
      </c>
      <c r="G186" t="s">
        <v>883</v>
      </c>
      <c r="H186" s="4">
        <v>3144000</v>
      </c>
      <c r="I186" s="4">
        <v>5462.126476719945</v>
      </c>
      <c r="J186" s="5">
        <v>1.53</v>
      </c>
      <c r="K186" s="5">
        <v>1.09</v>
      </c>
      <c r="L186" s="4">
        <v>227.58</v>
      </c>
      <c r="M186">
        <v>3568</v>
      </c>
      <c r="N186">
        <v>4992</v>
      </c>
      <c r="O186">
        <v>24</v>
      </c>
      <c r="P186" s="6">
        <v>500</v>
      </c>
      <c r="Q186" t="s">
        <v>1162</v>
      </c>
      <c r="R186" t="s">
        <v>1164</v>
      </c>
      <c r="S186" s="2">
        <f>HYPERLINK("https://yandex.ru/maps/?&amp;text=48.773001, 44.488319", "48.773001, 44.488319")</f>
        <v>0</v>
      </c>
      <c r="T186" s="2">
        <f>HYPERLINK("D:\torgi_project\venv_torgi\cache\objs_in_district/48.773001_44.488319.json", "48.773001_44.488319.json")</f>
        <v>0</v>
      </c>
      <c r="U186" t="s">
        <v>1340</v>
      </c>
      <c r="V186" s="7" t="s">
        <v>1629</v>
      </c>
    </row>
    <row r="187" spans="1:22">
      <c r="A187" s="8">
        <v>185</v>
      </c>
      <c r="B187">
        <v>34</v>
      </c>
      <c r="C187" s="1">
        <v>96.59999999999999</v>
      </c>
      <c r="D187" s="2">
        <f>HYPERLINK("https://torgi.gov.ru/new/public/lots/lot/21000003300000000051_1/(lotInfo:info)", "21000003300000000051_1")</f>
        <v>0</v>
      </c>
      <c r="E187" t="s">
        <v>206</v>
      </c>
      <c r="F187" s="3" t="s">
        <v>594</v>
      </c>
      <c r="G187" t="s">
        <v>884</v>
      </c>
      <c r="H187" s="4">
        <v>768000</v>
      </c>
      <c r="I187" s="4">
        <v>7950.310559006211</v>
      </c>
      <c r="J187" s="5">
        <v>2.1</v>
      </c>
      <c r="K187" s="5">
        <v>1.09</v>
      </c>
      <c r="L187" s="4">
        <v>3975</v>
      </c>
      <c r="M187">
        <v>3782</v>
      </c>
      <c r="N187">
        <v>7290</v>
      </c>
      <c r="O187">
        <v>2</v>
      </c>
      <c r="P187" s="6">
        <v>200</v>
      </c>
      <c r="Q187" t="s">
        <v>1162</v>
      </c>
      <c r="R187" t="s">
        <v>1164</v>
      </c>
      <c r="S187" s="2">
        <f>HYPERLINK("https://yandex.ru/maps/?&amp;text=48.795689, 44.580136", "48.795689, 44.580136")</f>
        <v>0</v>
      </c>
      <c r="T187" s="2">
        <f>HYPERLINK("D:\torgi_project\venv_torgi\cache\objs_in_district/48.795689_44.580136.json", "48.795689_44.580136.json")</f>
        <v>0</v>
      </c>
      <c r="U187" t="s">
        <v>1341</v>
      </c>
      <c r="V187" s="7" t="s">
        <v>1629</v>
      </c>
    </row>
    <row r="188" spans="1:22">
      <c r="A188" s="8">
        <v>186</v>
      </c>
      <c r="B188">
        <v>34</v>
      </c>
      <c r="C188" s="1">
        <v>195.4</v>
      </c>
      <c r="D188" s="2">
        <f>HYPERLINK("https://torgi.gov.ru/new/public/lots/lot/21000003300000000042_7/(lotInfo:info)", "21000003300000000042_7")</f>
        <v>0</v>
      </c>
      <c r="E188" t="s">
        <v>207</v>
      </c>
      <c r="F188" s="3" t="s">
        <v>593</v>
      </c>
      <c r="G188" t="s">
        <v>885</v>
      </c>
      <c r="H188" s="4">
        <v>1637000</v>
      </c>
      <c r="I188" s="4">
        <v>8377.686796315251</v>
      </c>
      <c r="J188" s="5">
        <v>2.38</v>
      </c>
      <c r="K188" s="5">
        <v>0.8</v>
      </c>
      <c r="L188" s="4">
        <v>119.67</v>
      </c>
      <c r="M188">
        <v>3518</v>
      </c>
      <c r="N188">
        <v>10524</v>
      </c>
      <c r="O188">
        <v>70</v>
      </c>
      <c r="P188" s="6">
        <v>600</v>
      </c>
      <c r="Q188" t="s">
        <v>1162</v>
      </c>
      <c r="R188" t="s">
        <v>1164</v>
      </c>
      <c r="S188" s="2">
        <f>HYPERLINK("https://yandex.ru/maps/?&amp;text=48.67936, 44.473858", "48.67936, 44.473858")</f>
        <v>0</v>
      </c>
      <c r="T188" s="2">
        <f>HYPERLINK("D:\torgi_project\venv_torgi\cache\objs_in_district/48.67936_44.473858.json", "48.67936_44.473858.json")</f>
        <v>0</v>
      </c>
      <c r="U188" t="s">
        <v>1342</v>
      </c>
      <c r="V188" s="7" t="s">
        <v>1629</v>
      </c>
    </row>
    <row r="189" spans="1:22">
      <c r="A189" s="8">
        <v>187</v>
      </c>
      <c r="B189">
        <v>34</v>
      </c>
      <c r="C189" s="1">
        <v>60.8</v>
      </c>
      <c r="D189" s="2">
        <f>HYPERLINK("https://torgi.gov.ru/new/public/lots/lot/21000003300000000043_3/(lotInfo:info)", "21000003300000000043_3")</f>
        <v>0</v>
      </c>
      <c r="E189" t="s">
        <v>208</v>
      </c>
      <c r="F189" s="3" t="s">
        <v>595</v>
      </c>
      <c r="G189" t="s">
        <v>886</v>
      </c>
      <c r="H189" s="4">
        <v>558000</v>
      </c>
      <c r="I189" s="4">
        <v>9177.631578947368</v>
      </c>
      <c r="J189" s="5">
        <v>5.23</v>
      </c>
      <c r="K189" s="5">
        <v>5.89</v>
      </c>
      <c r="L189" s="4">
        <v>1529.5</v>
      </c>
      <c r="M189">
        <v>1754</v>
      </c>
      <c r="N189">
        <v>1557</v>
      </c>
      <c r="O189">
        <v>6</v>
      </c>
      <c r="P189" s="6">
        <v>500</v>
      </c>
      <c r="Q189" t="s">
        <v>1161</v>
      </c>
      <c r="R189" t="s">
        <v>1164</v>
      </c>
      <c r="S189" s="2">
        <f>HYPERLINK("https://yandex.ru/maps/?&amp;text=48.838266, 44.637089", "48.838266, 44.637089")</f>
        <v>0</v>
      </c>
      <c r="T189" s="2">
        <f>HYPERLINK("D:\torgi_project\venv_torgi\cache\objs_in_district/48.838266_44.637089.json", "48.838266_44.637089.json")</f>
        <v>0</v>
      </c>
      <c r="U189" t="s">
        <v>1343</v>
      </c>
      <c r="V189" s="7" t="s">
        <v>1628</v>
      </c>
    </row>
    <row r="190" spans="1:22">
      <c r="A190" s="8">
        <v>188</v>
      </c>
      <c r="B190">
        <v>34</v>
      </c>
      <c r="C190" s="1">
        <v>62.8</v>
      </c>
      <c r="D190" s="2">
        <f>HYPERLINK("https://torgi.gov.ru/new/public/lots/lot/21000003300000000051_3/(lotInfo:info)", "21000003300000000051_3")</f>
        <v>0</v>
      </c>
      <c r="E190" t="s">
        <v>209</v>
      </c>
      <c r="F190" s="3" t="s">
        <v>594</v>
      </c>
      <c r="G190" t="s">
        <v>887</v>
      </c>
      <c r="H190" s="4">
        <v>1002000</v>
      </c>
      <c r="I190" s="4">
        <v>15955.41401273885</v>
      </c>
      <c r="J190" s="5">
        <v>6.3</v>
      </c>
      <c r="K190" s="5">
        <v>1.91</v>
      </c>
      <c r="L190" s="4">
        <v>419.87</v>
      </c>
      <c r="M190">
        <v>2532</v>
      </c>
      <c r="N190">
        <v>8349</v>
      </c>
      <c r="O190">
        <v>38</v>
      </c>
      <c r="P190" s="6">
        <v>300</v>
      </c>
      <c r="Q190" t="s">
        <v>1162</v>
      </c>
      <c r="R190" t="s">
        <v>1164</v>
      </c>
      <c r="S190" s="2">
        <f>HYPERLINK("https://yandex.ru/maps/?&amp;text=48.622523, 44.423029", "48.622523, 44.423029")</f>
        <v>0</v>
      </c>
      <c r="T190" s="2">
        <f>HYPERLINK("D:\torgi_project\venv_torgi\cache\objs_in_district/48.622523_44.423029.json", "48.622523_44.423029.json")</f>
        <v>0</v>
      </c>
      <c r="U190" t="s">
        <v>1344</v>
      </c>
      <c r="V190" s="7" t="s">
        <v>1629</v>
      </c>
    </row>
    <row r="191" spans="1:22">
      <c r="A191" s="8">
        <v>189</v>
      </c>
      <c r="B191">
        <v>34</v>
      </c>
      <c r="C191" s="1">
        <v>182.7</v>
      </c>
      <c r="D191" s="2">
        <f>HYPERLINK("https://torgi.gov.ru/new/public/lots/lot/21000014370000000014_1/(lotInfo:info)", "21000014370000000014_1")</f>
        <v>0</v>
      </c>
      <c r="E191" t="s">
        <v>210</v>
      </c>
      <c r="F191" s="3" t="s">
        <v>596</v>
      </c>
      <c r="G191" t="s">
        <v>888</v>
      </c>
      <c r="H191" s="4">
        <v>3598000</v>
      </c>
      <c r="I191" s="4">
        <v>19693.48659003832</v>
      </c>
      <c r="J191" s="5">
        <v>7.09</v>
      </c>
      <c r="M191">
        <v>2779</v>
      </c>
      <c r="P191" s="6">
        <v>500</v>
      </c>
      <c r="Q191" t="s">
        <v>1161</v>
      </c>
      <c r="R191" t="s">
        <v>1164</v>
      </c>
      <c r="S191" s="2">
        <f>HYPERLINK("https://yandex.ru/maps/?&amp;text=55.037434, 73.24134", "55.037434, 73.24134")</f>
        <v>0</v>
      </c>
      <c r="U191" t="s">
        <v>1345</v>
      </c>
      <c r="V191" s="7" t="s">
        <v>1628</v>
      </c>
    </row>
    <row r="192" spans="1:22">
      <c r="A192" s="8">
        <v>190</v>
      </c>
      <c r="B192">
        <v>34</v>
      </c>
      <c r="C192" s="1">
        <v>76.8</v>
      </c>
      <c r="D192" s="2">
        <f>HYPERLINK("https://torgi.gov.ru/new/public/lots/lot/21000003300000000043_5/(lotInfo:info)", "21000003300000000043_5")</f>
        <v>0</v>
      </c>
      <c r="E192" t="s">
        <v>211</v>
      </c>
      <c r="F192" s="3" t="s">
        <v>595</v>
      </c>
      <c r="G192" t="s">
        <v>889</v>
      </c>
      <c r="H192" s="4">
        <v>2416000</v>
      </c>
      <c r="I192" s="4">
        <v>31458.33333333334</v>
      </c>
      <c r="J192" s="5">
        <v>11.23</v>
      </c>
      <c r="K192" s="5">
        <v>10.1</v>
      </c>
      <c r="L192" s="4">
        <v>3932.25</v>
      </c>
      <c r="M192">
        <v>2801</v>
      </c>
      <c r="N192">
        <v>3114</v>
      </c>
      <c r="O192">
        <v>8</v>
      </c>
      <c r="P192" s="6">
        <v>200</v>
      </c>
      <c r="Q192" t="s">
        <v>1161</v>
      </c>
      <c r="R192" t="s">
        <v>1164</v>
      </c>
      <c r="S192" s="2">
        <f>HYPERLINK("https://yandex.ru/maps/?&amp;text=48.513335, 44.52789", "48.513335, 44.52789")</f>
        <v>0</v>
      </c>
      <c r="T192" s="2">
        <f>HYPERLINK("D:\torgi_project\venv_torgi\cache\objs_in_district/48.513335_44.52789.json", "48.513335_44.52789.json")</f>
        <v>0</v>
      </c>
      <c r="U192" t="s">
        <v>1346</v>
      </c>
      <c r="V192" s="7" t="s">
        <v>1628</v>
      </c>
    </row>
    <row r="193" spans="1:22">
      <c r="A193" s="8">
        <v>191</v>
      </c>
      <c r="B193">
        <v>35</v>
      </c>
      <c r="C193" s="1">
        <v>939.8</v>
      </c>
      <c r="D193" s="2">
        <f>HYPERLINK("https://torgi.gov.ru/new/public/lots/lot/22000056560000000008_1/(lotInfo:info)", "22000056560000000008_1")</f>
        <v>0</v>
      </c>
      <c r="E193" t="s">
        <v>212</v>
      </c>
      <c r="F193" s="3" t="s">
        <v>597</v>
      </c>
      <c r="G193" t="s">
        <v>890</v>
      </c>
      <c r="H193" s="4">
        <v>1297900</v>
      </c>
      <c r="I193" s="4">
        <v>1381.038518833795</v>
      </c>
      <c r="J193" s="5">
        <v>86.31</v>
      </c>
      <c r="K193" s="5">
        <v>460.33</v>
      </c>
      <c r="M193">
        <v>16</v>
      </c>
      <c r="N193">
        <v>3</v>
      </c>
      <c r="O193">
        <v>0</v>
      </c>
      <c r="Q193" t="s">
        <v>1162</v>
      </c>
      <c r="R193" t="s">
        <v>1164</v>
      </c>
      <c r="S193" s="2">
        <f>HYPERLINK("https://yandex.ru/maps/?&amp;text=58.921568, 40.492002", "58.921568, 40.492002")</f>
        <v>0</v>
      </c>
      <c r="U193" t="s">
        <v>1347</v>
      </c>
      <c r="V193" s="7" t="s">
        <v>1628</v>
      </c>
    </row>
    <row r="194" spans="1:22">
      <c r="A194" s="8">
        <v>192</v>
      </c>
      <c r="B194">
        <v>35</v>
      </c>
      <c r="C194" s="1">
        <v>529.6</v>
      </c>
      <c r="D194" s="2">
        <f>HYPERLINK("https://torgi.gov.ru/new/public/lots/lot/22000071450000000001_1/(lotInfo:info)", "22000071450000000001_1")</f>
        <v>0</v>
      </c>
      <c r="E194" t="s">
        <v>213</v>
      </c>
      <c r="F194" s="3" t="s">
        <v>503</v>
      </c>
      <c r="G194" t="s">
        <v>891</v>
      </c>
      <c r="H194" s="4">
        <v>1049000</v>
      </c>
      <c r="I194" s="4">
        <v>1980.740181268882</v>
      </c>
      <c r="J194" s="5">
        <v>23.86</v>
      </c>
      <c r="K194" s="5">
        <v>0.64</v>
      </c>
      <c r="L194" s="4">
        <v>42.13</v>
      </c>
      <c r="M194">
        <v>83</v>
      </c>
      <c r="N194">
        <v>3087</v>
      </c>
      <c r="O194">
        <v>47</v>
      </c>
      <c r="P194" s="6">
        <v>100</v>
      </c>
      <c r="Q194" t="s">
        <v>1161</v>
      </c>
      <c r="R194" t="s">
        <v>1164</v>
      </c>
      <c r="S194" s="2">
        <f>HYPERLINK("https://yandex.ru/maps/?&amp;text=59.203393, 39.17782", "59.203393, 39.17782")</f>
        <v>0</v>
      </c>
      <c r="T194" s="2">
        <f>HYPERLINK("D:\torgi_project\venv_torgi\cache\objs_in_district/59.203393_39.17782.json", "59.203393_39.17782.json")</f>
        <v>0</v>
      </c>
      <c r="U194" t="s">
        <v>1348</v>
      </c>
      <c r="V194" s="7" t="s">
        <v>1632</v>
      </c>
    </row>
    <row r="195" spans="1:22">
      <c r="A195" s="8">
        <v>193</v>
      </c>
      <c r="B195">
        <v>35</v>
      </c>
      <c r="C195" s="1">
        <v>98.40000000000001</v>
      </c>
      <c r="D195" s="2">
        <f>HYPERLINK("https://torgi.gov.ru/new/public/lots/lot/21000001250000000147_13/(lotInfo:info)", "21000001250000000147_13")</f>
        <v>0</v>
      </c>
      <c r="E195" t="s">
        <v>214</v>
      </c>
      <c r="F195" s="3" t="s">
        <v>598</v>
      </c>
      <c r="G195" t="s">
        <v>892</v>
      </c>
      <c r="H195" s="4">
        <v>1270000</v>
      </c>
      <c r="I195" s="4">
        <v>12906.50406504065</v>
      </c>
      <c r="J195" s="5">
        <v>113.21</v>
      </c>
      <c r="K195" s="5">
        <v>19.47</v>
      </c>
      <c r="L195" s="4">
        <v>2151</v>
      </c>
      <c r="M195">
        <v>114</v>
      </c>
      <c r="N195">
        <v>663</v>
      </c>
      <c r="O195">
        <v>6</v>
      </c>
      <c r="Q195" t="s">
        <v>1161</v>
      </c>
      <c r="R195" t="s">
        <v>1165</v>
      </c>
      <c r="S195" s="2">
        <f>HYPERLINK("https://yandex.ru/maps/?&amp;text=59.287614, 37.657188", "59.287614, 37.657188")</f>
        <v>0</v>
      </c>
      <c r="T195" s="2">
        <f>HYPERLINK("D:\torgi_project\venv_torgi\cache\objs_in_district/59.287614_37.657188.json", "59.287614_37.657188.json")</f>
        <v>0</v>
      </c>
      <c r="U195" t="s">
        <v>1349</v>
      </c>
      <c r="V195" s="7" t="s">
        <v>1628</v>
      </c>
    </row>
    <row r="196" spans="1:22">
      <c r="A196" s="8">
        <v>194</v>
      </c>
      <c r="B196">
        <v>35</v>
      </c>
      <c r="C196" s="1">
        <v>228.2</v>
      </c>
      <c r="D196" s="2">
        <f>HYPERLINK("https://torgi.gov.ru/new/public/lots/lot/22000028730000000007_4/(lotInfo:info)", "22000028730000000007_4")</f>
        <v>0</v>
      </c>
      <c r="E196" t="s">
        <v>215</v>
      </c>
      <c r="F196" s="3" t="s">
        <v>521</v>
      </c>
      <c r="G196" t="s">
        <v>893</v>
      </c>
      <c r="H196" s="4">
        <v>6850000</v>
      </c>
      <c r="I196" s="4">
        <v>30017.52848378615</v>
      </c>
      <c r="J196" s="5">
        <v>7.99</v>
      </c>
      <c r="K196" s="5">
        <v>3.58</v>
      </c>
      <c r="L196" s="4">
        <v>1429.38</v>
      </c>
      <c r="M196">
        <v>3758</v>
      </c>
      <c r="N196">
        <v>8391</v>
      </c>
      <c r="O196">
        <v>21</v>
      </c>
      <c r="P196" s="6">
        <v>1400</v>
      </c>
      <c r="Q196" t="s">
        <v>1161</v>
      </c>
      <c r="R196" t="s">
        <v>1164</v>
      </c>
      <c r="S196" s="2">
        <f>HYPERLINK("https://yandex.ru/maps/?&amp;text=59.121721, 37.8934", "59.121721, 37.8934")</f>
        <v>0</v>
      </c>
      <c r="T196" s="2">
        <f>HYPERLINK("D:\torgi_project\venv_torgi\cache\objs_in_district/59.121721_37.8934.json", "59.121721_37.8934.json")</f>
        <v>0</v>
      </c>
      <c r="U196" t="s">
        <v>1350</v>
      </c>
    </row>
    <row r="197" spans="1:22">
      <c r="A197" s="8">
        <v>195</v>
      </c>
      <c r="B197">
        <v>35</v>
      </c>
      <c r="C197" s="1">
        <v>81.8</v>
      </c>
      <c r="D197" s="2">
        <f>HYPERLINK("https://torgi.gov.ru/new/public/lots/lot/21000002750000000068_1/(lotInfo:info)", "21000002750000000068_1")</f>
        <v>0</v>
      </c>
      <c r="E197" t="s">
        <v>216</v>
      </c>
      <c r="F197" s="3" t="s">
        <v>516</v>
      </c>
      <c r="G197" t="s">
        <v>894</v>
      </c>
      <c r="H197" s="4">
        <v>3675000</v>
      </c>
      <c r="I197" s="4">
        <v>44926.65036674817</v>
      </c>
      <c r="J197" s="5">
        <v>15.19</v>
      </c>
      <c r="K197" s="5">
        <v>7.64</v>
      </c>
      <c r="L197" s="4">
        <v>2139.33</v>
      </c>
      <c r="M197">
        <v>2957</v>
      </c>
      <c r="N197">
        <v>5881</v>
      </c>
      <c r="O197">
        <v>21</v>
      </c>
      <c r="P197" s="6">
        <v>500</v>
      </c>
      <c r="Q197" t="s">
        <v>1161</v>
      </c>
      <c r="R197" t="s">
        <v>1164</v>
      </c>
      <c r="S197" s="2">
        <f>HYPERLINK("https://yandex.ru/maps/?&amp;text=59.196339, 39.831425", "59.196339, 39.831425")</f>
        <v>0</v>
      </c>
      <c r="T197" s="2">
        <f>HYPERLINK("D:\torgi_project\venv_torgi\cache\objs_in_district/59.196339_39.831425.json", "59.196339_39.831425.json")</f>
        <v>0</v>
      </c>
      <c r="U197" t="s">
        <v>1351</v>
      </c>
    </row>
    <row r="198" spans="1:22">
      <c r="A198" s="8">
        <v>196</v>
      </c>
      <c r="B198">
        <v>35</v>
      </c>
      <c r="C198" s="1">
        <v>44.6</v>
      </c>
      <c r="D198" s="2">
        <f>HYPERLINK("https://torgi.gov.ru/new/public/lots/lot/22000028730000000007_3/(lotInfo:info)", "22000028730000000007_3")</f>
        <v>0</v>
      </c>
      <c r="E198" t="s">
        <v>217</v>
      </c>
      <c r="F198" s="3" t="s">
        <v>521</v>
      </c>
      <c r="G198" t="s">
        <v>895</v>
      </c>
      <c r="H198" s="4">
        <v>2630000</v>
      </c>
      <c r="I198" s="4">
        <v>58968.60986547085</v>
      </c>
      <c r="J198" s="5">
        <v>19.55</v>
      </c>
      <c r="K198" s="5">
        <v>7.85</v>
      </c>
      <c r="L198" s="4">
        <v>655.2</v>
      </c>
      <c r="M198">
        <v>3016</v>
      </c>
      <c r="N198">
        <v>7512</v>
      </c>
      <c r="O198">
        <v>90</v>
      </c>
      <c r="P198" s="6">
        <v>400</v>
      </c>
      <c r="Q198" t="s">
        <v>1161</v>
      </c>
      <c r="R198" t="s">
        <v>1164</v>
      </c>
      <c r="S198" s="2">
        <f>HYPERLINK("https://yandex.ru/maps/?&amp;text=59.12916, 37.92476", "59.12916, 37.92476")</f>
        <v>0</v>
      </c>
      <c r="T198" s="2">
        <f>HYPERLINK("D:\torgi_project\venv_torgi\cache\objs_in_district/59.12916_37.92476.json", "59.12916_37.92476.json")</f>
        <v>0</v>
      </c>
      <c r="U198" t="s">
        <v>1352</v>
      </c>
    </row>
    <row r="199" spans="1:22">
      <c r="A199" s="8">
        <v>197</v>
      </c>
      <c r="B199">
        <v>35</v>
      </c>
      <c r="C199" s="1">
        <v>56.6</v>
      </c>
      <c r="D199" s="2">
        <f>HYPERLINK("https://torgi.gov.ru/new/public/lots/lot/22000028730000000007_2/(lotInfo:info)", "22000028730000000007_2")</f>
        <v>0</v>
      </c>
      <c r="E199" t="s">
        <v>218</v>
      </c>
      <c r="F199" s="3" t="s">
        <v>521</v>
      </c>
      <c r="G199" t="s">
        <v>895</v>
      </c>
      <c r="H199" s="4">
        <v>3340000</v>
      </c>
      <c r="I199" s="4">
        <v>59010.60070671378</v>
      </c>
      <c r="J199" s="5">
        <v>19.57</v>
      </c>
      <c r="K199" s="5">
        <v>7.86</v>
      </c>
      <c r="L199" s="4">
        <v>655.67</v>
      </c>
      <c r="M199">
        <v>3016</v>
      </c>
      <c r="N199">
        <v>7512</v>
      </c>
      <c r="O199">
        <v>90</v>
      </c>
      <c r="P199" s="6">
        <v>400</v>
      </c>
      <c r="Q199" t="s">
        <v>1161</v>
      </c>
      <c r="R199" t="s">
        <v>1164</v>
      </c>
      <c r="S199" s="2">
        <f>HYPERLINK("https://yandex.ru/maps/?&amp;text=59.12916, 37.92476", "59.12916, 37.92476")</f>
        <v>0</v>
      </c>
      <c r="T199" s="2">
        <f>HYPERLINK("D:\torgi_project\venv_torgi\cache\objs_in_district/59.12916_37.92476.json", "59.12916_37.92476.json")</f>
        <v>0</v>
      </c>
      <c r="U199" t="s">
        <v>1353</v>
      </c>
    </row>
    <row r="200" spans="1:22">
      <c r="A200" s="8">
        <v>198</v>
      </c>
      <c r="B200">
        <v>36</v>
      </c>
      <c r="C200" s="1">
        <v>130.6</v>
      </c>
      <c r="D200" s="2">
        <f>HYPERLINK("https://torgi.gov.ru/new/public/lots/lot/21000007040000000003_1/(lotInfo:info)", "21000007040000000003_1")</f>
        <v>0</v>
      </c>
      <c r="E200" t="s">
        <v>219</v>
      </c>
      <c r="F200" s="3" t="s">
        <v>525</v>
      </c>
      <c r="G200" t="s">
        <v>896</v>
      </c>
      <c r="H200" s="4">
        <v>505000</v>
      </c>
      <c r="I200" s="4">
        <v>3866.76875957121</v>
      </c>
      <c r="J200" s="5">
        <v>3.36</v>
      </c>
      <c r="K200" s="5">
        <v>1.95</v>
      </c>
      <c r="L200" s="4">
        <v>203.47</v>
      </c>
      <c r="M200">
        <v>1149</v>
      </c>
      <c r="N200">
        <v>1978</v>
      </c>
      <c r="O200">
        <v>19</v>
      </c>
      <c r="P200" s="6">
        <v>700</v>
      </c>
      <c r="Q200" t="s">
        <v>1161</v>
      </c>
      <c r="R200" t="s">
        <v>1164</v>
      </c>
      <c r="S200" s="2">
        <f>HYPERLINK("https://yandex.ru/maps/?&amp;text=50.968027, 39.577966", "50.968027, 39.577966")</f>
        <v>0</v>
      </c>
      <c r="T200" s="2">
        <f>HYPERLINK("D:\torgi_project\venv_torgi\cache\objs_in_district/50.968027_39.577966.json", "50.968027_39.577966.json")</f>
        <v>0</v>
      </c>
      <c r="U200" t="s">
        <v>1354</v>
      </c>
      <c r="V200" s="7" t="s">
        <v>1628</v>
      </c>
    </row>
    <row r="201" spans="1:22">
      <c r="A201" s="8">
        <v>199</v>
      </c>
      <c r="B201">
        <v>36</v>
      </c>
      <c r="C201" s="1">
        <v>249</v>
      </c>
      <c r="D201" s="2">
        <f>HYPERLINK("https://torgi.gov.ru/new/public/lots/lot/22000022930000000036_9/(lotInfo:info)", "22000022930000000036_9")</f>
        <v>0</v>
      </c>
      <c r="E201" t="s">
        <v>220</v>
      </c>
      <c r="F201" s="3" t="s">
        <v>599</v>
      </c>
      <c r="G201" t="s">
        <v>897</v>
      </c>
      <c r="H201" s="4">
        <v>3621667</v>
      </c>
      <c r="I201" s="4">
        <v>14544.84738955823</v>
      </c>
      <c r="J201" s="5">
        <v>3.2</v>
      </c>
      <c r="K201" s="5">
        <v>5.29</v>
      </c>
      <c r="L201" s="4">
        <v>632.35</v>
      </c>
      <c r="M201">
        <v>4549</v>
      </c>
      <c r="N201">
        <v>2751</v>
      </c>
      <c r="O201">
        <v>23</v>
      </c>
      <c r="P201" s="6">
        <v>500</v>
      </c>
      <c r="Q201" t="s">
        <v>1161</v>
      </c>
      <c r="R201" t="s">
        <v>1164</v>
      </c>
      <c r="S201" s="2">
        <f>HYPERLINK("https://yandex.ru/maps/?&amp;text=51.671389, 39.169071", "51.671389, 39.169071")</f>
        <v>0</v>
      </c>
      <c r="T201" s="2">
        <f>HYPERLINK("D:\torgi_project\venv_torgi\cache\objs_in_district/51.671389_39.169071.json", "51.671389_39.169071.json")</f>
        <v>0</v>
      </c>
      <c r="U201" t="s">
        <v>1355</v>
      </c>
      <c r="V201" s="7" t="s">
        <v>1628</v>
      </c>
    </row>
    <row r="202" spans="1:22">
      <c r="A202" s="8">
        <v>200</v>
      </c>
      <c r="B202">
        <v>36</v>
      </c>
      <c r="C202" s="1">
        <v>125.9</v>
      </c>
      <c r="D202" s="2">
        <f>HYPERLINK("https://torgi.gov.ru/new/public/lots/lot/22000022930000000036_6/(lotInfo:info)", "22000022930000000036_6")</f>
        <v>0</v>
      </c>
      <c r="E202" t="s">
        <v>221</v>
      </c>
      <c r="F202" s="3" t="s">
        <v>599</v>
      </c>
      <c r="G202" t="s">
        <v>898</v>
      </c>
      <c r="H202" s="4">
        <v>2460000</v>
      </c>
      <c r="I202" s="4">
        <v>19539.31691818904</v>
      </c>
      <c r="J202" s="5">
        <v>8.699999999999999</v>
      </c>
      <c r="K202" s="5">
        <v>1.96</v>
      </c>
      <c r="L202" s="4">
        <v>217.1</v>
      </c>
      <c r="M202">
        <v>2246</v>
      </c>
      <c r="N202">
        <v>9978</v>
      </c>
      <c r="O202">
        <v>90</v>
      </c>
      <c r="P202" s="6">
        <v>200</v>
      </c>
      <c r="Q202" t="s">
        <v>1161</v>
      </c>
      <c r="R202" t="s">
        <v>1164</v>
      </c>
      <c r="S202" s="2">
        <f>HYPERLINK("https://yandex.ru/maps/?&amp;text=51.69027, 39.279984", "51.69027, 39.279984")</f>
        <v>0</v>
      </c>
      <c r="T202" s="2">
        <f>HYPERLINK("D:\torgi_project\venv_torgi\cache\objs_in_district/51.69027_39.279984.json", "51.69027_39.279984.json")</f>
        <v>0</v>
      </c>
      <c r="U202" t="s">
        <v>1356</v>
      </c>
      <c r="V202" s="7" t="s">
        <v>1629</v>
      </c>
    </row>
    <row r="203" spans="1:22">
      <c r="A203" s="8">
        <v>201</v>
      </c>
      <c r="B203">
        <v>36</v>
      </c>
      <c r="C203" s="1">
        <v>96.3</v>
      </c>
      <c r="D203" s="2">
        <f>HYPERLINK("https://torgi.gov.ru/new/public/lots/lot/22000022930000000036_5/(lotInfo:info)", "22000022930000000036_5")</f>
        <v>0</v>
      </c>
      <c r="E203" t="s">
        <v>222</v>
      </c>
      <c r="F203" s="3" t="s">
        <v>599</v>
      </c>
      <c r="G203" t="s">
        <v>898</v>
      </c>
      <c r="H203" s="4">
        <v>1881667</v>
      </c>
      <c r="I203" s="4">
        <v>19539.63655244029</v>
      </c>
      <c r="J203" s="5">
        <v>8.699999999999999</v>
      </c>
      <c r="K203" s="5">
        <v>1.96</v>
      </c>
      <c r="L203" s="4">
        <v>217.1</v>
      </c>
      <c r="M203">
        <v>2246</v>
      </c>
      <c r="N203">
        <v>9978</v>
      </c>
      <c r="O203">
        <v>90</v>
      </c>
      <c r="P203" s="6">
        <v>200</v>
      </c>
      <c r="Q203" t="s">
        <v>1161</v>
      </c>
      <c r="R203" t="s">
        <v>1164</v>
      </c>
      <c r="S203" s="2">
        <f>HYPERLINK("https://yandex.ru/maps/?&amp;text=51.69027, 39.279984", "51.69027, 39.279984")</f>
        <v>0</v>
      </c>
      <c r="T203" s="2">
        <f>HYPERLINK("D:\torgi_project\venv_torgi\cache\objs_in_district/51.69027_39.279984.json", "51.69027_39.279984.json")</f>
        <v>0</v>
      </c>
      <c r="U203" t="s">
        <v>1357</v>
      </c>
      <c r="V203" s="7" t="s">
        <v>1629</v>
      </c>
    </row>
    <row r="204" spans="1:22">
      <c r="A204" s="8">
        <v>202</v>
      </c>
      <c r="B204">
        <v>36</v>
      </c>
      <c r="C204" s="1">
        <v>85.7</v>
      </c>
      <c r="D204" s="2">
        <f>HYPERLINK("https://torgi.gov.ru/new/public/lots/lot/22000022930000000038_4/(lotInfo:info)", "22000022930000000038_4")</f>
        <v>0</v>
      </c>
      <c r="E204" t="s">
        <v>223</v>
      </c>
      <c r="F204" s="3" t="s">
        <v>600</v>
      </c>
      <c r="G204" t="s">
        <v>899</v>
      </c>
      <c r="H204" s="4">
        <v>4077917</v>
      </c>
      <c r="I204" s="4">
        <v>47583.62893815635</v>
      </c>
      <c r="J204" s="5">
        <v>9.43</v>
      </c>
      <c r="K204" s="5">
        <v>4.72</v>
      </c>
      <c r="L204" s="4">
        <v>436.54</v>
      </c>
      <c r="M204">
        <v>5048</v>
      </c>
      <c r="N204">
        <v>10071</v>
      </c>
      <c r="O204">
        <v>109</v>
      </c>
      <c r="Q204" t="s">
        <v>1161</v>
      </c>
      <c r="R204" t="s">
        <v>1164</v>
      </c>
      <c r="S204" s="2">
        <f>HYPERLINK("https://yandex.ru/maps/?&amp;text=51.67227, 39.198444", "51.67227, 39.198444")</f>
        <v>0</v>
      </c>
      <c r="T204" s="2">
        <f>HYPERLINK("D:\torgi_project\venv_torgi\cache\objs_in_district/51.67227_39.198444.json", "51.67227_39.198444.json")</f>
        <v>0</v>
      </c>
      <c r="U204" t="s">
        <v>1358</v>
      </c>
      <c r="V204" s="7" t="s">
        <v>1628</v>
      </c>
    </row>
    <row r="205" spans="1:22">
      <c r="A205" s="8">
        <v>203</v>
      </c>
      <c r="B205">
        <v>37</v>
      </c>
      <c r="C205" s="1">
        <v>277.8</v>
      </c>
      <c r="D205" s="2">
        <f>HYPERLINK("https://torgi.gov.ru/new/public/lots/lot/21000009780000000006_1/(lotInfo:info)", "21000009780000000006_1")</f>
        <v>0</v>
      </c>
      <c r="E205" t="s">
        <v>224</v>
      </c>
      <c r="F205" s="3" t="s">
        <v>601</v>
      </c>
      <c r="G205" t="s">
        <v>900</v>
      </c>
      <c r="H205" s="4">
        <v>4219000</v>
      </c>
      <c r="I205" s="4">
        <v>15187.18502519798</v>
      </c>
      <c r="J205" s="5">
        <v>18.19</v>
      </c>
      <c r="K205" s="5">
        <v>168.74</v>
      </c>
      <c r="L205" s="4">
        <v>15187</v>
      </c>
      <c r="M205">
        <v>835</v>
      </c>
      <c r="N205">
        <v>90</v>
      </c>
      <c r="O205">
        <v>1</v>
      </c>
      <c r="P205" s="6">
        <v>600</v>
      </c>
      <c r="Q205" t="s">
        <v>1161</v>
      </c>
      <c r="R205" t="s">
        <v>1164</v>
      </c>
      <c r="S205" s="2">
        <f>HYPERLINK("https://yandex.ru/maps/?&amp;text=57.450792, 42.141093", "57.450792, 42.141093")</f>
        <v>0</v>
      </c>
      <c r="T205" s="2">
        <f>HYPERLINK("D:\torgi_project\venv_torgi\cache\objs_in_district/57.450792_42.141093.json", "57.450792_42.141093.json")</f>
        <v>0</v>
      </c>
      <c r="U205" t="s">
        <v>1359</v>
      </c>
      <c r="V205" s="7" t="s">
        <v>1630</v>
      </c>
    </row>
    <row r="206" spans="1:22">
      <c r="A206" s="8">
        <v>204</v>
      </c>
      <c r="B206">
        <v>37</v>
      </c>
      <c r="C206" s="1">
        <v>91.90000000000001</v>
      </c>
      <c r="D206" s="2">
        <f>HYPERLINK("https://torgi.gov.ru/new/public/lots/lot/21000004310000000235_5/(lotInfo:info)", "21000004310000000235_5")</f>
        <v>0</v>
      </c>
      <c r="E206" t="s">
        <v>225</v>
      </c>
      <c r="F206" s="3" t="s">
        <v>602</v>
      </c>
      <c r="G206" t="s">
        <v>901</v>
      </c>
      <c r="H206" s="4">
        <v>1555000</v>
      </c>
      <c r="I206" s="4">
        <v>16920.56583242655</v>
      </c>
      <c r="J206" s="5">
        <v>676.8</v>
      </c>
      <c r="M206">
        <v>25</v>
      </c>
      <c r="P206" s="6">
        <v>4200</v>
      </c>
      <c r="Q206" t="s">
        <v>1161</v>
      </c>
      <c r="R206" t="s">
        <v>1165</v>
      </c>
      <c r="S206" s="2">
        <f>HYPERLINK("https://yandex.ru/maps/?&amp;text=57.263228, 41.05732", "57.263228, 41.05732")</f>
        <v>0</v>
      </c>
      <c r="U206" t="s">
        <v>1360</v>
      </c>
      <c r="V206" s="7" t="s">
        <v>1628</v>
      </c>
    </row>
    <row r="207" spans="1:22">
      <c r="A207" s="8">
        <v>205</v>
      </c>
      <c r="B207">
        <v>37</v>
      </c>
      <c r="C207" s="1">
        <v>282.5</v>
      </c>
      <c r="D207" s="2">
        <f>HYPERLINK("https://torgi.gov.ru/new/public/lots/lot/21000010870000000008_1/(lotInfo:info)", "21000010870000000008_1")</f>
        <v>0</v>
      </c>
      <c r="E207" t="s">
        <v>226</v>
      </c>
      <c r="F207" s="3" t="s">
        <v>603</v>
      </c>
      <c r="G207" t="s">
        <v>902</v>
      </c>
      <c r="H207" s="4">
        <v>5760000</v>
      </c>
      <c r="I207" s="4">
        <v>20389.38053097345</v>
      </c>
      <c r="J207" s="5">
        <v>5.99</v>
      </c>
      <c r="K207" s="5">
        <v>2.3</v>
      </c>
      <c r="L207" s="4">
        <v>1568.38</v>
      </c>
      <c r="M207">
        <v>3406</v>
      </c>
      <c r="N207">
        <v>8871</v>
      </c>
      <c r="O207">
        <v>13</v>
      </c>
      <c r="P207" s="6">
        <v>300</v>
      </c>
      <c r="Q207" t="s">
        <v>1161</v>
      </c>
      <c r="R207" t="s">
        <v>1164</v>
      </c>
      <c r="S207" s="2">
        <f>HYPERLINK("https://yandex.ru/maps/?&amp;text=56.998353, 40.992803", "56.998353, 40.992803")</f>
        <v>0</v>
      </c>
      <c r="T207" s="2">
        <f>HYPERLINK("D:\torgi_project\venv_torgi\cache\objs_in_district/56.998353_40.992803.json", "56.998353_40.992803.json")</f>
        <v>0</v>
      </c>
      <c r="U207" t="s">
        <v>1361</v>
      </c>
      <c r="V207" s="7" t="s">
        <v>1628</v>
      </c>
    </row>
    <row r="208" spans="1:22">
      <c r="A208" s="8">
        <v>206</v>
      </c>
      <c r="B208">
        <v>37</v>
      </c>
      <c r="C208" s="1">
        <v>158.7</v>
      </c>
      <c r="D208" s="2">
        <f>HYPERLINK("https://torgi.gov.ru/new/public/lots/lot/21000010870000000008_2/(lotInfo:info)", "21000010870000000008_2")</f>
        <v>0</v>
      </c>
      <c r="E208" t="s">
        <v>227</v>
      </c>
      <c r="F208" s="3" t="s">
        <v>603</v>
      </c>
      <c r="G208" t="s">
        <v>903</v>
      </c>
      <c r="H208" s="4">
        <v>5388000</v>
      </c>
      <c r="I208" s="4">
        <v>33950.85066162571</v>
      </c>
      <c r="J208" s="5">
        <v>9.970000000000001</v>
      </c>
      <c r="K208" s="5">
        <v>2.76</v>
      </c>
      <c r="L208" s="4">
        <v>4243.75</v>
      </c>
      <c r="M208">
        <v>3406</v>
      </c>
      <c r="N208">
        <v>12294</v>
      </c>
      <c r="O208">
        <v>8</v>
      </c>
      <c r="P208" s="6">
        <v>400</v>
      </c>
      <c r="Q208" t="s">
        <v>1161</v>
      </c>
      <c r="R208" t="s">
        <v>1164</v>
      </c>
      <c r="S208" s="2">
        <f>HYPERLINK("https://yandex.ru/maps/?&amp;text=56.996671, 40.996001", "56.996671, 40.996001")</f>
        <v>0</v>
      </c>
      <c r="T208" s="2">
        <f>HYPERLINK("D:\torgi_project\venv_torgi\cache\objs_in_district/56.996671_40.996001.json", "56.996671_40.996001.json")</f>
        <v>0</v>
      </c>
      <c r="U208" t="s">
        <v>1362</v>
      </c>
    </row>
    <row r="209" spans="1:22">
      <c r="A209" s="8">
        <v>207</v>
      </c>
      <c r="B209">
        <v>38</v>
      </c>
      <c r="C209" s="1">
        <v>191.6</v>
      </c>
      <c r="D209" s="2">
        <f>HYPERLINK("https://torgi.gov.ru/new/public/lots/lot/21000007110000000022_1/(lotInfo:info)", "21000007110000000022_1")</f>
        <v>0</v>
      </c>
      <c r="E209" t="s">
        <v>228</v>
      </c>
      <c r="F209" s="3" t="s">
        <v>604</v>
      </c>
      <c r="G209" t="s">
        <v>904</v>
      </c>
      <c r="H209" s="4">
        <v>1500000</v>
      </c>
      <c r="I209" s="4">
        <v>7828.810020876827</v>
      </c>
      <c r="J209" s="5">
        <v>2.9</v>
      </c>
      <c r="K209" s="5">
        <v>0.92</v>
      </c>
      <c r="L209" s="4">
        <v>177.91</v>
      </c>
      <c r="M209">
        <v>2697</v>
      </c>
      <c r="N209">
        <v>8549</v>
      </c>
      <c r="O209">
        <v>44</v>
      </c>
      <c r="P209" s="6">
        <v>400</v>
      </c>
      <c r="Q209" t="s">
        <v>1161</v>
      </c>
      <c r="R209" t="s">
        <v>1164</v>
      </c>
      <c r="S209" s="2">
        <f>HYPERLINK("https://yandex.ru/maps/?&amp;text=52.54143, 103.88623", "52.54143, 103.88623")</f>
        <v>0</v>
      </c>
      <c r="T209" s="2">
        <f>HYPERLINK("D:\torgi_project\venv_torgi\cache\objs_in_district/52.54143_103.88623.json", "52.54143_103.88623.json")</f>
        <v>0</v>
      </c>
      <c r="U209" t="s">
        <v>1363</v>
      </c>
    </row>
    <row r="210" spans="1:22">
      <c r="A210" s="8">
        <v>208</v>
      </c>
      <c r="B210">
        <v>38</v>
      </c>
      <c r="C210" s="1">
        <v>686.1</v>
      </c>
      <c r="D210" s="2">
        <f>HYPERLINK("https://torgi.gov.ru/new/public/lots/lot/21000007110000000020_1/(lotInfo:info)", "21000007110000000020_1")</f>
        <v>0</v>
      </c>
      <c r="E210" t="s">
        <v>229</v>
      </c>
      <c r="F210" s="3" t="s">
        <v>605</v>
      </c>
      <c r="G210" t="s">
        <v>905</v>
      </c>
      <c r="H210" s="4">
        <v>5629000</v>
      </c>
      <c r="I210" s="4">
        <v>8204.343390176358</v>
      </c>
      <c r="J210" s="5">
        <v>3.23</v>
      </c>
      <c r="K210" s="5">
        <v>1.38</v>
      </c>
      <c r="L210" s="4">
        <v>149.16</v>
      </c>
      <c r="M210">
        <v>2540</v>
      </c>
      <c r="N210">
        <v>5954</v>
      </c>
      <c r="O210">
        <v>55</v>
      </c>
      <c r="P210" s="6">
        <v>500</v>
      </c>
      <c r="Q210" t="s">
        <v>1162</v>
      </c>
      <c r="R210" t="s">
        <v>1164</v>
      </c>
      <c r="S210" s="2">
        <f>HYPERLINK("https://yandex.ru/maps/?&amp;text=52.502014, 103.83231", "52.502014, 103.83231")</f>
        <v>0</v>
      </c>
      <c r="T210" s="2">
        <f>HYPERLINK("D:\torgi_project\venv_torgi\cache\objs_in_district/52.502014_103.83231.json", "52.502014_103.83231.json")</f>
        <v>0</v>
      </c>
      <c r="U210" t="s">
        <v>1364</v>
      </c>
    </row>
    <row r="211" spans="1:22">
      <c r="A211" s="8">
        <v>209</v>
      </c>
      <c r="B211">
        <v>38</v>
      </c>
      <c r="C211" s="1">
        <v>237.5</v>
      </c>
      <c r="D211" s="2">
        <f>HYPERLINK("https://torgi.gov.ru/new/public/lots/lot/21000007110000000019_4/(lotInfo:info)", "21000007110000000019_4")</f>
        <v>0</v>
      </c>
      <c r="E211" t="s">
        <v>230</v>
      </c>
      <c r="F211" s="3" t="s">
        <v>605</v>
      </c>
      <c r="G211" t="s">
        <v>906</v>
      </c>
      <c r="H211" s="4">
        <v>1955000</v>
      </c>
      <c r="I211" s="4">
        <v>8231.578947368422</v>
      </c>
      <c r="J211" s="5">
        <v>3.61</v>
      </c>
      <c r="K211" s="5">
        <v>1.12</v>
      </c>
      <c r="L211" s="4">
        <v>164.62</v>
      </c>
      <c r="M211">
        <v>2283</v>
      </c>
      <c r="N211">
        <v>7374</v>
      </c>
      <c r="O211">
        <v>50</v>
      </c>
      <c r="Q211" t="s">
        <v>1161</v>
      </c>
      <c r="R211" t="s">
        <v>1164</v>
      </c>
      <c r="S211" s="2">
        <f>HYPERLINK("https://yandex.ru/maps/?&amp;text=52.514308, 103.87296", "52.514308, 103.87296")</f>
        <v>0</v>
      </c>
      <c r="T211" s="2">
        <f>HYPERLINK("D:\torgi_project\venv_torgi\cache\objs_in_district/52.514308_103.87296.json", "52.514308_103.87296.json")</f>
        <v>0</v>
      </c>
      <c r="U211" t="s">
        <v>1365</v>
      </c>
    </row>
    <row r="212" spans="1:22">
      <c r="A212" s="8">
        <v>210</v>
      </c>
      <c r="B212">
        <v>38</v>
      </c>
      <c r="C212" s="1">
        <v>111.6</v>
      </c>
      <c r="D212" s="2">
        <f>HYPERLINK("https://torgi.gov.ru/new/public/lots/lot/21000010510000000074_5/(lotInfo:info)", "21000010510000000074_5")</f>
        <v>0</v>
      </c>
      <c r="E212" t="s">
        <v>231</v>
      </c>
      <c r="F212" s="3" t="s">
        <v>547</v>
      </c>
      <c r="G212" t="s">
        <v>907</v>
      </c>
      <c r="H212" s="4">
        <v>1060800</v>
      </c>
      <c r="I212" s="4">
        <v>9505.376344086022</v>
      </c>
      <c r="J212" s="5">
        <v>4.86</v>
      </c>
      <c r="K212" s="5">
        <v>0.78</v>
      </c>
      <c r="L212" s="4">
        <v>559.12</v>
      </c>
      <c r="M212">
        <v>1957</v>
      </c>
      <c r="N212">
        <v>12164</v>
      </c>
      <c r="O212">
        <v>17</v>
      </c>
      <c r="P212" s="6">
        <v>400</v>
      </c>
      <c r="Q212" t="s">
        <v>1161</v>
      </c>
      <c r="R212" t="s">
        <v>1165</v>
      </c>
      <c r="S212" s="2">
        <f>HYPERLINK("https://yandex.ru/maps/?&amp;text=52.559553, 103.879904", "52.559553, 103.879904")</f>
        <v>0</v>
      </c>
      <c r="T212" s="2">
        <f>HYPERLINK("D:\torgi_project\venv_torgi\cache\objs_in_district/52.559553_103.879904.json", "52.559553_103.879904.json")</f>
        <v>0</v>
      </c>
      <c r="U212" t="s">
        <v>1366</v>
      </c>
    </row>
    <row r="213" spans="1:22">
      <c r="A213" s="8">
        <v>211</v>
      </c>
      <c r="B213">
        <v>38</v>
      </c>
      <c r="C213" s="1">
        <v>69.3</v>
      </c>
      <c r="D213" s="2">
        <f>HYPERLINK("https://torgi.gov.ru/new/public/lots/lot/21000007110000000019_1/(lotInfo:info)", "21000007110000000019_1")</f>
        <v>0</v>
      </c>
      <c r="E213" t="s">
        <v>232</v>
      </c>
      <c r="F213" s="3" t="s">
        <v>605</v>
      </c>
      <c r="G213" t="s">
        <v>908</v>
      </c>
      <c r="H213" s="4">
        <v>796000</v>
      </c>
      <c r="I213" s="4">
        <v>11486.29148629149</v>
      </c>
      <c r="J213" s="5">
        <v>5.61</v>
      </c>
      <c r="K213" s="5">
        <v>1.55</v>
      </c>
      <c r="L213" s="4">
        <v>229.72</v>
      </c>
      <c r="M213">
        <v>2047</v>
      </c>
      <c r="N213">
        <v>7396</v>
      </c>
      <c r="O213">
        <v>50</v>
      </c>
      <c r="P213" s="6">
        <v>200</v>
      </c>
      <c r="Q213" t="s">
        <v>1161</v>
      </c>
      <c r="R213" t="s">
        <v>1164</v>
      </c>
      <c r="S213" s="2">
        <f>HYPERLINK("https://yandex.ru/maps/?&amp;text=52.5088, 103.83684", "52.5088, 103.83684")</f>
        <v>0</v>
      </c>
      <c r="T213" s="2">
        <f>HYPERLINK("D:\torgi_project\venv_torgi\cache\objs_in_district/52.5088_103.83684.json", "52.5088_103.83684.json")</f>
        <v>0</v>
      </c>
      <c r="U213" t="s">
        <v>1367</v>
      </c>
    </row>
    <row r="214" spans="1:22">
      <c r="A214" s="8">
        <v>212</v>
      </c>
      <c r="B214">
        <v>38</v>
      </c>
      <c r="C214" s="1">
        <v>49.2</v>
      </c>
      <c r="D214" s="2">
        <f>HYPERLINK("https://torgi.gov.ru/new/public/lots/lot/21000007110000000022_2/(lotInfo:info)", "21000007110000000022_2")</f>
        <v>0</v>
      </c>
      <c r="E214" t="s">
        <v>233</v>
      </c>
      <c r="F214" s="3" t="s">
        <v>604</v>
      </c>
      <c r="G214" t="s">
        <v>909</v>
      </c>
      <c r="H214" s="4">
        <v>633000</v>
      </c>
      <c r="I214" s="4">
        <v>12865.85365853659</v>
      </c>
      <c r="J214" s="5">
        <v>5.14</v>
      </c>
      <c r="K214" s="5">
        <v>2</v>
      </c>
      <c r="L214" s="4">
        <v>135.42</v>
      </c>
      <c r="M214">
        <v>2503</v>
      </c>
      <c r="N214">
        <v>6442</v>
      </c>
      <c r="O214">
        <v>95</v>
      </c>
      <c r="P214" s="6">
        <v>300</v>
      </c>
      <c r="Q214" t="s">
        <v>1161</v>
      </c>
      <c r="R214" t="s">
        <v>1164</v>
      </c>
      <c r="S214" s="2">
        <f>HYPERLINK("https://yandex.ru/maps/?&amp;text=52.532576, 103.895472", "52.532576, 103.895472")</f>
        <v>0</v>
      </c>
      <c r="T214" s="2">
        <f>HYPERLINK("D:\torgi_project\venv_torgi\cache\objs_in_district/52.532576_103.895472.json", "52.532576_103.895472.json")</f>
        <v>0</v>
      </c>
      <c r="U214" t="s">
        <v>1368</v>
      </c>
    </row>
    <row r="215" spans="1:22">
      <c r="A215" s="8">
        <v>213</v>
      </c>
      <c r="B215">
        <v>38</v>
      </c>
      <c r="C215" s="1">
        <v>45.2</v>
      </c>
      <c r="D215" s="2">
        <f>HYPERLINK("https://torgi.gov.ru/new/public/lots/lot/21000007110000000019_3/(lotInfo:info)", "21000007110000000019_3")</f>
        <v>0</v>
      </c>
      <c r="E215" t="s">
        <v>234</v>
      </c>
      <c r="F215" s="3" t="s">
        <v>605</v>
      </c>
      <c r="G215" t="s">
        <v>910</v>
      </c>
      <c r="H215" s="4">
        <v>729000</v>
      </c>
      <c r="I215" s="4">
        <v>16128.3185840708</v>
      </c>
      <c r="J215" s="5">
        <v>9.289999999999999</v>
      </c>
      <c r="K215" s="5">
        <v>3.77</v>
      </c>
      <c r="L215" s="4">
        <v>336</v>
      </c>
      <c r="M215">
        <v>1736</v>
      </c>
      <c r="N215">
        <v>4273</v>
      </c>
      <c r="O215">
        <v>48</v>
      </c>
      <c r="P215" s="6">
        <v>300</v>
      </c>
      <c r="Q215" t="s">
        <v>1161</v>
      </c>
      <c r="R215" t="s">
        <v>1164</v>
      </c>
      <c r="S215" s="2">
        <f>HYPERLINK("https://yandex.ru/maps/?&amp;text=52.5129295, 103.8524811", "52.5129295, 103.8524811")</f>
        <v>0</v>
      </c>
      <c r="T215" s="2">
        <f>HYPERLINK("D:\torgi_project\venv_torgi\cache\objs_in_district/52.5129295_103.8524811.json", "52.5129295_103.8524811.json")</f>
        <v>0</v>
      </c>
      <c r="U215" t="s">
        <v>1369</v>
      </c>
    </row>
    <row r="216" spans="1:22">
      <c r="A216" s="8">
        <v>214</v>
      </c>
      <c r="B216">
        <v>38</v>
      </c>
      <c r="C216" s="1">
        <v>200.9</v>
      </c>
      <c r="D216" s="2">
        <f>HYPERLINK("https://torgi.gov.ru/new/public/lots/lot/22000102360000000012_1/(lotInfo:info)", "22000102360000000012_1")</f>
        <v>0</v>
      </c>
      <c r="E216" t="s">
        <v>235</v>
      </c>
      <c r="F216" s="3" t="s">
        <v>606</v>
      </c>
      <c r="G216" t="s">
        <v>911</v>
      </c>
      <c r="H216" s="4">
        <v>5110000</v>
      </c>
      <c r="I216" s="4">
        <v>25435.54006968641</v>
      </c>
      <c r="J216" s="5">
        <v>24.55</v>
      </c>
      <c r="K216" s="5">
        <v>83.12</v>
      </c>
      <c r="L216" s="4">
        <v>1816.79</v>
      </c>
      <c r="M216">
        <v>1036</v>
      </c>
      <c r="N216">
        <v>306</v>
      </c>
      <c r="O216">
        <v>14</v>
      </c>
      <c r="P216" s="6">
        <v>100</v>
      </c>
      <c r="Q216" t="s">
        <v>1162</v>
      </c>
      <c r="R216" t="s">
        <v>1164</v>
      </c>
      <c r="S216" s="2">
        <f>HYPERLINK("https://yandex.ru/maps/?&amp;text=54.904416, 99.031409", "54.904416, 99.031409")</f>
        <v>0</v>
      </c>
      <c r="T216" s="2">
        <f>HYPERLINK("D:\torgi_project\venv_torgi\cache\objs_in_district/54.904416_99.031409.json", "54.904416_99.031409.json")</f>
        <v>0</v>
      </c>
      <c r="U216" t="s">
        <v>1370</v>
      </c>
    </row>
    <row r="217" spans="1:22">
      <c r="A217" s="8">
        <v>215</v>
      </c>
      <c r="B217">
        <v>38</v>
      </c>
      <c r="C217" s="1">
        <v>42.2</v>
      </c>
      <c r="D217" s="2">
        <f>HYPERLINK("https://torgi.gov.ru/new/public/lots/lot/22000102360000000014_1/(lotInfo:info)", "22000102360000000014_1")</f>
        <v>0</v>
      </c>
      <c r="E217" t="s">
        <v>236</v>
      </c>
      <c r="F217" s="3" t="s">
        <v>607</v>
      </c>
      <c r="G217" t="s">
        <v>912</v>
      </c>
      <c r="H217" s="4">
        <v>1120000</v>
      </c>
      <c r="I217" s="4">
        <v>26540.28436018957</v>
      </c>
      <c r="J217" s="5">
        <v>28.45</v>
      </c>
      <c r="K217" s="5">
        <v>54.95</v>
      </c>
      <c r="L217" s="4">
        <v>8846.67</v>
      </c>
      <c r="M217">
        <v>933</v>
      </c>
      <c r="N217">
        <v>483</v>
      </c>
      <c r="O217">
        <v>3</v>
      </c>
      <c r="P217" s="6">
        <v>800</v>
      </c>
      <c r="Q217" t="s">
        <v>1162</v>
      </c>
      <c r="R217" t="s">
        <v>1164</v>
      </c>
      <c r="S217" s="2">
        <f>HYPERLINK("https://yandex.ru/maps/?&amp;text=54.90505, 99.04107", "54.90505, 99.04107")</f>
        <v>0</v>
      </c>
      <c r="T217" s="2">
        <f>HYPERLINK("D:\torgi_project\venv_torgi\cache\objs_in_district/54.90505_99.04107.json", "54.90505_99.04107.json")</f>
        <v>0</v>
      </c>
      <c r="U217" t="s">
        <v>1371</v>
      </c>
      <c r="V217" s="7" t="s">
        <v>1628</v>
      </c>
    </row>
    <row r="218" spans="1:22">
      <c r="A218" s="8">
        <v>216</v>
      </c>
      <c r="B218">
        <v>38</v>
      </c>
      <c r="C218" s="1">
        <v>50.1</v>
      </c>
      <c r="D218" s="2">
        <f>HYPERLINK("https://torgi.gov.ru/new/public/lots/lot/21000015330000000031_1/(lotInfo:info)", "21000015330000000031_1")</f>
        <v>0</v>
      </c>
      <c r="E218" t="s">
        <v>237</v>
      </c>
      <c r="F218" s="3" t="s">
        <v>608</v>
      </c>
      <c r="G218" t="s">
        <v>913</v>
      </c>
      <c r="H218" s="4">
        <v>2533840</v>
      </c>
      <c r="I218" s="4">
        <v>50575.64870259481</v>
      </c>
      <c r="J218" s="5">
        <v>33.56</v>
      </c>
      <c r="K218" s="5">
        <v>10.74</v>
      </c>
      <c r="L218" s="4">
        <v>602.08</v>
      </c>
      <c r="M218">
        <v>1507</v>
      </c>
      <c r="N218">
        <v>4710</v>
      </c>
      <c r="O218">
        <v>84</v>
      </c>
      <c r="Q218" t="s">
        <v>1161</v>
      </c>
      <c r="R218" t="s">
        <v>1164</v>
      </c>
      <c r="S218" s="2">
        <f>HYPERLINK("https://yandex.ru/maps/?&amp;text=56.310408, 101.735535", "56.310408, 101.735535")</f>
        <v>0</v>
      </c>
      <c r="T218" s="2">
        <f>HYPERLINK("D:\torgi_project\venv_torgi\cache\objs_in_district/56.310408_101.735535.json", "56.310408_101.735535.json")</f>
        <v>0</v>
      </c>
      <c r="U218" t="s">
        <v>1372</v>
      </c>
    </row>
    <row r="219" spans="1:22">
      <c r="A219" s="8">
        <v>217</v>
      </c>
      <c r="B219">
        <v>38</v>
      </c>
      <c r="C219" s="1">
        <v>108</v>
      </c>
      <c r="D219" s="2">
        <f>HYPERLINK("https://torgi.gov.ru/new/public/lots/lot/21000015330000000032_1/(lotInfo:info)", "21000015330000000032_1")</f>
        <v>0</v>
      </c>
      <c r="E219" t="s">
        <v>238</v>
      </c>
      <c r="F219" s="3" t="s">
        <v>608</v>
      </c>
      <c r="G219" t="s">
        <v>914</v>
      </c>
      <c r="H219" s="4">
        <v>6970000</v>
      </c>
      <c r="I219" s="4">
        <v>64537.03703703704</v>
      </c>
      <c r="J219" s="5">
        <v>34.11</v>
      </c>
      <c r="K219" s="5">
        <v>32.46</v>
      </c>
      <c r="L219" s="4">
        <v>8067.12</v>
      </c>
      <c r="M219">
        <v>1892</v>
      </c>
      <c r="N219">
        <v>1988</v>
      </c>
      <c r="O219">
        <v>8</v>
      </c>
      <c r="P219" s="6">
        <v>100</v>
      </c>
      <c r="Q219" t="s">
        <v>1161</v>
      </c>
      <c r="R219" t="s">
        <v>1164</v>
      </c>
      <c r="S219" s="2">
        <f>HYPERLINK("https://yandex.ru/maps/?&amp;text=56.153564, 101.59136", "56.153564, 101.59136")</f>
        <v>0</v>
      </c>
      <c r="T219" s="2">
        <f>HYPERLINK("D:\torgi_project\venv_torgi\cache\objs_in_district/56.153564_101.59136.json", "56.153564_101.59136.json")</f>
        <v>0</v>
      </c>
      <c r="U219" t="s">
        <v>1373</v>
      </c>
    </row>
    <row r="220" spans="1:22">
      <c r="A220" s="8">
        <v>218</v>
      </c>
      <c r="B220">
        <v>38</v>
      </c>
      <c r="C220" s="1">
        <v>46.6</v>
      </c>
      <c r="D220" s="2">
        <f>HYPERLINK("https://torgi.gov.ru/new/public/lots/lot/22000020910000000031_1/(lotInfo:info)", "22000020910000000031_1")</f>
        <v>0</v>
      </c>
      <c r="E220" t="s">
        <v>239</v>
      </c>
      <c r="F220" s="3" t="s">
        <v>609</v>
      </c>
      <c r="G220" t="s">
        <v>915</v>
      </c>
      <c r="H220" s="4">
        <v>3780000</v>
      </c>
      <c r="I220" s="4">
        <v>81115.87982832617</v>
      </c>
      <c r="J220" s="5">
        <v>16.64</v>
      </c>
      <c r="K220" s="5">
        <v>11.67</v>
      </c>
      <c r="L220" s="4">
        <v>7374.09</v>
      </c>
      <c r="M220">
        <v>4875</v>
      </c>
      <c r="N220">
        <v>6948</v>
      </c>
      <c r="O220">
        <v>11</v>
      </c>
      <c r="P220" s="6">
        <v>500</v>
      </c>
      <c r="Q220" t="s">
        <v>1161</v>
      </c>
      <c r="R220" t="s">
        <v>1164</v>
      </c>
      <c r="S220" s="2">
        <f>HYPERLINK("https://yandex.ru/maps/?&amp;text=52.270992, 104.32205", "52.270992, 104.32205")</f>
        <v>0</v>
      </c>
      <c r="T220" s="2">
        <f>HYPERLINK("D:\torgi_project\venv_torgi\cache\objs_in_district/52.270992_104.32205.json", "52.270992_104.32205.json")</f>
        <v>0</v>
      </c>
      <c r="U220" t="s">
        <v>1374</v>
      </c>
      <c r="V220" s="7" t="s">
        <v>1628</v>
      </c>
    </row>
    <row r="221" spans="1:22">
      <c r="A221" s="8">
        <v>219</v>
      </c>
      <c r="B221">
        <v>39</v>
      </c>
      <c r="C221" s="1">
        <v>574.8</v>
      </c>
      <c r="D221" s="2">
        <f>HYPERLINK("https://torgi.gov.ru/new/public/lots/lot/22000054080000000013_1/(lotInfo:info)", "22000054080000000013_1")</f>
        <v>0</v>
      </c>
      <c r="E221" t="s">
        <v>240</v>
      </c>
      <c r="F221" s="3" t="s">
        <v>610</v>
      </c>
      <c r="G221" t="s">
        <v>916</v>
      </c>
      <c r="H221" s="4">
        <v>2480700</v>
      </c>
      <c r="I221" s="4">
        <v>4315.762004175365</v>
      </c>
      <c r="J221" s="5">
        <v>21.15</v>
      </c>
      <c r="K221" s="5">
        <v>12.73</v>
      </c>
      <c r="L221" s="4">
        <v>2157.5</v>
      </c>
      <c r="M221">
        <v>204</v>
      </c>
      <c r="N221">
        <v>339</v>
      </c>
      <c r="O221">
        <v>2</v>
      </c>
      <c r="P221" s="6">
        <v>200</v>
      </c>
      <c r="Q221" t="s">
        <v>1161</v>
      </c>
      <c r="R221" t="s">
        <v>1164</v>
      </c>
      <c r="S221" s="2">
        <f>HYPERLINK("https://yandex.ru/maps/?&amp;text=54.351424, 21.309332", "54.351424, 21.309332")</f>
        <v>0</v>
      </c>
      <c r="T221" s="2">
        <f>HYPERLINK("D:\torgi_project\venv_torgi\cache\objs_in_district/54.351424_21.309332.json", "54.351424_21.309332.json")</f>
        <v>0</v>
      </c>
      <c r="U221" t="s">
        <v>1375</v>
      </c>
      <c r="V221" s="7" t="s">
        <v>1628</v>
      </c>
    </row>
    <row r="222" spans="1:22">
      <c r="A222" s="8">
        <v>220</v>
      </c>
      <c r="B222">
        <v>39</v>
      </c>
      <c r="C222" s="1">
        <v>273.6</v>
      </c>
      <c r="D222" s="2">
        <f>HYPERLINK("https://torgi.gov.ru/new/public/lots/lot/22000054080000000011_1/(lotInfo:info)", "22000054080000000011_1")</f>
        <v>0</v>
      </c>
      <c r="E222" t="s">
        <v>241</v>
      </c>
      <c r="F222" s="3" t="s">
        <v>610</v>
      </c>
      <c r="G222" t="s">
        <v>917</v>
      </c>
      <c r="H222" s="4">
        <v>1203500</v>
      </c>
      <c r="I222" s="4">
        <v>4398.75730994152</v>
      </c>
      <c r="J222" s="5">
        <v>89.76000000000001</v>
      </c>
      <c r="M222">
        <v>49</v>
      </c>
      <c r="P222" s="6">
        <v>200</v>
      </c>
      <c r="Q222" t="s">
        <v>1161</v>
      </c>
      <c r="R222" t="s">
        <v>1164</v>
      </c>
      <c r="S222" s="2">
        <f>HYPERLINK("https://yandex.ru/maps/?&amp;text=54.48716, 21.558399", "54.48716, 21.558399")</f>
        <v>0</v>
      </c>
      <c r="U222" t="s">
        <v>1376</v>
      </c>
      <c r="V222" s="7" t="s">
        <v>1628</v>
      </c>
    </row>
    <row r="223" spans="1:22">
      <c r="A223" s="8">
        <v>221</v>
      </c>
      <c r="B223">
        <v>39</v>
      </c>
      <c r="C223" s="1">
        <v>369.2</v>
      </c>
      <c r="D223" s="2">
        <f>HYPERLINK("https://torgi.gov.ru/new/public/lots/lot/22000054080000000012_1/(lotInfo:info)", "22000054080000000012_1")</f>
        <v>0</v>
      </c>
      <c r="E223" t="s">
        <v>242</v>
      </c>
      <c r="F223" s="3" t="s">
        <v>610</v>
      </c>
      <c r="G223" t="s">
        <v>918</v>
      </c>
      <c r="H223" s="4">
        <v>2074800</v>
      </c>
      <c r="I223" s="4">
        <v>5619.718309859155</v>
      </c>
      <c r="J223" s="5">
        <v>27.54</v>
      </c>
      <c r="K223" s="5">
        <v>16.58</v>
      </c>
      <c r="L223" s="4">
        <v>2809.5</v>
      </c>
      <c r="M223">
        <v>204</v>
      </c>
      <c r="N223">
        <v>339</v>
      </c>
      <c r="O223">
        <v>2</v>
      </c>
      <c r="P223" s="6">
        <v>200</v>
      </c>
      <c r="Q223" t="s">
        <v>1161</v>
      </c>
      <c r="R223" t="s">
        <v>1164</v>
      </c>
      <c r="S223" s="2">
        <f>HYPERLINK("https://yandex.ru/maps/?&amp;text=54.351424, 21.309332", "54.351424, 21.309332")</f>
        <v>0</v>
      </c>
      <c r="T223" s="2">
        <f>HYPERLINK("D:\torgi_project\venv_torgi\cache\objs_in_district/54.351424_21.309332.json", "54.351424_21.309332.json")</f>
        <v>0</v>
      </c>
      <c r="U223" t="s">
        <v>1377</v>
      </c>
      <c r="V223" s="7" t="s">
        <v>1628</v>
      </c>
    </row>
    <row r="224" spans="1:22">
      <c r="A224" s="8">
        <v>222</v>
      </c>
      <c r="B224">
        <v>39</v>
      </c>
      <c r="C224" s="1">
        <v>36.5</v>
      </c>
      <c r="D224" s="2">
        <f>HYPERLINK("https://torgi.gov.ru/new/public/lots/lot/21000033490000000036_1/(lotInfo:info)", "21000033490000000036_1")</f>
        <v>0</v>
      </c>
      <c r="E224" t="s">
        <v>243</v>
      </c>
      <c r="F224" s="3" t="s">
        <v>611</v>
      </c>
      <c r="G224" t="s">
        <v>919</v>
      </c>
      <c r="H224" s="4">
        <v>741000</v>
      </c>
      <c r="I224" s="4">
        <v>20301.3698630137</v>
      </c>
      <c r="J224" s="5">
        <v>11.5</v>
      </c>
      <c r="K224" s="5">
        <v>68.34999999999999</v>
      </c>
      <c r="M224">
        <v>1766</v>
      </c>
      <c r="N224">
        <v>297</v>
      </c>
      <c r="O224">
        <v>0</v>
      </c>
      <c r="P224" s="6">
        <v>1300</v>
      </c>
      <c r="Q224" t="s">
        <v>1162</v>
      </c>
      <c r="R224" t="s">
        <v>1164</v>
      </c>
      <c r="S224" s="2">
        <f>HYPERLINK("https://yandex.ru/maps/?&amp;text=54.589493, 22.180285", "54.589493, 22.180285")</f>
        <v>0</v>
      </c>
      <c r="U224" t="s">
        <v>1378</v>
      </c>
      <c r="V224" s="7" t="s">
        <v>1628</v>
      </c>
    </row>
    <row r="225" spans="1:22">
      <c r="A225" s="8">
        <v>223</v>
      </c>
      <c r="B225">
        <v>39</v>
      </c>
      <c r="C225" s="1">
        <v>50.6</v>
      </c>
      <c r="D225" s="2">
        <f>HYPERLINK("https://torgi.gov.ru/new/public/lots/lot/21000029430000000033_4/(lotInfo:info)", "21000029430000000033_4")</f>
        <v>0</v>
      </c>
      <c r="E225" t="s">
        <v>244</v>
      </c>
      <c r="F225" s="3" t="s">
        <v>612</v>
      </c>
      <c r="G225" t="s">
        <v>920</v>
      </c>
      <c r="H225" s="4">
        <v>1363700</v>
      </c>
      <c r="I225" s="4">
        <v>26950.59288537549</v>
      </c>
      <c r="J225" s="5">
        <v>7.96</v>
      </c>
      <c r="K225" s="5">
        <v>2.58</v>
      </c>
      <c r="L225" s="4">
        <v>3850</v>
      </c>
      <c r="M225">
        <v>3387</v>
      </c>
      <c r="N225">
        <v>10455</v>
      </c>
      <c r="O225">
        <v>7</v>
      </c>
      <c r="P225" s="6">
        <v>700</v>
      </c>
      <c r="Q225" t="s">
        <v>1161</v>
      </c>
      <c r="R225" t="s">
        <v>1165</v>
      </c>
      <c r="S225" s="2">
        <f>HYPERLINK("https://yandex.ru/maps/?&amp;text=54.734596, 20.554666", "54.734596, 20.554666")</f>
        <v>0</v>
      </c>
      <c r="T225" s="2">
        <f>HYPERLINK("D:\torgi_project\venv_torgi\cache\objs_in_district/54.734596_20.554666.json", "54.734596_20.554666.json")</f>
        <v>0</v>
      </c>
      <c r="U225" t="s">
        <v>1379</v>
      </c>
      <c r="V225" s="7" t="s">
        <v>1629</v>
      </c>
    </row>
    <row r="226" spans="1:22">
      <c r="A226" s="8">
        <v>224</v>
      </c>
      <c r="B226">
        <v>39</v>
      </c>
      <c r="C226" s="1">
        <v>152.9</v>
      </c>
      <c r="D226" s="2">
        <f>HYPERLINK("https://torgi.gov.ru/new/public/lots/lot/22000054080000000015_1/(lotInfo:info)", "22000054080000000015_1")</f>
        <v>0</v>
      </c>
      <c r="E226" t="s">
        <v>245</v>
      </c>
      <c r="F226" s="3" t="s">
        <v>610</v>
      </c>
      <c r="G226" t="s">
        <v>921</v>
      </c>
      <c r="H226" s="4">
        <v>4716300</v>
      </c>
      <c r="I226" s="4">
        <v>30845.65075212557</v>
      </c>
      <c r="J226" s="5">
        <v>28.45</v>
      </c>
      <c r="K226" s="5">
        <v>94.33</v>
      </c>
      <c r="L226" s="4">
        <v>3084.5</v>
      </c>
      <c r="M226">
        <v>1084</v>
      </c>
      <c r="N226">
        <v>327</v>
      </c>
      <c r="O226">
        <v>10</v>
      </c>
      <c r="P226" s="6">
        <v>100</v>
      </c>
      <c r="Q226" t="s">
        <v>1161</v>
      </c>
      <c r="R226" t="s">
        <v>1164</v>
      </c>
      <c r="S226" s="2">
        <f>HYPERLINK("https://yandex.ru/maps/?&amp;text=54.446607, 21.015421", "54.446607, 21.015421")</f>
        <v>0</v>
      </c>
      <c r="T226" s="2">
        <f>HYPERLINK("D:\torgi_project\venv_torgi\cache\objs_in_district/54.446607_21.015421.json", "54.446607_21.015421.json")</f>
        <v>0</v>
      </c>
      <c r="U226" t="s">
        <v>1380</v>
      </c>
    </row>
    <row r="227" spans="1:22">
      <c r="A227" s="8">
        <v>225</v>
      </c>
      <c r="B227">
        <v>39</v>
      </c>
      <c r="C227" s="1">
        <v>74.59999999999999</v>
      </c>
      <c r="D227" s="2">
        <f>HYPERLINK("https://torgi.gov.ru/new/public/lots/lot/22000054080000000015_2/(lotInfo:info)", "22000054080000000015_2")</f>
        <v>0</v>
      </c>
      <c r="E227" t="s">
        <v>246</v>
      </c>
      <c r="F227" s="3" t="s">
        <v>610</v>
      </c>
      <c r="G227" t="s">
        <v>921</v>
      </c>
      <c r="H227" s="4">
        <v>2380400</v>
      </c>
      <c r="I227" s="4">
        <v>31908.8471849866</v>
      </c>
      <c r="J227" s="5">
        <v>29.44</v>
      </c>
      <c r="K227" s="5">
        <v>97.58</v>
      </c>
      <c r="L227" s="4">
        <v>3190.8</v>
      </c>
      <c r="M227">
        <v>1084</v>
      </c>
      <c r="N227">
        <v>327</v>
      </c>
      <c r="O227">
        <v>10</v>
      </c>
      <c r="P227" s="6">
        <v>100</v>
      </c>
      <c r="Q227" t="s">
        <v>1161</v>
      </c>
      <c r="R227" t="s">
        <v>1164</v>
      </c>
      <c r="S227" s="2">
        <f>HYPERLINK("https://yandex.ru/maps/?&amp;text=54.446607, 21.015421", "54.446607, 21.015421")</f>
        <v>0</v>
      </c>
      <c r="T227" s="2">
        <f>HYPERLINK("D:\torgi_project\venv_torgi\cache\objs_in_district/54.446607_21.015421.json", "54.446607_21.015421.json")</f>
        <v>0</v>
      </c>
      <c r="U227" t="s">
        <v>1381</v>
      </c>
    </row>
    <row r="228" spans="1:22">
      <c r="A228" s="8">
        <v>226</v>
      </c>
      <c r="B228">
        <v>39</v>
      </c>
      <c r="C228" s="1">
        <v>57.2</v>
      </c>
      <c r="D228" s="2">
        <f>HYPERLINK("https://torgi.gov.ru/new/public/lots/lot/22000054080000000015_7/(lotInfo:info)", "22000054080000000015_7")</f>
        <v>0</v>
      </c>
      <c r="E228" t="s">
        <v>247</v>
      </c>
      <c r="F228" s="3" t="s">
        <v>610</v>
      </c>
      <c r="G228" t="s">
        <v>921</v>
      </c>
      <c r="H228" s="4">
        <v>1825200</v>
      </c>
      <c r="I228" s="4">
        <v>31909.09090909091</v>
      </c>
      <c r="J228" s="5">
        <v>29.44</v>
      </c>
      <c r="K228" s="5">
        <v>97.58</v>
      </c>
      <c r="L228" s="4">
        <v>3190.9</v>
      </c>
      <c r="M228">
        <v>1084</v>
      </c>
      <c r="N228">
        <v>327</v>
      </c>
      <c r="O228">
        <v>10</v>
      </c>
      <c r="P228" s="6">
        <v>100</v>
      </c>
      <c r="Q228" t="s">
        <v>1161</v>
      </c>
      <c r="R228" t="s">
        <v>1164</v>
      </c>
      <c r="S228" s="2">
        <f>HYPERLINK("https://yandex.ru/maps/?&amp;text=54.446607, 21.015421", "54.446607, 21.015421")</f>
        <v>0</v>
      </c>
      <c r="T228" s="2">
        <f>HYPERLINK("D:\torgi_project\venv_torgi\cache\objs_in_district/54.446607_21.015421.json", "54.446607_21.015421.json")</f>
        <v>0</v>
      </c>
      <c r="U228" t="s">
        <v>1382</v>
      </c>
    </row>
    <row r="229" spans="1:22">
      <c r="A229" s="8">
        <v>227</v>
      </c>
      <c r="B229">
        <v>39</v>
      </c>
      <c r="C229" s="1">
        <v>60.6</v>
      </c>
      <c r="D229" s="2">
        <f>HYPERLINK("https://torgi.gov.ru/new/public/lots/lot/22000054080000000015_6/(lotInfo:info)", "22000054080000000015_6")</f>
        <v>0</v>
      </c>
      <c r="E229" t="s">
        <v>248</v>
      </c>
      <c r="F229" s="3" t="s">
        <v>610</v>
      </c>
      <c r="G229" t="s">
        <v>921</v>
      </c>
      <c r="H229" s="4">
        <v>1933700</v>
      </c>
      <c r="I229" s="4">
        <v>31909.24092409241</v>
      </c>
      <c r="J229" s="5">
        <v>29.44</v>
      </c>
      <c r="K229" s="5">
        <v>97.58</v>
      </c>
      <c r="L229" s="4">
        <v>3190.9</v>
      </c>
      <c r="M229">
        <v>1084</v>
      </c>
      <c r="N229">
        <v>327</v>
      </c>
      <c r="O229">
        <v>10</v>
      </c>
      <c r="P229" s="6">
        <v>100</v>
      </c>
      <c r="Q229" t="s">
        <v>1161</v>
      </c>
      <c r="R229" t="s">
        <v>1164</v>
      </c>
      <c r="S229" s="2">
        <f>HYPERLINK("https://yandex.ru/maps/?&amp;text=54.446607, 21.015421", "54.446607, 21.015421")</f>
        <v>0</v>
      </c>
      <c r="T229" s="2">
        <f>HYPERLINK("D:\torgi_project\venv_torgi\cache\objs_in_district/54.446607_21.015421.json", "54.446607_21.015421.json")</f>
        <v>0</v>
      </c>
      <c r="U229" t="s">
        <v>1383</v>
      </c>
    </row>
    <row r="230" spans="1:22">
      <c r="A230" s="8">
        <v>228</v>
      </c>
      <c r="B230">
        <v>39</v>
      </c>
      <c r="C230" s="1">
        <v>76.59999999999999</v>
      </c>
      <c r="D230" s="2">
        <f>HYPERLINK("https://torgi.gov.ru/new/public/lots/lot/22000054080000000015_3/(lotInfo:info)", "22000054080000000015_3")</f>
        <v>0</v>
      </c>
      <c r="E230" t="s">
        <v>249</v>
      </c>
      <c r="F230" s="3" t="s">
        <v>610</v>
      </c>
      <c r="G230" t="s">
        <v>921</v>
      </c>
      <c r="H230" s="4">
        <v>2444300</v>
      </c>
      <c r="I230" s="4">
        <v>31909.92167101828</v>
      </c>
      <c r="J230" s="5">
        <v>29.44</v>
      </c>
      <c r="K230" s="5">
        <v>97.58</v>
      </c>
      <c r="L230" s="4">
        <v>3190.9</v>
      </c>
      <c r="M230">
        <v>1084</v>
      </c>
      <c r="N230">
        <v>327</v>
      </c>
      <c r="O230">
        <v>10</v>
      </c>
      <c r="P230" s="6">
        <v>100</v>
      </c>
      <c r="Q230" t="s">
        <v>1161</v>
      </c>
      <c r="R230" t="s">
        <v>1164</v>
      </c>
      <c r="S230" s="2">
        <f>HYPERLINK("https://yandex.ru/maps/?&amp;text=54.446607, 21.015421", "54.446607, 21.015421")</f>
        <v>0</v>
      </c>
      <c r="T230" s="2">
        <f>HYPERLINK("D:\torgi_project\venv_torgi\cache\objs_in_district/54.446607_21.015421.json", "54.446607_21.015421.json")</f>
        <v>0</v>
      </c>
      <c r="U230" t="s">
        <v>1384</v>
      </c>
    </row>
    <row r="231" spans="1:22">
      <c r="A231" s="8">
        <v>229</v>
      </c>
      <c r="B231">
        <v>39</v>
      </c>
      <c r="C231" s="1">
        <v>51.2</v>
      </c>
      <c r="D231" s="2">
        <f>HYPERLINK("https://torgi.gov.ru/new/public/lots/lot/22000054080000000015_8/(lotInfo:info)", "22000054080000000015_8")</f>
        <v>0</v>
      </c>
      <c r="E231" t="s">
        <v>250</v>
      </c>
      <c r="F231" s="3" t="s">
        <v>610</v>
      </c>
      <c r="G231" t="s">
        <v>921</v>
      </c>
      <c r="H231" s="4">
        <v>1633800</v>
      </c>
      <c r="I231" s="4">
        <v>31910.15625</v>
      </c>
      <c r="J231" s="5">
        <v>29.44</v>
      </c>
      <c r="K231" s="5">
        <v>97.58</v>
      </c>
      <c r="L231" s="4">
        <v>3191</v>
      </c>
      <c r="M231">
        <v>1084</v>
      </c>
      <c r="N231">
        <v>327</v>
      </c>
      <c r="O231">
        <v>10</v>
      </c>
      <c r="P231" s="6">
        <v>100</v>
      </c>
      <c r="Q231" t="s">
        <v>1161</v>
      </c>
      <c r="R231" t="s">
        <v>1164</v>
      </c>
      <c r="S231" s="2">
        <f>HYPERLINK("https://yandex.ru/maps/?&amp;text=54.446607, 21.015421", "54.446607, 21.015421")</f>
        <v>0</v>
      </c>
      <c r="T231" s="2">
        <f>HYPERLINK("D:\torgi_project\venv_torgi\cache\objs_in_district/54.446607_21.015421.json", "54.446607_21.015421.json")</f>
        <v>0</v>
      </c>
      <c r="U231" t="s">
        <v>1385</v>
      </c>
    </row>
    <row r="232" spans="1:22">
      <c r="A232" s="8">
        <v>230</v>
      </c>
      <c r="B232">
        <v>39</v>
      </c>
      <c r="C232" s="1">
        <v>55.8</v>
      </c>
      <c r="D232" s="2">
        <f>HYPERLINK("https://torgi.gov.ru/new/public/lots/lot/22000054080000000015_4/(lotInfo:info)", "22000054080000000015_4")</f>
        <v>0</v>
      </c>
      <c r="E232" t="s">
        <v>251</v>
      </c>
      <c r="F232" s="3" t="s">
        <v>610</v>
      </c>
      <c r="G232" t="s">
        <v>921</v>
      </c>
      <c r="H232" s="4">
        <v>1800800</v>
      </c>
      <c r="I232" s="4">
        <v>32272.40143369176</v>
      </c>
      <c r="J232" s="5">
        <v>29.77</v>
      </c>
      <c r="K232" s="5">
        <v>98.69</v>
      </c>
      <c r="L232" s="4">
        <v>3227.2</v>
      </c>
      <c r="M232">
        <v>1084</v>
      </c>
      <c r="N232">
        <v>327</v>
      </c>
      <c r="O232">
        <v>10</v>
      </c>
      <c r="P232" s="6">
        <v>100</v>
      </c>
      <c r="Q232" t="s">
        <v>1161</v>
      </c>
      <c r="R232" t="s">
        <v>1164</v>
      </c>
      <c r="S232" s="2">
        <f>HYPERLINK("https://yandex.ru/maps/?&amp;text=54.446607, 21.015421", "54.446607, 21.015421")</f>
        <v>0</v>
      </c>
      <c r="T232" s="2">
        <f>HYPERLINK("D:\torgi_project\venv_torgi\cache\objs_in_district/54.446607_21.015421.json", "54.446607_21.015421.json")</f>
        <v>0</v>
      </c>
      <c r="U232" t="s">
        <v>1386</v>
      </c>
    </row>
    <row r="233" spans="1:22">
      <c r="A233" s="8">
        <v>231</v>
      </c>
      <c r="B233">
        <v>39</v>
      </c>
      <c r="C233" s="1">
        <v>39.7</v>
      </c>
      <c r="D233" s="2">
        <f>HYPERLINK("https://torgi.gov.ru/new/public/lots/lot/22000054080000000015_9/(lotInfo:info)", "22000054080000000015_9")</f>
        <v>0</v>
      </c>
      <c r="E233" t="s">
        <v>252</v>
      </c>
      <c r="F233" s="3" t="s">
        <v>610</v>
      </c>
      <c r="G233" t="s">
        <v>921</v>
      </c>
      <c r="H233" s="4">
        <v>1342800</v>
      </c>
      <c r="I233" s="4">
        <v>33823.67758186398</v>
      </c>
      <c r="J233" s="5">
        <v>31.2</v>
      </c>
      <c r="K233" s="5">
        <v>103.43</v>
      </c>
      <c r="L233" s="4">
        <v>3382.3</v>
      </c>
      <c r="M233">
        <v>1084</v>
      </c>
      <c r="N233">
        <v>327</v>
      </c>
      <c r="O233">
        <v>10</v>
      </c>
      <c r="P233" s="6">
        <v>100</v>
      </c>
      <c r="Q233" t="s">
        <v>1161</v>
      </c>
      <c r="R233" t="s">
        <v>1164</v>
      </c>
      <c r="S233" s="2">
        <f>HYPERLINK("https://yandex.ru/maps/?&amp;text=54.446607, 21.015421", "54.446607, 21.015421")</f>
        <v>0</v>
      </c>
      <c r="T233" s="2">
        <f>HYPERLINK("D:\torgi_project\venv_torgi\cache\objs_in_district/54.446607_21.015421.json", "54.446607_21.015421.json")</f>
        <v>0</v>
      </c>
      <c r="U233" t="s">
        <v>1387</v>
      </c>
    </row>
    <row r="234" spans="1:22">
      <c r="A234" s="8">
        <v>232</v>
      </c>
      <c r="B234">
        <v>39</v>
      </c>
      <c r="C234" s="1">
        <v>40.6</v>
      </c>
      <c r="D234" s="2">
        <f>HYPERLINK("https://torgi.gov.ru/new/public/lots/lot/22000054080000000015_5/(lotInfo:info)", "22000054080000000015_5")</f>
        <v>0</v>
      </c>
      <c r="E234" t="s">
        <v>253</v>
      </c>
      <c r="F234" s="3" t="s">
        <v>610</v>
      </c>
      <c r="G234" t="s">
        <v>921</v>
      </c>
      <c r="H234" s="4">
        <v>1388900</v>
      </c>
      <c r="I234" s="4">
        <v>34209.35960591133</v>
      </c>
      <c r="J234" s="5">
        <v>31.56</v>
      </c>
      <c r="K234" s="5">
        <v>104.61</v>
      </c>
      <c r="L234" s="4">
        <v>3420.9</v>
      </c>
      <c r="M234">
        <v>1084</v>
      </c>
      <c r="N234">
        <v>327</v>
      </c>
      <c r="O234">
        <v>10</v>
      </c>
      <c r="P234" s="6">
        <v>100</v>
      </c>
      <c r="Q234" t="s">
        <v>1161</v>
      </c>
      <c r="R234" t="s">
        <v>1164</v>
      </c>
      <c r="S234" s="2">
        <f>HYPERLINK("https://yandex.ru/maps/?&amp;text=54.446607, 21.015421", "54.446607, 21.015421")</f>
        <v>0</v>
      </c>
      <c r="T234" s="2">
        <f>HYPERLINK("D:\torgi_project\venv_torgi\cache\objs_in_district/54.446607_21.015421.json", "54.446607_21.015421.json")</f>
        <v>0</v>
      </c>
      <c r="U234" t="s">
        <v>1388</v>
      </c>
    </row>
    <row r="235" spans="1:22">
      <c r="A235" s="8">
        <v>233</v>
      </c>
      <c r="B235">
        <v>39</v>
      </c>
      <c r="C235" s="1">
        <v>20.9</v>
      </c>
      <c r="D235" s="2">
        <f>HYPERLINK("https://torgi.gov.ru/new/public/lots/lot/21000033490000000038_1/(lotInfo:info)", "21000033490000000038_1")</f>
        <v>0</v>
      </c>
      <c r="E235" t="s">
        <v>243</v>
      </c>
      <c r="F235" s="3" t="s">
        <v>613</v>
      </c>
      <c r="G235" t="s">
        <v>922</v>
      </c>
      <c r="H235" s="4">
        <v>905000</v>
      </c>
      <c r="I235" s="4">
        <v>43301.43540669857</v>
      </c>
      <c r="J235" s="5">
        <v>36.05</v>
      </c>
      <c r="K235" s="5">
        <v>236.62</v>
      </c>
      <c r="M235">
        <v>1201</v>
      </c>
      <c r="N235">
        <v>183</v>
      </c>
      <c r="O235">
        <v>0</v>
      </c>
      <c r="P235" s="6">
        <v>600</v>
      </c>
      <c r="Q235" t="s">
        <v>1162</v>
      </c>
      <c r="R235" t="s">
        <v>1164</v>
      </c>
      <c r="S235" s="2">
        <f>HYPERLINK("https://yandex.ru/maps/?&amp;text=54.581004, 22.20347", "54.581004, 22.20347")</f>
        <v>0</v>
      </c>
      <c r="U235" t="s">
        <v>1389</v>
      </c>
      <c r="V235" s="7" t="s">
        <v>1628</v>
      </c>
    </row>
    <row r="236" spans="1:22">
      <c r="A236" s="8">
        <v>234</v>
      </c>
      <c r="B236">
        <v>41</v>
      </c>
      <c r="C236" s="1">
        <v>56.5</v>
      </c>
      <c r="D236" s="2">
        <f>HYPERLINK("https://torgi.gov.ru/new/public/lots/lot/21000021120000000002_1/(lotInfo:info)", "21000021120000000002_1")</f>
        <v>0</v>
      </c>
      <c r="E236" t="s">
        <v>254</v>
      </c>
      <c r="F236" s="3" t="s">
        <v>614</v>
      </c>
      <c r="G236" t="s">
        <v>923</v>
      </c>
      <c r="H236" s="4">
        <v>744153</v>
      </c>
      <c r="I236" s="4">
        <v>13170.84955752212</v>
      </c>
      <c r="J236" s="5">
        <v>8.5</v>
      </c>
      <c r="K236" s="5">
        <v>2.16</v>
      </c>
      <c r="L236" s="4">
        <v>274.38</v>
      </c>
      <c r="M236">
        <v>1549</v>
      </c>
      <c r="N236">
        <v>6085</v>
      </c>
      <c r="O236">
        <v>48</v>
      </c>
      <c r="P236" s="6">
        <v>400</v>
      </c>
      <c r="Q236" t="s">
        <v>1161</v>
      </c>
      <c r="R236" t="s">
        <v>1164</v>
      </c>
      <c r="S236" s="2">
        <f>HYPERLINK("https://yandex.ru/maps/?&amp;text=52.99132, 158.66356", "52.99132, 158.66356")</f>
        <v>0</v>
      </c>
      <c r="T236" s="2">
        <f>HYPERLINK("D:\torgi_project\venv_torgi\cache\objs_in_district/52.99132_158.66356.json", "52.99132_158.66356.json")</f>
        <v>0</v>
      </c>
      <c r="U236" t="s">
        <v>1390</v>
      </c>
      <c r="V236" s="7" t="s">
        <v>1629</v>
      </c>
    </row>
    <row r="237" spans="1:22">
      <c r="A237" s="8">
        <v>235</v>
      </c>
      <c r="B237">
        <v>42</v>
      </c>
      <c r="C237" s="1">
        <v>202.7</v>
      </c>
      <c r="D237" s="2">
        <f>HYPERLINK("https://torgi.gov.ru/new/public/lots/lot/22000017180000000002_6/(lotInfo:info)", "22000017180000000002_6")</f>
        <v>0</v>
      </c>
      <c r="E237" t="s">
        <v>255</v>
      </c>
      <c r="F237" s="3" t="s">
        <v>543</v>
      </c>
      <c r="G237" t="s">
        <v>924</v>
      </c>
      <c r="H237" s="4">
        <v>625000</v>
      </c>
      <c r="I237" s="4">
        <v>3083.3744449926</v>
      </c>
      <c r="J237" s="5">
        <v>0.9</v>
      </c>
      <c r="K237" s="5">
        <v>9.43</v>
      </c>
      <c r="L237" s="4">
        <v>1541.5</v>
      </c>
      <c r="M237">
        <v>3423</v>
      </c>
      <c r="N237">
        <v>327</v>
      </c>
      <c r="O237">
        <v>2</v>
      </c>
      <c r="P237" s="6">
        <v>500</v>
      </c>
      <c r="Q237" t="s">
        <v>1162</v>
      </c>
      <c r="R237" t="s">
        <v>1164</v>
      </c>
      <c r="S237" s="2">
        <f>HYPERLINK("https://yandex.ru/maps/?&amp;text=53.776893, 87.212122", "53.776893, 87.212122")</f>
        <v>0</v>
      </c>
      <c r="T237" s="2">
        <f>HYPERLINK("D:\torgi_project\venv_torgi\cache\objs_in_district/53.776893_87.212122.json", "53.776893_87.212122.json")</f>
        <v>0</v>
      </c>
      <c r="U237" t="s">
        <v>1391</v>
      </c>
    </row>
    <row r="238" spans="1:22">
      <c r="A238" s="8">
        <v>236</v>
      </c>
      <c r="B238">
        <v>42</v>
      </c>
      <c r="C238" s="1">
        <v>72.3</v>
      </c>
      <c r="D238" s="2">
        <f>HYPERLINK("https://torgi.gov.ru/new/public/lots/lot/22000037850000000007_1/(lotInfo:info)", "22000037850000000007_1")</f>
        <v>0</v>
      </c>
      <c r="E238" t="s">
        <v>256</v>
      </c>
      <c r="F238" s="3" t="s">
        <v>615</v>
      </c>
      <c r="G238" t="s">
        <v>925</v>
      </c>
      <c r="H238" s="4">
        <v>500000</v>
      </c>
      <c r="I238" s="4">
        <v>6915.629322268327</v>
      </c>
      <c r="J238" s="5">
        <v>108.05</v>
      </c>
      <c r="K238" s="5">
        <v>59.1</v>
      </c>
      <c r="M238">
        <v>64</v>
      </c>
      <c r="N238">
        <v>117</v>
      </c>
      <c r="O238">
        <v>0</v>
      </c>
      <c r="P238" s="6">
        <v>100</v>
      </c>
      <c r="Q238" t="s">
        <v>1161</v>
      </c>
      <c r="R238" t="s">
        <v>1164</v>
      </c>
      <c r="S238" s="2">
        <f>HYPERLINK("https://yandex.ru/maps/?&amp;text=55.244988, 85.342072", "55.244988, 85.342072")</f>
        <v>0</v>
      </c>
      <c r="U238" t="s">
        <v>1392</v>
      </c>
    </row>
    <row r="239" spans="1:22">
      <c r="A239" s="8">
        <v>237</v>
      </c>
      <c r="B239">
        <v>42</v>
      </c>
      <c r="C239" s="1">
        <v>266.8</v>
      </c>
      <c r="D239" s="2">
        <f>HYPERLINK("https://torgi.gov.ru/new/public/lots/lot/22000017180000000002_8/(lotInfo:info)", "22000017180000000002_8")</f>
        <v>0</v>
      </c>
      <c r="E239" t="s">
        <v>257</v>
      </c>
      <c r="F239" s="3" t="s">
        <v>543</v>
      </c>
      <c r="G239" t="s">
        <v>926</v>
      </c>
      <c r="H239" s="4">
        <v>1884000</v>
      </c>
      <c r="I239" s="4">
        <v>7061.469265367316</v>
      </c>
      <c r="J239" s="5">
        <v>3.66</v>
      </c>
      <c r="K239" s="5">
        <v>1.05</v>
      </c>
      <c r="L239" s="4">
        <v>1008.71</v>
      </c>
      <c r="M239">
        <v>1929</v>
      </c>
      <c r="N239">
        <v>6708</v>
      </c>
      <c r="O239">
        <v>7</v>
      </c>
      <c r="P239" s="6">
        <v>1100</v>
      </c>
      <c r="Q239" t="s">
        <v>1162</v>
      </c>
      <c r="R239" t="s">
        <v>1164</v>
      </c>
      <c r="S239" s="2">
        <f>HYPERLINK("https://yandex.ru/maps/?&amp;text=53.86811, 86.618", "53.86811, 86.618")</f>
        <v>0</v>
      </c>
      <c r="T239" s="2">
        <f>HYPERLINK("D:\torgi_project\venv_torgi\cache\objs_in_district/53.86811_86.618.json", "53.86811_86.618.json")</f>
        <v>0</v>
      </c>
      <c r="U239" t="s">
        <v>1393</v>
      </c>
    </row>
    <row r="240" spans="1:22">
      <c r="A240" s="8">
        <v>238</v>
      </c>
      <c r="B240">
        <v>42</v>
      </c>
      <c r="C240" s="1">
        <v>177.8</v>
      </c>
      <c r="D240" s="2">
        <f>HYPERLINK("https://torgi.gov.ru/new/public/lots/lot/22000005130000000150_1/(lotInfo:info)", "22000005130000000150_1")</f>
        <v>0</v>
      </c>
      <c r="E240" t="s">
        <v>258</v>
      </c>
      <c r="F240" s="3" t="s">
        <v>616</v>
      </c>
      <c r="G240" t="s">
        <v>927</v>
      </c>
      <c r="H240" s="4">
        <v>1317000</v>
      </c>
      <c r="I240" s="4">
        <v>7407.199100112485</v>
      </c>
      <c r="J240" s="5">
        <v>4.24</v>
      </c>
      <c r="K240" s="5">
        <v>7.09</v>
      </c>
      <c r="L240" s="4">
        <v>274.33</v>
      </c>
      <c r="M240">
        <v>1748</v>
      </c>
      <c r="N240">
        <v>1044</v>
      </c>
      <c r="O240">
        <v>27</v>
      </c>
      <c r="P240" s="6">
        <v>400</v>
      </c>
      <c r="Q240" t="s">
        <v>1161</v>
      </c>
      <c r="R240" t="s">
        <v>1164</v>
      </c>
      <c r="S240" s="2">
        <f>HYPERLINK("https://yandex.ru/maps/?&amp;text=55.388261, 86.007283", "55.388261, 86.007283")</f>
        <v>0</v>
      </c>
      <c r="T240" s="2">
        <f>HYPERLINK("D:\torgi_project\venv_torgi\cache\objs_in_district/55.388261_86.007283.json", "55.388261_86.007283.json")</f>
        <v>0</v>
      </c>
      <c r="U240" t="s">
        <v>1394</v>
      </c>
    </row>
    <row r="241" spans="1:22">
      <c r="A241" s="8">
        <v>239</v>
      </c>
      <c r="B241">
        <v>42</v>
      </c>
      <c r="C241" s="1">
        <v>327.5</v>
      </c>
      <c r="D241" s="2">
        <f>HYPERLINK("https://torgi.gov.ru/new/public/lots/lot/22000005130000000155_1/(lotInfo:info)", "22000005130000000155_1")</f>
        <v>0</v>
      </c>
      <c r="E241" t="s">
        <v>259</v>
      </c>
      <c r="F241" s="3" t="s">
        <v>616</v>
      </c>
      <c r="G241" t="s">
        <v>928</v>
      </c>
      <c r="H241" s="4">
        <v>2520000</v>
      </c>
      <c r="I241" s="4">
        <v>7694.656488549618</v>
      </c>
      <c r="J241" s="5">
        <v>2.52</v>
      </c>
      <c r="K241" s="5">
        <v>21.37</v>
      </c>
      <c r="L241" s="4">
        <v>549.5700000000001</v>
      </c>
      <c r="M241">
        <v>3058</v>
      </c>
      <c r="N241">
        <v>360</v>
      </c>
      <c r="O241">
        <v>14</v>
      </c>
      <c r="P241" s="6">
        <v>200</v>
      </c>
      <c r="Q241" t="s">
        <v>1161</v>
      </c>
      <c r="R241" t="s">
        <v>1164</v>
      </c>
      <c r="S241" s="2">
        <f>HYPERLINK("https://yandex.ru/maps/?&amp;text=55.398574, 86.022708", "55.398574, 86.022708")</f>
        <v>0</v>
      </c>
      <c r="T241" s="2">
        <f>HYPERLINK("D:\torgi_project\venv_torgi\cache\objs_in_district/55.398574_86.022708.json", "55.398574_86.022708.json")</f>
        <v>0</v>
      </c>
      <c r="U241" t="s">
        <v>1395</v>
      </c>
    </row>
    <row r="242" spans="1:22">
      <c r="A242" s="8">
        <v>240</v>
      </c>
      <c r="B242">
        <v>42</v>
      </c>
      <c r="C242" s="1">
        <v>89.40000000000001</v>
      </c>
      <c r="D242" s="2">
        <f>HYPERLINK("https://torgi.gov.ru/new/public/lots/lot/22000017180000000002_7/(lotInfo:info)", "22000017180000000002_7")</f>
        <v>0</v>
      </c>
      <c r="E242" t="s">
        <v>260</v>
      </c>
      <c r="F242" s="3" t="s">
        <v>543</v>
      </c>
      <c r="G242" t="s">
        <v>929</v>
      </c>
      <c r="H242" s="4">
        <v>694000</v>
      </c>
      <c r="I242" s="4">
        <v>7762.863534675615</v>
      </c>
      <c r="J242" s="5">
        <v>9.119999999999999</v>
      </c>
      <c r="K242" s="5">
        <v>47.33</v>
      </c>
      <c r="L242" s="4">
        <v>456.59</v>
      </c>
      <c r="M242">
        <v>851</v>
      </c>
      <c r="N242">
        <v>164</v>
      </c>
      <c r="O242">
        <v>17</v>
      </c>
      <c r="P242" s="6">
        <v>100</v>
      </c>
      <c r="Q242" t="s">
        <v>1162</v>
      </c>
      <c r="R242" t="s">
        <v>1164</v>
      </c>
      <c r="S242" s="2">
        <f>HYPERLINK("https://yandex.ru/maps/?&amp;text=53.893413, 86.825298", "53.893413, 86.825298")</f>
        <v>0</v>
      </c>
      <c r="T242" s="2">
        <f>HYPERLINK("D:\torgi_project\venv_torgi\cache\objs_in_district/53.893413_86.825298.json", "53.893413_86.825298.json")</f>
        <v>0</v>
      </c>
      <c r="U242" t="s">
        <v>1396</v>
      </c>
    </row>
    <row r="243" spans="1:22">
      <c r="A243" s="8">
        <v>241</v>
      </c>
      <c r="B243">
        <v>42</v>
      </c>
      <c r="C243" s="1">
        <v>216.8</v>
      </c>
      <c r="D243" s="2">
        <f>HYPERLINK("https://torgi.gov.ru/new/public/lots/lot/22000005130000000154_1/(lotInfo:info)", "22000005130000000154_1")</f>
        <v>0</v>
      </c>
      <c r="E243" t="s">
        <v>261</v>
      </c>
      <c r="F243" s="3" t="s">
        <v>616</v>
      </c>
      <c r="G243" t="s">
        <v>930</v>
      </c>
      <c r="H243" s="4">
        <v>3258000</v>
      </c>
      <c r="I243" s="4">
        <v>15027.67527675277</v>
      </c>
      <c r="J243" s="5">
        <v>4</v>
      </c>
      <c r="K243" s="5">
        <v>7.36</v>
      </c>
      <c r="L243" s="4">
        <v>263.63</v>
      </c>
      <c r="M243">
        <v>3759</v>
      </c>
      <c r="N243">
        <v>2043</v>
      </c>
      <c r="O243">
        <v>57</v>
      </c>
      <c r="P243" s="6">
        <v>300</v>
      </c>
      <c r="Q243" t="s">
        <v>1161</v>
      </c>
      <c r="R243" t="s">
        <v>1164</v>
      </c>
      <c r="S243" s="2">
        <f>HYPERLINK("https://yandex.ru/maps/?&amp;text=55.358381, 86.072277", "55.358381, 86.072277")</f>
        <v>0</v>
      </c>
      <c r="T243" s="2">
        <f>HYPERLINK("D:\torgi_project\venv_torgi\cache\objs_in_district/55.358381_86.072277.json", "55.358381_86.072277.json")</f>
        <v>0</v>
      </c>
      <c r="U243" t="s">
        <v>1397</v>
      </c>
    </row>
    <row r="244" spans="1:22">
      <c r="A244" s="8">
        <v>242</v>
      </c>
      <c r="B244">
        <v>42</v>
      </c>
      <c r="C244" s="1">
        <v>247.7</v>
      </c>
      <c r="D244" s="2">
        <f>HYPERLINK("https://torgi.gov.ru/new/public/lots/lot/21000002310000000248_1/(lotInfo:info)", "21000002310000000248_1")</f>
        <v>0</v>
      </c>
      <c r="E244" t="s">
        <v>262</v>
      </c>
      <c r="F244" s="3" t="s">
        <v>617</v>
      </c>
      <c r="G244" t="s">
        <v>931</v>
      </c>
      <c r="H244" s="4">
        <v>4672019</v>
      </c>
      <c r="I244" s="4">
        <v>18861.60274525636</v>
      </c>
      <c r="J244" s="5">
        <v>5.94</v>
      </c>
      <c r="K244" s="5">
        <v>6</v>
      </c>
      <c r="L244" s="4">
        <v>2095.67</v>
      </c>
      <c r="M244">
        <v>3173</v>
      </c>
      <c r="N244">
        <v>3144</v>
      </c>
      <c r="O244">
        <v>9</v>
      </c>
      <c r="P244" s="6">
        <v>500</v>
      </c>
      <c r="Q244" t="s">
        <v>1162</v>
      </c>
      <c r="R244" t="s">
        <v>1164</v>
      </c>
      <c r="S244" s="2">
        <f>HYPERLINK("https://yandex.ru/maps/?&amp;text=56.06117, 85.62348", "56.06117, 85.62348")</f>
        <v>0</v>
      </c>
      <c r="T244" s="2">
        <f>HYPERLINK("D:\torgi_project\venv_torgi\cache\objs_in_district/56.06117_85.62348.json", "56.06117_85.62348.json")</f>
        <v>0</v>
      </c>
      <c r="U244" t="s">
        <v>1398</v>
      </c>
    </row>
    <row r="245" spans="1:22">
      <c r="A245" s="8">
        <v>243</v>
      </c>
      <c r="B245">
        <v>42</v>
      </c>
      <c r="C245" s="1">
        <v>65.40000000000001</v>
      </c>
      <c r="D245" s="2">
        <f>HYPERLINK("https://torgi.gov.ru/new/public/lots/lot/22000005130000000152_1/(lotInfo:info)", "22000005130000000152_1")</f>
        <v>0</v>
      </c>
      <c r="E245" t="s">
        <v>263</v>
      </c>
      <c r="F245" s="3" t="s">
        <v>616</v>
      </c>
      <c r="G245" t="s">
        <v>932</v>
      </c>
      <c r="H245" s="4">
        <v>1351000</v>
      </c>
      <c r="I245" s="4">
        <v>20657.49235474006</v>
      </c>
      <c r="J245" s="5">
        <v>7.59</v>
      </c>
      <c r="K245" s="5">
        <v>153.01</v>
      </c>
      <c r="M245">
        <v>2722</v>
      </c>
      <c r="N245">
        <v>135</v>
      </c>
      <c r="O245">
        <v>0</v>
      </c>
      <c r="P245" s="6">
        <v>1600</v>
      </c>
      <c r="Q245" t="s">
        <v>1161</v>
      </c>
      <c r="R245" t="s">
        <v>1164</v>
      </c>
      <c r="S245" s="2">
        <f>HYPERLINK("https://yandex.ru/maps/?&amp;text=55.326619, 86.055918", "55.326619, 86.055918")</f>
        <v>0</v>
      </c>
      <c r="U245" t="s">
        <v>1399</v>
      </c>
    </row>
    <row r="246" spans="1:22">
      <c r="A246" s="8">
        <v>244</v>
      </c>
      <c r="B246">
        <v>42</v>
      </c>
      <c r="C246" s="1">
        <v>146.1</v>
      </c>
      <c r="D246" s="2">
        <f>HYPERLINK("https://torgi.gov.ru/new/public/lots/lot/22000005130000000144_1/(lotInfo:info)", "22000005130000000144_1")</f>
        <v>0</v>
      </c>
      <c r="E246" t="s">
        <v>264</v>
      </c>
      <c r="F246" s="3" t="s">
        <v>618</v>
      </c>
      <c r="G246" t="s">
        <v>933</v>
      </c>
      <c r="H246" s="4">
        <v>3526000</v>
      </c>
      <c r="I246" s="4">
        <v>24134.15468856947</v>
      </c>
      <c r="J246" s="5">
        <v>21.9</v>
      </c>
      <c r="K246" s="5">
        <v>94.64</v>
      </c>
      <c r="L246" s="4">
        <v>3447.71</v>
      </c>
      <c r="M246">
        <v>1102</v>
      </c>
      <c r="N246">
        <v>255</v>
      </c>
      <c r="O246">
        <v>7</v>
      </c>
      <c r="P246" s="6">
        <v>400</v>
      </c>
      <c r="Q246" t="s">
        <v>1161</v>
      </c>
      <c r="R246" t="s">
        <v>1164</v>
      </c>
      <c r="S246" s="2">
        <f>HYPERLINK("https://yandex.ru/maps/?&amp;text=55.342739, 86.00272", "55.342739, 86.00272")</f>
        <v>0</v>
      </c>
      <c r="T246" s="2">
        <f>HYPERLINK("D:\torgi_project\venv_torgi\cache\objs_in_district/55.342739_86.00272.json", "55.342739_86.00272.json")</f>
        <v>0</v>
      </c>
      <c r="U246" t="s">
        <v>1400</v>
      </c>
    </row>
    <row r="247" spans="1:22">
      <c r="A247" s="8">
        <v>245</v>
      </c>
      <c r="B247">
        <v>42</v>
      </c>
      <c r="C247" s="1">
        <v>81.8</v>
      </c>
      <c r="D247" s="2">
        <f>HYPERLINK("https://torgi.gov.ru/new/public/lots/lot/22000044160000000011_2/(lotInfo:info)", "22000044160000000011_2")</f>
        <v>0</v>
      </c>
      <c r="E247" t="s">
        <v>265</v>
      </c>
      <c r="F247" s="3" t="s">
        <v>619</v>
      </c>
      <c r="G247" t="s">
        <v>934</v>
      </c>
      <c r="H247" s="4">
        <v>2126800</v>
      </c>
      <c r="I247" s="4">
        <v>26000</v>
      </c>
      <c r="J247" s="5">
        <v>48.06</v>
      </c>
      <c r="K247" s="5">
        <v>46.59</v>
      </c>
      <c r="L247" s="4">
        <v>6500</v>
      </c>
      <c r="M247">
        <v>541</v>
      </c>
      <c r="N247">
        <v>558</v>
      </c>
      <c r="O247">
        <v>4</v>
      </c>
      <c r="P247" s="6">
        <v>5000</v>
      </c>
      <c r="Q247" t="s">
        <v>1162</v>
      </c>
      <c r="R247" t="s">
        <v>1164</v>
      </c>
      <c r="S247" s="2">
        <f>HYPERLINK("https://yandex.ru/maps/?&amp;text=54.27302, 86.053053", "54.27302, 86.053053")</f>
        <v>0</v>
      </c>
      <c r="T247" s="2">
        <f>HYPERLINK("D:\torgi_project\venv_torgi\cache\objs_in_district/54.27302_86.053053.json", "54.27302_86.053053.json")</f>
        <v>0</v>
      </c>
      <c r="U247" t="s">
        <v>1401</v>
      </c>
    </row>
    <row r="248" spans="1:22">
      <c r="A248" s="8">
        <v>246</v>
      </c>
      <c r="B248">
        <v>42</v>
      </c>
      <c r="C248" s="1">
        <v>81.90000000000001</v>
      </c>
      <c r="D248" s="2">
        <f>HYPERLINK("https://torgi.gov.ru/new/public/lots/lot/22000044660000000004_1/(lotInfo:info)", "22000044660000000004_1")</f>
        <v>0</v>
      </c>
      <c r="E248" t="s">
        <v>266</v>
      </c>
      <c r="F248" s="3" t="s">
        <v>620</v>
      </c>
      <c r="G248" t="s">
        <v>935</v>
      </c>
      <c r="H248" s="4">
        <v>2580000</v>
      </c>
      <c r="I248" s="4">
        <v>31501.8315018315</v>
      </c>
      <c r="J248" s="5">
        <v>28.51</v>
      </c>
      <c r="K248" s="5">
        <v>14.15</v>
      </c>
      <c r="L248" s="4">
        <v>768.3200000000001</v>
      </c>
      <c r="M248">
        <v>1105</v>
      </c>
      <c r="N248">
        <v>2226</v>
      </c>
      <c r="O248">
        <v>41</v>
      </c>
      <c r="P248" s="6">
        <v>600</v>
      </c>
      <c r="Q248" t="s">
        <v>1161</v>
      </c>
      <c r="R248" t="s">
        <v>1164</v>
      </c>
      <c r="S248" s="2">
        <f>HYPERLINK("https://yandex.ru/maps/?&amp;text=52.75897, 87.853133", "52.75897, 87.853133")</f>
        <v>0</v>
      </c>
      <c r="T248" s="2">
        <f>HYPERLINK("D:\torgi_project\venv_torgi\cache\objs_in_district/52.75897_87.853133.json", "52.75897_87.853133.json")</f>
        <v>0</v>
      </c>
      <c r="U248" t="s">
        <v>1402</v>
      </c>
    </row>
    <row r="249" spans="1:22">
      <c r="A249" s="8">
        <v>247</v>
      </c>
      <c r="B249">
        <v>42</v>
      </c>
      <c r="C249" s="1">
        <v>173.6</v>
      </c>
      <c r="D249" s="2">
        <f>HYPERLINK("https://torgi.gov.ru/new/public/lots/lot/22000044160000000011_6/(lotInfo:info)", "22000044160000000011_6")</f>
        <v>0</v>
      </c>
      <c r="E249" t="s">
        <v>267</v>
      </c>
      <c r="F249" s="3" t="s">
        <v>619</v>
      </c>
      <c r="G249" t="s">
        <v>936</v>
      </c>
      <c r="H249" s="4">
        <v>6076000</v>
      </c>
      <c r="I249" s="4">
        <v>35000</v>
      </c>
      <c r="J249" s="5">
        <v>23.76</v>
      </c>
      <c r="K249" s="5">
        <v>220.13</v>
      </c>
      <c r="L249" s="4">
        <v>7000</v>
      </c>
      <c r="M249">
        <v>1473</v>
      </c>
      <c r="N249">
        <v>159</v>
      </c>
      <c r="O249">
        <v>5</v>
      </c>
      <c r="P249" s="6">
        <v>100</v>
      </c>
      <c r="Q249" t="s">
        <v>1162</v>
      </c>
      <c r="R249" t="s">
        <v>1164</v>
      </c>
      <c r="S249" s="2">
        <f>HYPERLINK("https://yandex.ru/maps/?&amp;text=54.30689, 86.288636", "54.30689, 86.288636")</f>
        <v>0</v>
      </c>
      <c r="T249" s="2">
        <f>HYPERLINK("D:\torgi_project\venv_torgi\cache\objs_in_district/54.30689_86.288636.json", "54.30689_86.288636.json")</f>
        <v>0</v>
      </c>
      <c r="U249" t="s">
        <v>1403</v>
      </c>
    </row>
    <row r="250" spans="1:22">
      <c r="A250" s="8">
        <v>248</v>
      </c>
      <c r="B250">
        <v>42</v>
      </c>
      <c r="C250" s="1">
        <v>174.8</v>
      </c>
      <c r="D250" s="2">
        <f>HYPERLINK("https://torgi.gov.ru/new/public/lots/lot/21000016050000000027_1/(lotInfo:info)", "21000016050000000027_1")</f>
        <v>0</v>
      </c>
      <c r="E250" t="s">
        <v>268</v>
      </c>
      <c r="F250" s="3" t="s">
        <v>526</v>
      </c>
      <c r="G250" t="s">
        <v>937</v>
      </c>
      <c r="H250" s="4">
        <v>6332000</v>
      </c>
      <c r="I250" s="4">
        <v>36224.25629290618</v>
      </c>
      <c r="J250" s="5">
        <v>19.21</v>
      </c>
      <c r="K250" s="5">
        <v>128.45</v>
      </c>
      <c r="L250" s="4">
        <v>18112</v>
      </c>
      <c r="M250">
        <v>1886</v>
      </c>
      <c r="N250">
        <v>282</v>
      </c>
      <c r="O250">
        <v>2</v>
      </c>
      <c r="Q250" t="s">
        <v>1162</v>
      </c>
      <c r="R250" t="s">
        <v>1164</v>
      </c>
      <c r="S250" s="2">
        <f>HYPERLINK("https://yandex.ru/maps/?&amp;text=53.801033, 87.37477", "53.801033, 87.37477")</f>
        <v>0</v>
      </c>
      <c r="T250" s="2">
        <f>HYPERLINK("D:\torgi_project\venv_torgi\cache\objs_in_district/53.801033_87.37477.json", "53.801033_87.37477.json")</f>
        <v>0</v>
      </c>
      <c r="U250" t="s">
        <v>1404</v>
      </c>
      <c r="V250" s="7" t="s">
        <v>1628</v>
      </c>
    </row>
    <row r="251" spans="1:22">
      <c r="A251" s="8">
        <v>249</v>
      </c>
      <c r="B251">
        <v>42</v>
      </c>
      <c r="C251" s="1">
        <v>38.4</v>
      </c>
      <c r="D251" s="2">
        <f>HYPERLINK("https://torgi.gov.ru/new/public/lots/lot/22000044160000000011_9/(lotInfo:info)", "22000044160000000011_9")</f>
        <v>0</v>
      </c>
      <c r="E251" t="s">
        <v>269</v>
      </c>
      <c r="F251" s="3" t="s">
        <v>619</v>
      </c>
      <c r="G251" t="s">
        <v>938</v>
      </c>
      <c r="H251" s="4">
        <v>1728000</v>
      </c>
      <c r="I251" s="4">
        <v>45000</v>
      </c>
      <c r="J251" s="5">
        <v>105.88</v>
      </c>
      <c r="K251" s="5">
        <v>145.63</v>
      </c>
      <c r="L251" s="4">
        <v>22500</v>
      </c>
      <c r="M251">
        <v>425</v>
      </c>
      <c r="N251">
        <v>309</v>
      </c>
      <c r="O251">
        <v>2</v>
      </c>
      <c r="P251" s="6">
        <v>100</v>
      </c>
      <c r="Q251" t="s">
        <v>1162</v>
      </c>
      <c r="R251" t="s">
        <v>1164</v>
      </c>
      <c r="S251" s="2">
        <f>HYPERLINK("https://yandex.ru/maps/?&amp;text=54.503401, 86.375009", "54.503401, 86.375009")</f>
        <v>0</v>
      </c>
      <c r="T251" s="2">
        <f>HYPERLINK("D:\torgi_project\venv_torgi\cache\objs_in_district/54.503401_86.375009.json", "54.503401_86.375009.json")</f>
        <v>0</v>
      </c>
      <c r="U251" t="s">
        <v>1405</v>
      </c>
    </row>
    <row r="252" spans="1:22">
      <c r="A252" s="8">
        <v>250</v>
      </c>
      <c r="B252">
        <v>42</v>
      </c>
      <c r="C252" s="1">
        <v>124.3</v>
      </c>
      <c r="D252" s="2">
        <f>HYPERLINK("https://torgi.gov.ru/new/public/lots/lot/22000044160000000011_8/(lotInfo:info)", "22000044160000000011_8")</f>
        <v>0</v>
      </c>
      <c r="E252" t="s">
        <v>270</v>
      </c>
      <c r="F252" s="3" t="s">
        <v>619</v>
      </c>
      <c r="G252" t="s">
        <v>939</v>
      </c>
      <c r="H252" s="4">
        <v>5593500</v>
      </c>
      <c r="I252" s="4">
        <v>45000</v>
      </c>
      <c r="J252" s="5">
        <v>25.48</v>
      </c>
      <c r="K252" s="5">
        <v>250</v>
      </c>
      <c r="L252" s="4">
        <v>1153.85</v>
      </c>
      <c r="M252">
        <v>1766</v>
      </c>
      <c r="N252">
        <v>180</v>
      </c>
      <c r="O252">
        <v>39</v>
      </c>
      <c r="P252" s="6">
        <v>500</v>
      </c>
      <c r="Q252" t="s">
        <v>1162</v>
      </c>
      <c r="R252" t="s">
        <v>1164</v>
      </c>
      <c r="S252" s="2">
        <f>HYPERLINK("https://yandex.ru/maps/?&amp;text=54.286892, 86.111677", "54.286892, 86.111677")</f>
        <v>0</v>
      </c>
      <c r="T252" s="2">
        <f>HYPERLINK("D:\torgi_project\venv_torgi\cache\objs_in_district/54.286892_86.111677.json", "54.286892_86.111677.json")</f>
        <v>0</v>
      </c>
      <c r="U252" t="s">
        <v>1406</v>
      </c>
    </row>
    <row r="253" spans="1:22">
      <c r="A253" s="8">
        <v>251</v>
      </c>
      <c r="B253">
        <v>42</v>
      </c>
      <c r="C253" s="1">
        <v>27.6</v>
      </c>
      <c r="D253" s="2">
        <f>HYPERLINK("https://torgi.gov.ru/new/public/lots/lot/22000044160000000011_11/(lotInfo:info)", "22000044160000000011_11")</f>
        <v>0</v>
      </c>
      <c r="E253" t="s">
        <v>271</v>
      </c>
      <c r="F253" s="3" t="s">
        <v>619</v>
      </c>
      <c r="G253" t="s">
        <v>940</v>
      </c>
      <c r="H253" s="4">
        <v>1380000</v>
      </c>
      <c r="I253" s="4">
        <v>50000</v>
      </c>
      <c r="J253" s="5">
        <v>66.67</v>
      </c>
      <c r="K253" s="5">
        <v>200.8</v>
      </c>
      <c r="L253" s="4">
        <v>25000</v>
      </c>
      <c r="M253">
        <v>750</v>
      </c>
      <c r="N253">
        <v>249</v>
      </c>
      <c r="O253">
        <v>2</v>
      </c>
      <c r="P253" s="6">
        <v>200</v>
      </c>
      <c r="Q253" t="s">
        <v>1162</v>
      </c>
      <c r="R253" t="s">
        <v>1164</v>
      </c>
      <c r="S253" s="2">
        <f>HYPERLINK("https://yandex.ru/maps/?&amp;text=54.50314, 86.371389", "54.50314, 86.371389")</f>
        <v>0</v>
      </c>
      <c r="T253" s="2">
        <f>HYPERLINK("D:\torgi_project\venv_torgi\cache\objs_in_district/54.50314_86.371389.json", "54.50314_86.371389.json")</f>
        <v>0</v>
      </c>
      <c r="U253" t="s">
        <v>1407</v>
      </c>
    </row>
    <row r="254" spans="1:22">
      <c r="A254" s="8">
        <v>252</v>
      </c>
      <c r="B254">
        <v>42</v>
      </c>
      <c r="C254" s="1">
        <v>58.5</v>
      </c>
      <c r="D254" s="2">
        <f>HYPERLINK("https://torgi.gov.ru/new/public/lots/lot/22000044160000000011_3/(lotInfo:info)", "22000044160000000011_3")</f>
        <v>0</v>
      </c>
      <c r="E254" t="s">
        <v>272</v>
      </c>
      <c r="F254" s="3" t="s">
        <v>619</v>
      </c>
      <c r="G254" t="s">
        <v>941</v>
      </c>
      <c r="H254" s="4">
        <v>2925000</v>
      </c>
      <c r="I254" s="4">
        <v>50000</v>
      </c>
      <c r="J254" s="5">
        <v>91.41</v>
      </c>
      <c r="K254" s="5">
        <v>290.7</v>
      </c>
      <c r="L254" s="4">
        <v>2777.78</v>
      </c>
      <c r="M254">
        <v>547</v>
      </c>
      <c r="N254">
        <v>172</v>
      </c>
      <c r="O254">
        <v>18</v>
      </c>
      <c r="P254" s="6">
        <v>100</v>
      </c>
      <c r="Q254" t="s">
        <v>1162</v>
      </c>
      <c r="R254" t="s">
        <v>1164</v>
      </c>
      <c r="S254" s="2">
        <f>HYPERLINK("https://yandex.ru/maps/?&amp;text=54.434836, 86.441601", "54.434836, 86.441601")</f>
        <v>0</v>
      </c>
      <c r="T254" s="2">
        <f>HYPERLINK("D:\torgi_project\venv_torgi\cache\objs_in_district/54.434836_86.441601.json", "54.434836_86.441601.json")</f>
        <v>0</v>
      </c>
      <c r="U254" t="s">
        <v>1408</v>
      </c>
    </row>
    <row r="255" spans="1:22">
      <c r="A255" s="8">
        <v>253</v>
      </c>
      <c r="B255">
        <v>42</v>
      </c>
      <c r="C255" s="1">
        <v>107.6</v>
      </c>
      <c r="D255" s="2">
        <f>HYPERLINK("https://torgi.gov.ru/new/public/lots/lot/22000044160000000011_10/(lotInfo:info)", "22000044160000000011_10")</f>
        <v>0</v>
      </c>
      <c r="E255" t="s">
        <v>273</v>
      </c>
      <c r="F255" s="3" t="s">
        <v>619</v>
      </c>
      <c r="G255" t="s">
        <v>942</v>
      </c>
      <c r="H255" s="4">
        <v>6456000</v>
      </c>
      <c r="I255" s="4">
        <v>60000</v>
      </c>
      <c r="J255" s="5">
        <v>27.4</v>
      </c>
      <c r="K255" s="5">
        <v>61.54</v>
      </c>
      <c r="L255" s="4">
        <v>2500</v>
      </c>
      <c r="M255">
        <v>2190</v>
      </c>
      <c r="N255">
        <v>975</v>
      </c>
      <c r="O255">
        <v>24</v>
      </c>
      <c r="P255" s="6">
        <v>300</v>
      </c>
      <c r="Q255" t="s">
        <v>1162</v>
      </c>
      <c r="R255" t="s">
        <v>1164</v>
      </c>
      <c r="S255" s="2">
        <f>HYPERLINK("https://yandex.ru/maps/?&amp;text=54.41582, 86.30661", "54.41582, 86.30661")</f>
        <v>0</v>
      </c>
      <c r="T255" s="2">
        <f>HYPERLINK("D:\torgi_project\venv_torgi\cache\objs_in_district/54.41582_86.30661.json", "54.41582_86.30661.json")</f>
        <v>0</v>
      </c>
      <c r="U255" t="s">
        <v>1409</v>
      </c>
    </row>
    <row r="256" spans="1:22">
      <c r="A256" s="8">
        <v>254</v>
      </c>
      <c r="B256">
        <v>42</v>
      </c>
      <c r="C256" s="1">
        <v>70.8</v>
      </c>
      <c r="D256" s="2">
        <f>HYPERLINK("https://torgi.gov.ru/new/public/lots/lot/22000017180000000002_5/(lotInfo:info)", "22000017180000000002_5")</f>
        <v>0</v>
      </c>
      <c r="E256" t="s">
        <v>274</v>
      </c>
      <c r="F256" s="3" t="s">
        <v>543</v>
      </c>
      <c r="G256" t="s">
        <v>943</v>
      </c>
      <c r="H256" s="4">
        <v>5246343</v>
      </c>
      <c r="I256" s="4">
        <v>74100.88983050847</v>
      </c>
      <c r="J256" s="5">
        <v>27.75</v>
      </c>
      <c r="K256" s="5">
        <v>823.33</v>
      </c>
      <c r="L256" s="4">
        <v>8233.33</v>
      </c>
      <c r="M256">
        <v>2670</v>
      </c>
      <c r="N256">
        <v>90</v>
      </c>
      <c r="O256">
        <v>9</v>
      </c>
      <c r="Q256" t="s">
        <v>1162</v>
      </c>
      <c r="R256" t="s">
        <v>1164</v>
      </c>
      <c r="S256" s="2">
        <f>HYPERLINK("https://yandex.ru/maps/?&amp;text=53.904423, 87.12227", "53.904423, 87.12227")</f>
        <v>0</v>
      </c>
      <c r="T256" s="2">
        <f>HYPERLINK("D:\torgi_project\venv_torgi\cache\objs_in_district/53.904423_87.12227.json", "53.904423_87.12227.json")</f>
        <v>0</v>
      </c>
      <c r="U256" t="s">
        <v>1410</v>
      </c>
    </row>
    <row r="257" spans="1:22">
      <c r="A257" s="8">
        <v>255</v>
      </c>
      <c r="B257">
        <v>42</v>
      </c>
      <c r="C257" s="1">
        <v>38.8</v>
      </c>
      <c r="D257" s="2">
        <f>HYPERLINK("https://torgi.gov.ru/new/public/lots/lot/22000005130000000145_1/(lotInfo:info)", "22000005130000000145_1")</f>
        <v>0</v>
      </c>
      <c r="E257" t="s">
        <v>275</v>
      </c>
      <c r="F257" s="3" t="s">
        <v>618</v>
      </c>
      <c r="G257" t="s">
        <v>944</v>
      </c>
      <c r="H257" s="4">
        <v>2957000</v>
      </c>
      <c r="I257" s="4">
        <v>76211.34020618557</v>
      </c>
      <c r="J257" s="5">
        <v>23.65</v>
      </c>
      <c r="K257" s="5">
        <v>230.94</v>
      </c>
      <c r="L257" s="4">
        <v>10887.29</v>
      </c>
      <c r="M257">
        <v>3222</v>
      </c>
      <c r="N257">
        <v>330</v>
      </c>
      <c r="O257">
        <v>7</v>
      </c>
      <c r="P257" s="6">
        <v>600</v>
      </c>
      <c r="Q257" t="s">
        <v>1161</v>
      </c>
      <c r="R257" t="s">
        <v>1164</v>
      </c>
      <c r="S257" s="2">
        <f>HYPERLINK("https://yandex.ru/maps/?&amp;text=55.328729, 86.117138", "55.328729, 86.117138")</f>
        <v>0</v>
      </c>
      <c r="T257" s="2">
        <f>HYPERLINK("D:\torgi_project\venv_torgi\cache\objs_in_district/55.328729_86.117138.json", "55.328729_86.117138.json")</f>
        <v>0</v>
      </c>
      <c r="U257" t="s">
        <v>1411</v>
      </c>
    </row>
    <row r="258" spans="1:22">
      <c r="A258" s="8">
        <v>256</v>
      </c>
      <c r="B258">
        <v>43</v>
      </c>
      <c r="C258" s="1">
        <v>183.6</v>
      </c>
      <c r="D258" s="2">
        <f>HYPERLINK("https://torgi.gov.ru/new/public/lots/lot/21000016080000000172_4/(lotInfo:info)", "21000016080000000172_4")</f>
        <v>0</v>
      </c>
      <c r="E258" t="s">
        <v>276</v>
      </c>
      <c r="F258" s="3" t="s">
        <v>621</v>
      </c>
      <c r="G258" t="s">
        <v>945</v>
      </c>
      <c r="H258" s="4">
        <v>503000</v>
      </c>
      <c r="I258" s="4">
        <v>2739.651416122004</v>
      </c>
      <c r="J258" s="5">
        <v>1.26</v>
      </c>
      <c r="K258" s="5">
        <v>0.19</v>
      </c>
      <c r="L258" s="4">
        <v>94.45</v>
      </c>
      <c r="M258">
        <v>2168</v>
      </c>
      <c r="N258">
        <v>14310</v>
      </c>
      <c r="O258">
        <v>29</v>
      </c>
      <c r="P258" s="6">
        <v>800</v>
      </c>
      <c r="Q258" t="s">
        <v>1161</v>
      </c>
      <c r="R258" t="s">
        <v>1164</v>
      </c>
      <c r="S258" s="2">
        <f>HYPERLINK("https://yandex.ru/maps/?&amp;text=57.583956, 48.956216", "57.583956, 48.956216")</f>
        <v>0</v>
      </c>
      <c r="T258" s="2">
        <f>HYPERLINK("D:\torgi_project\venv_torgi\cache\objs_in_district/57.583956_48.956216.json", "57.583956_48.956216.json")</f>
        <v>0</v>
      </c>
      <c r="U258" t="s">
        <v>1412</v>
      </c>
    </row>
    <row r="259" spans="1:22">
      <c r="A259" s="8">
        <v>257</v>
      </c>
      <c r="B259">
        <v>43</v>
      </c>
      <c r="C259" s="1">
        <v>664</v>
      </c>
      <c r="D259" s="2">
        <f>HYPERLINK("https://torgi.gov.ru/new/public/lots/lot/22000006140000000043_1/(lotInfo:info)", "22000006140000000043_1")</f>
        <v>0</v>
      </c>
      <c r="E259" t="s">
        <v>277</v>
      </c>
      <c r="F259" s="3" t="s">
        <v>622</v>
      </c>
      <c r="G259" t="s">
        <v>946</v>
      </c>
      <c r="H259" s="4">
        <v>3007000</v>
      </c>
      <c r="I259" s="4">
        <v>4528.614457831325</v>
      </c>
      <c r="J259" s="5">
        <v>7.33</v>
      </c>
      <c r="K259" s="5">
        <v>15.4</v>
      </c>
      <c r="L259" s="4">
        <v>2264</v>
      </c>
      <c r="M259">
        <v>618</v>
      </c>
      <c r="N259">
        <v>294</v>
      </c>
      <c r="O259">
        <v>2</v>
      </c>
      <c r="P259" s="6">
        <v>400</v>
      </c>
      <c r="Q259" t="s">
        <v>1162</v>
      </c>
      <c r="R259" t="s">
        <v>1164</v>
      </c>
      <c r="S259" s="2">
        <f>HYPERLINK("https://yandex.ru/maps/?&amp;text=58.553562, 50.186", "58.553562, 50.186")</f>
        <v>0</v>
      </c>
      <c r="T259" s="2">
        <f>HYPERLINK("D:\torgi_project\venv_torgi\cache\objs_in_district/58.553562_50.186.json", "58.553562_50.186.json")</f>
        <v>0</v>
      </c>
      <c r="U259" t="s">
        <v>1413</v>
      </c>
      <c r="V259" s="7" t="s">
        <v>1630</v>
      </c>
    </row>
    <row r="260" spans="1:22">
      <c r="A260" s="8">
        <v>258</v>
      </c>
      <c r="B260">
        <v>43</v>
      </c>
      <c r="C260" s="1">
        <v>123.6</v>
      </c>
      <c r="D260" s="2">
        <f>HYPERLINK("https://torgi.gov.ru/new/public/lots/lot/21000028500000000035_1/(lotInfo:info)", "21000028500000000035_1")</f>
        <v>0</v>
      </c>
      <c r="E260" t="s">
        <v>278</v>
      </c>
      <c r="F260" s="3" t="s">
        <v>623</v>
      </c>
      <c r="G260" t="s">
        <v>947</v>
      </c>
      <c r="H260" s="4">
        <v>2763000</v>
      </c>
      <c r="I260" s="4">
        <v>22354.36893203884</v>
      </c>
      <c r="J260" s="5">
        <v>12.23</v>
      </c>
      <c r="K260" s="5">
        <v>15.4</v>
      </c>
      <c r="L260" s="4">
        <v>827.9299999999999</v>
      </c>
      <c r="M260">
        <v>1828</v>
      </c>
      <c r="N260">
        <v>1452</v>
      </c>
      <c r="O260">
        <v>27</v>
      </c>
      <c r="P260" s="6">
        <v>1300</v>
      </c>
      <c r="Q260" t="s">
        <v>1162</v>
      </c>
      <c r="R260" t="s">
        <v>1164</v>
      </c>
      <c r="S260" s="2">
        <f>HYPERLINK("https://yandex.ru/maps/?&amp;text=58.503702, 49.714591", "58.503702, 49.714591")</f>
        <v>0</v>
      </c>
      <c r="T260" s="2">
        <f>HYPERLINK("D:\torgi_project\venv_torgi\cache\objs_in_district/58.503702_49.714591.json", "58.503702_49.714591.json")</f>
        <v>0</v>
      </c>
      <c r="U260" t="s">
        <v>1414</v>
      </c>
      <c r="V260" s="7" t="s">
        <v>1628</v>
      </c>
    </row>
    <row r="261" spans="1:22">
      <c r="A261" s="8">
        <v>259</v>
      </c>
      <c r="B261">
        <v>44</v>
      </c>
      <c r="C261" s="1">
        <v>45.5</v>
      </c>
      <c r="D261" s="2">
        <f>HYPERLINK("https://torgi.gov.ru/new/public/lots/lot/22000003460000000008_5/(lotInfo:info)", "22000003460000000008_5")</f>
        <v>0</v>
      </c>
      <c r="E261" t="s">
        <v>279</v>
      </c>
      <c r="F261" s="3" t="s">
        <v>624</v>
      </c>
      <c r="G261" t="s">
        <v>948</v>
      </c>
      <c r="H261" s="4">
        <v>609837</v>
      </c>
      <c r="I261" s="4">
        <v>13403.01098901099</v>
      </c>
      <c r="J261" s="5">
        <v>33.51</v>
      </c>
      <c r="K261" s="5">
        <v>20.31</v>
      </c>
      <c r="L261" s="4">
        <v>13403</v>
      </c>
      <c r="M261">
        <v>400</v>
      </c>
      <c r="N261">
        <v>660</v>
      </c>
      <c r="O261">
        <v>1</v>
      </c>
      <c r="P261" s="6">
        <v>5000</v>
      </c>
      <c r="Q261" t="s">
        <v>1161</v>
      </c>
      <c r="R261" t="s">
        <v>1164</v>
      </c>
      <c r="S261" s="2">
        <f>HYPERLINK("https://yandex.ru/maps/?&amp;text=57.824652, 40.8824", "57.824652, 40.8824")</f>
        <v>0</v>
      </c>
      <c r="T261" s="2">
        <f>HYPERLINK("D:\torgi_project\venv_torgi\cache\objs_in_district/57.824652_40.8824.json", "57.824652_40.8824.json")</f>
        <v>0</v>
      </c>
      <c r="U261" t="s">
        <v>1415</v>
      </c>
    </row>
    <row r="262" spans="1:22">
      <c r="A262" s="8">
        <v>260</v>
      </c>
      <c r="B262">
        <v>45</v>
      </c>
      <c r="C262" s="1">
        <v>334.7</v>
      </c>
      <c r="D262" s="2">
        <f>HYPERLINK("https://torgi.gov.ru/new/public/lots/lot/21000025240000000073_1/(lotInfo:info)", "21000025240000000073_1")</f>
        <v>0</v>
      </c>
      <c r="E262" t="s">
        <v>280</v>
      </c>
      <c r="F262" s="3" t="s">
        <v>625</v>
      </c>
      <c r="G262" t="s">
        <v>949</v>
      </c>
      <c r="H262" s="4">
        <v>862000</v>
      </c>
      <c r="I262" s="4">
        <v>2575.440693158052</v>
      </c>
      <c r="J262" s="5">
        <v>0.74</v>
      </c>
      <c r="K262" s="5">
        <v>1.31</v>
      </c>
      <c r="L262" s="4">
        <v>515</v>
      </c>
      <c r="M262">
        <v>3463</v>
      </c>
      <c r="N262">
        <v>1969</v>
      </c>
      <c r="O262">
        <v>5</v>
      </c>
      <c r="P262" s="6">
        <v>900</v>
      </c>
      <c r="Q262" t="s">
        <v>1161</v>
      </c>
      <c r="R262" t="s">
        <v>1164</v>
      </c>
      <c r="S262" s="2">
        <f>HYPERLINK("https://yandex.ru/maps/?&amp;text=55.44443, 65.33065", "55.44443, 65.33065")</f>
        <v>0</v>
      </c>
      <c r="T262" s="2">
        <f>HYPERLINK("D:\torgi_project\venv_torgi\cache\objs_in_district/55.44443_65.33065.json", "55.44443_65.33065.json")</f>
        <v>0</v>
      </c>
      <c r="U262" t="s">
        <v>1416</v>
      </c>
      <c r="V262" s="7" t="s">
        <v>1629</v>
      </c>
    </row>
    <row r="263" spans="1:22">
      <c r="A263" s="8">
        <v>261</v>
      </c>
      <c r="B263">
        <v>45</v>
      </c>
      <c r="C263" s="1">
        <v>74.7</v>
      </c>
      <c r="D263" s="2">
        <f>HYPERLINK("https://torgi.gov.ru/new/public/lots/lot/21000025240000000079_1/(lotInfo:info)", "21000025240000000079_1")</f>
        <v>0</v>
      </c>
      <c r="E263" t="s">
        <v>281</v>
      </c>
      <c r="F263" s="3" t="s">
        <v>626</v>
      </c>
      <c r="G263" t="s">
        <v>950</v>
      </c>
      <c r="H263" s="4">
        <v>523722</v>
      </c>
      <c r="I263" s="4">
        <v>7011.004016064257</v>
      </c>
      <c r="J263" s="5">
        <v>1.85</v>
      </c>
      <c r="K263" s="5">
        <v>2.06</v>
      </c>
      <c r="L263" s="4">
        <v>539.3099999999999</v>
      </c>
      <c r="M263">
        <v>3799</v>
      </c>
      <c r="N263">
        <v>3399</v>
      </c>
      <c r="O263">
        <v>13</v>
      </c>
      <c r="P263" s="6">
        <v>700</v>
      </c>
      <c r="Q263" t="s">
        <v>1161</v>
      </c>
      <c r="R263" t="s">
        <v>1164</v>
      </c>
      <c r="S263" s="2">
        <f>HYPERLINK("https://yandex.ru/maps/?&amp;text=55.432903, 65.32936", "55.432903, 65.32936")</f>
        <v>0</v>
      </c>
      <c r="T263" s="2">
        <f>HYPERLINK("D:\torgi_project\venv_torgi\cache\objs_in_district/55.432903_65.32936.json", "55.432903_65.32936.json")</f>
        <v>0</v>
      </c>
      <c r="U263" t="s">
        <v>1417</v>
      </c>
    </row>
    <row r="264" spans="1:22">
      <c r="A264" s="8">
        <v>262</v>
      </c>
      <c r="B264">
        <v>45</v>
      </c>
      <c r="C264" s="1">
        <v>84.90000000000001</v>
      </c>
      <c r="D264" s="2">
        <f>HYPERLINK("https://torgi.gov.ru/new/public/lots/lot/21000025240000000078_1/(lotInfo:info)", "21000025240000000078_1")</f>
        <v>0</v>
      </c>
      <c r="E264" t="s">
        <v>282</v>
      </c>
      <c r="F264" s="3" t="s">
        <v>626</v>
      </c>
      <c r="G264" t="s">
        <v>951</v>
      </c>
      <c r="H264" s="4">
        <v>770000</v>
      </c>
      <c r="I264" s="4">
        <v>9069.49352179034</v>
      </c>
      <c r="J264" s="5">
        <v>2.96</v>
      </c>
      <c r="K264" s="5">
        <v>2.05</v>
      </c>
      <c r="L264" s="4">
        <v>412.23</v>
      </c>
      <c r="M264">
        <v>3068</v>
      </c>
      <c r="N264">
        <v>4425</v>
      </c>
      <c r="O264">
        <v>22</v>
      </c>
      <c r="P264" s="6">
        <v>400</v>
      </c>
      <c r="Q264" t="s">
        <v>1161</v>
      </c>
      <c r="R264" t="s">
        <v>1164</v>
      </c>
      <c r="S264" s="2">
        <f>HYPERLINK("https://yandex.ru/maps/?&amp;text=55.442505, 65.338037", "55.442505, 65.338037")</f>
        <v>0</v>
      </c>
      <c r="T264" s="2">
        <f>HYPERLINK("D:\torgi_project\venv_torgi\cache\objs_in_district/55.442505_65.338037.json", "55.442505_65.338037.json")</f>
        <v>0</v>
      </c>
      <c r="U264" t="s">
        <v>1418</v>
      </c>
    </row>
    <row r="265" spans="1:22">
      <c r="A265" s="8">
        <v>263</v>
      </c>
      <c r="B265">
        <v>46</v>
      </c>
      <c r="C265" s="1">
        <v>410.1</v>
      </c>
      <c r="D265" s="2">
        <f>HYPERLINK("https://torgi.gov.ru/new/public/lots/lot/21000010400000000015_1/(lotInfo:info)", "21000010400000000015_1")</f>
        <v>0</v>
      </c>
      <c r="E265" t="s">
        <v>283</v>
      </c>
      <c r="F265" s="3" t="s">
        <v>627</v>
      </c>
      <c r="G265" t="s">
        <v>952</v>
      </c>
      <c r="H265" s="4">
        <v>1120000</v>
      </c>
      <c r="I265" s="4">
        <v>2731.041209461107</v>
      </c>
      <c r="J265" s="5">
        <v>4.48</v>
      </c>
      <c r="K265" s="5">
        <v>43.35</v>
      </c>
      <c r="M265">
        <v>609</v>
      </c>
      <c r="N265">
        <v>63</v>
      </c>
      <c r="O265">
        <v>0</v>
      </c>
      <c r="P265" s="6">
        <v>1800</v>
      </c>
      <c r="Q265" t="s">
        <v>1162</v>
      </c>
      <c r="R265" t="s">
        <v>1164</v>
      </c>
      <c r="S265" s="2">
        <f>HYPERLINK("https://yandex.ru/maps/?&amp;text=51.649504, 35.600281", "51.649504, 35.600281")</f>
        <v>0</v>
      </c>
      <c r="U265" t="s">
        <v>1419</v>
      </c>
      <c r="V265" s="7" t="s">
        <v>1628</v>
      </c>
    </row>
    <row r="266" spans="1:22">
      <c r="A266" s="8">
        <v>264</v>
      </c>
      <c r="B266">
        <v>46</v>
      </c>
      <c r="C266" s="1">
        <v>58.5</v>
      </c>
      <c r="D266" s="2">
        <f>HYPERLINK("https://torgi.gov.ru/new/public/lots/lot/21000002930000000013_1/(lotInfo:info)", "21000002930000000013_1")</f>
        <v>0</v>
      </c>
      <c r="E266" t="s">
        <v>284</v>
      </c>
      <c r="F266" s="3" t="s">
        <v>628</v>
      </c>
      <c r="G266" t="s">
        <v>953</v>
      </c>
      <c r="H266" s="4">
        <v>501667</v>
      </c>
      <c r="I266" s="4">
        <v>8575.504273504273</v>
      </c>
      <c r="J266" s="5">
        <v>7.47</v>
      </c>
      <c r="K266" s="5">
        <v>8.289999999999999</v>
      </c>
      <c r="L266" s="4">
        <v>476.39</v>
      </c>
      <c r="M266">
        <v>1148</v>
      </c>
      <c r="N266">
        <v>1035</v>
      </c>
      <c r="O266">
        <v>18</v>
      </c>
      <c r="P266" s="6">
        <v>100</v>
      </c>
      <c r="Q266" t="s">
        <v>1161</v>
      </c>
      <c r="R266" t="s">
        <v>1164</v>
      </c>
      <c r="S266" s="2">
        <f>HYPERLINK("https://yandex.ru/maps/?&amp;text=51.211376, 36.27675", "51.211376, 36.27675")</f>
        <v>0</v>
      </c>
      <c r="T266" s="2">
        <f>HYPERLINK("D:\torgi_project\venv_torgi\cache\objs_in_district/51.211376_36.27675.json", "51.211376_36.27675.json")</f>
        <v>0</v>
      </c>
      <c r="U266" t="s">
        <v>1420</v>
      </c>
    </row>
    <row r="267" spans="1:22">
      <c r="A267" s="8">
        <v>265</v>
      </c>
      <c r="B267">
        <v>46</v>
      </c>
      <c r="C267" s="1">
        <v>65.90000000000001</v>
      </c>
      <c r="D267" s="2">
        <f>HYPERLINK("https://torgi.gov.ru/new/public/lots/lot/22000035470000000004_1/(lotInfo:info)", "22000035470000000004_1")</f>
        <v>0</v>
      </c>
      <c r="E267" t="s">
        <v>285</v>
      </c>
      <c r="F267" s="3" t="s">
        <v>532</v>
      </c>
      <c r="G267" t="s">
        <v>954</v>
      </c>
      <c r="H267" s="4">
        <v>1854558</v>
      </c>
      <c r="I267" s="4">
        <v>28142.00303490137</v>
      </c>
      <c r="J267" s="5">
        <v>71.97</v>
      </c>
      <c r="K267" s="5">
        <v>16.9</v>
      </c>
      <c r="L267" s="4">
        <v>14071</v>
      </c>
      <c r="M267">
        <v>391</v>
      </c>
      <c r="N267">
        <v>1665</v>
      </c>
      <c r="O267">
        <v>2</v>
      </c>
      <c r="P267" s="6">
        <v>400</v>
      </c>
      <c r="Q267" t="s">
        <v>1161</v>
      </c>
      <c r="R267" t="s">
        <v>1164</v>
      </c>
      <c r="S267" s="2">
        <f>HYPERLINK("https://yandex.ru/maps/?&amp;text=51.571554, 34.672302", "51.571554, 34.672302")</f>
        <v>0</v>
      </c>
      <c r="T267" s="2">
        <f>HYPERLINK("D:\torgi_project\venv_torgi\cache\objs_in_district/51.571554_34.672302.json", "51.571554_34.672302.json")</f>
        <v>0</v>
      </c>
      <c r="U267" t="s">
        <v>1421</v>
      </c>
      <c r="V267" s="7" t="s">
        <v>1628</v>
      </c>
    </row>
    <row r="268" spans="1:22">
      <c r="A268" s="8">
        <v>266</v>
      </c>
      <c r="B268">
        <v>46</v>
      </c>
      <c r="C268" s="1">
        <v>176</v>
      </c>
      <c r="D268" s="2">
        <f>HYPERLINK("https://torgi.gov.ru/new/public/lots/lot/22000035470000000003_1/(lotInfo:info)", "22000035470000000003_1")</f>
        <v>0</v>
      </c>
      <c r="E268" t="s">
        <v>286</v>
      </c>
      <c r="F268" s="3" t="s">
        <v>629</v>
      </c>
      <c r="G268" t="s">
        <v>955</v>
      </c>
      <c r="H268" s="4">
        <v>6374073</v>
      </c>
      <c r="I268" s="4">
        <v>36216.32386363636</v>
      </c>
      <c r="J268" s="5">
        <v>46.25</v>
      </c>
      <c r="K268" s="5">
        <v>19.1</v>
      </c>
      <c r="L268" s="4">
        <v>1248.83</v>
      </c>
      <c r="M268">
        <v>783</v>
      </c>
      <c r="N268">
        <v>1896</v>
      </c>
      <c r="O268">
        <v>29</v>
      </c>
      <c r="P268" s="6">
        <v>400</v>
      </c>
      <c r="Q268" t="s">
        <v>1161</v>
      </c>
      <c r="R268" t="s">
        <v>1164</v>
      </c>
      <c r="S268" s="2">
        <f>HYPERLINK("https://yandex.ru/maps/?&amp;text=51.57228, 34.686035", "51.57228, 34.686035")</f>
        <v>0</v>
      </c>
      <c r="T268" s="2">
        <f>HYPERLINK("D:\torgi_project\venv_torgi\cache\objs_in_district/51.57228_34.686035.json", "51.57228_34.686035.json")</f>
        <v>0</v>
      </c>
      <c r="U268" t="s">
        <v>1422</v>
      </c>
    </row>
    <row r="269" spans="1:22">
      <c r="A269" s="8">
        <v>267</v>
      </c>
      <c r="B269">
        <v>47</v>
      </c>
      <c r="C269" s="1">
        <v>1087</v>
      </c>
      <c r="D269" s="2">
        <f>HYPERLINK("https://torgi.gov.ru/new/public/lots/lot/22000009020000000002_1/(lotInfo:info)", "22000009020000000002_1")</f>
        <v>0</v>
      </c>
      <c r="E269" t="s">
        <v>287</v>
      </c>
      <c r="F269" s="3" t="s">
        <v>630</v>
      </c>
      <c r="G269" t="s">
        <v>956</v>
      </c>
      <c r="H269" s="4">
        <v>3707000</v>
      </c>
      <c r="I269" s="4">
        <v>3410.303587856486</v>
      </c>
      <c r="J269" s="5">
        <v>12.05</v>
      </c>
      <c r="K269" s="5">
        <v>2.12</v>
      </c>
      <c r="L269" s="4">
        <v>487.14</v>
      </c>
      <c r="M269">
        <v>283</v>
      </c>
      <c r="N269">
        <v>1611</v>
      </c>
      <c r="O269">
        <v>7</v>
      </c>
      <c r="Q269" t="s">
        <v>1161</v>
      </c>
      <c r="R269" t="s">
        <v>1164</v>
      </c>
      <c r="S269" s="2">
        <f>HYPERLINK("https://yandex.ru/maps/?&amp;text=58.72585, 29.898583", "58.72585, 29.898583")</f>
        <v>0</v>
      </c>
      <c r="T269" s="2">
        <f>HYPERLINK("D:\torgi_project\venv_torgi\cache\objs_in_district/58.72585_29.898583.json", "58.72585_29.898583.json")</f>
        <v>0</v>
      </c>
      <c r="U269" t="s">
        <v>1423</v>
      </c>
      <c r="V269" s="7" t="s">
        <v>1628</v>
      </c>
    </row>
    <row r="270" spans="1:22">
      <c r="A270" s="8">
        <v>268</v>
      </c>
      <c r="B270">
        <v>47</v>
      </c>
      <c r="C270" s="1">
        <v>44.5</v>
      </c>
      <c r="D270" s="2">
        <f>HYPERLINK("https://torgi.gov.ru/new/public/lots/lot/21000030700000000020_1/(lotInfo:info)", "21000030700000000020_1")</f>
        <v>0</v>
      </c>
      <c r="E270" t="s">
        <v>288</v>
      </c>
      <c r="F270" s="3" t="s">
        <v>631</v>
      </c>
      <c r="G270" t="s">
        <v>957</v>
      </c>
      <c r="H270" s="4">
        <v>1960000</v>
      </c>
      <c r="I270" s="4">
        <v>44044.94382022472</v>
      </c>
      <c r="J270" s="5">
        <v>106.64</v>
      </c>
      <c r="K270" s="5">
        <v>17.54</v>
      </c>
      <c r="L270" s="4">
        <v>8808.799999999999</v>
      </c>
      <c r="M270">
        <v>413</v>
      </c>
      <c r="N270">
        <v>2511</v>
      </c>
      <c r="O270">
        <v>5</v>
      </c>
      <c r="P270" s="6">
        <v>200</v>
      </c>
      <c r="Q270" t="s">
        <v>1161</v>
      </c>
      <c r="R270" t="s">
        <v>1164</v>
      </c>
      <c r="S270" s="2">
        <f>HYPERLINK("https://yandex.ru/maps/?&amp;text=61.105963, 28.880306", "61.105963, 28.880306")</f>
        <v>0</v>
      </c>
      <c r="T270" s="2">
        <f>HYPERLINK("D:\torgi_project\venv_torgi\cache\objs_in_district/61.105963_28.880306.json", "61.105963_28.880306.json")</f>
        <v>0</v>
      </c>
      <c r="U270" t="s">
        <v>1424</v>
      </c>
      <c r="V270" s="7" t="s">
        <v>1628</v>
      </c>
    </row>
    <row r="271" spans="1:22">
      <c r="A271" s="8">
        <v>269</v>
      </c>
      <c r="B271">
        <v>49</v>
      </c>
      <c r="C271" s="1">
        <v>335.6</v>
      </c>
      <c r="D271" s="2">
        <f>HYPERLINK("https://torgi.gov.ru/new/public/lots/lot/21000014690000000008_1/(lotInfo:info)", "21000014690000000008_1")</f>
        <v>0</v>
      </c>
      <c r="E271" t="s">
        <v>289</v>
      </c>
      <c r="F271" s="3" t="s">
        <v>632</v>
      </c>
      <c r="G271" t="s">
        <v>958</v>
      </c>
      <c r="H271" s="4">
        <v>1557500</v>
      </c>
      <c r="I271" s="4">
        <v>4640.941597139451</v>
      </c>
      <c r="J271" s="5">
        <v>7.53</v>
      </c>
      <c r="K271" s="5">
        <v>1.3</v>
      </c>
      <c r="L271" s="4">
        <v>178.46</v>
      </c>
      <c r="M271">
        <v>616</v>
      </c>
      <c r="N271">
        <v>3561</v>
      </c>
      <c r="O271">
        <v>26</v>
      </c>
      <c r="P271" s="6">
        <v>200</v>
      </c>
      <c r="Q271" t="s">
        <v>1161</v>
      </c>
      <c r="R271" t="s">
        <v>1164</v>
      </c>
      <c r="S271" s="2">
        <f>HYPERLINK("https://yandex.ru/maps/?&amp;text=59.58204, 151.292302", "59.58204, 151.292302")</f>
        <v>0</v>
      </c>
      <c r="T271" s="2">
        <f>HYPERLINK("D:\torgi_project\venv_torgi\cache\objs_in_district/59.58204_151.292302.json", "59.58204_151.292302.json")</f>
        <v>0</v>
      </c>
      <c r="U271" t="s">
        <v>1425</v>
      </c>
    </row>
    <row r="272" spans="1:22">
      <c r="A272" s="8">
        <v>270</v>
      </c>
      <c r="B272">
        <v>50</v>
      </c>
      <c r="C272" s="1">
        <v>694.3</v>
      </c>
      <c r="D272" s="2">
        <f>HYPERLINK("https://torgi.gov.ru/new/public/lots/lot/21000004710000002118_1/(lotInfo:info)", "21000004710000002118_1")</f>
        <v>0</v>
      </c>
      <c r="E272" t="s">
        <v>290</v>
      </c>
      <c r="F272" s="3" t="s">
        <v>581</v>
      </c>
      <c r="G272" t="s">
        <v>959</v>
      </c>
      <c r="H272" s="4">
        <v>6250333.33</v>
      </c>
      <c r="I272" s="4">
        <v>9002.352484516779</v>
      </c>
      <c r="J272" s="5">
        <v>62.51</v>
      </c>
      <c r="K272" s="5">
        <v>9.609999999999999</v>
      </c>
      <c r="L272" s="4">
        <v>3000.67</v>
      </c>
      <c r="M272">
        <v>144</v>
      </c>
      <c r="N272">
        <v>937</v>
      </c>
      <c r="O272">
        <v>3</v>
      </c>
      <c r="Q272" t="s">
        <v>1161</v>
      </c>
      <c r="R272" t="s">
        <v>1164</v>
      </c>
      <c r="S272" s="2">
        <f>HYPERLINK("https://yandex.ru/maps/?&amp;text=54.849313, 39.305731", "54.849313, 39.305731")</f>
        <v>0</v>
      </c>
      <c r="T272" s="2">
        <f>HYPERLINK("D:\torgi_project\venv_torgi\cache\objs_in_district/54.849313_39.305731.json", "54.849313_39.305731.json")</f>
        <v>0</v>
      </c>
      <c r="U272" t="s">
        <v>1426</v>
      </c>
    </row>
    <row r="273" spans="1:22">
      <c r="A273" s="8">
        <v>271</v>
      </c>
      <c r="B273">
        <v>50</v>
      </c>
      <c r="C273" s="1">
        <v>335.2</v>
      </c>
      <c r="D273" s="2">
        <f>HYPERLINK("https://torgi.gov.ru/new/public/lots/lot/21000004710000001850_1/(lotInfo:info)", "21000004710000001850_1")</f>
        <v>0</v>
      </c>
      <c r="E273" t="s">
        <v>291</v>
      </c>
      <c r="F273" s="3" t="s">
        <v>633</v>
      </c>
      <c r="G273" t="s">
        <v>960</v>
      </c>
      <c r="H273" s="4">
        <v>3308333.33</v>
      </c>
      <c r="I273" s="4">
        <v>9869.72950477327</v>
      </c>
      <c r="J273" s="5">
        <v>85.81999999999999</v>
      </c>
      <c r="K273" s="5">
        <v>11.08</v>
      </c>
      <c r="L273" s="4">
        <v>4934.5</v>
      </c>
      <c r="M273">
        <v>115</v>
      </c>
      <c r="N273">
        <v>891</v>
      </c>
      <c r="O273">
        <v>2</v>
      </c>
      <c r="P273" s="6">
        <v>1500</v>
      </c>
      <c r="Q273" t="s">
        <v>1161</v>
      </c>
      <c r="R273" t="s">
        <v>1164</v>
      </c>
      <c r="S273" s="2">
        <f>HYPERLINK("https://yandex.ru/maps/?&amp;text=54.95581, 39.185681", "54.95581, 39.185681")</f>
        <v>0</v>
      </c>
      <c r="T273" s="2">
        <f>HYPERLINK("D:\torgi_project\venv_torgi\cache\objs_in_district/54.95581_39.185681.json", "54.95581_39.185681.json")</f>
        <v>0</v>
      </c>
      <c r="U273" t="s">
        <v>1427</v>
      </c>
      <c r="V273" s="7" t="s">
        <v>1628</v>
      </c>
    </row>
    <row r="274" spans="1:22">
      <c r="A274" s="8">
        <v>272</v>
      </c>
      <c r="B274">
        <v>50</v>
      </c>
      <c r="C274" s="1">
        <v>258</v>
      </c>
      <c r="D274" s="2">
        <f>HYPERLINK("https://torgi.gov.ru/new/public/lots/lot/21000004710000001768_1/(lotInfo:info)", "21000004710000001768_1")</f>
        <v>0</v>
      </c>
      <c r="E274" t="s">
        <v>292</v>
      </c>
      <c r="F274" s="3" t="s">
        <v>582</v>
      </c>
      <c r="G274" t="s">
        <v>961</v>
      </c>
      <c r="H274" s="4">
        <v>3579000</v>
      </c>
      <c r="I274" s="4">
        <v>13872.09302325581</v>
      </c>
      <c r="J274" s="5">
        <v>10.64</v>
      </c>
      <c r="K274" s="5">
        <v>8.33</v>
      </c>
      <c r="L274" s="4">
        <v>478.34</v>
      </c>
      <c r="M274">
        <v>1304</v>
      </c>
      <c r="N274">
        <v>1665</v>
      </c>
      <c r="O274">
        <v>29</v>
      </c>
      <c r="P274" s="6">
        <v>500</v>
      </c>
      <c r="Q274" t="s">
        <v>1161</v>
      </c>
      <c r="R274" t="s">
        <v>1164</v>
      </c>
      <c r="S274" s="2">
        <f>HYPERLINK("https://yandex.ru/maps/?&amp;text=55.770279, 38.652198", "55.770279, 38.652198")</f>
        <v>0</v>
      </c>
      <c r="T274" s="2">
        <f>HYPERLINK("D:\torgi_project\venv_torgi\cache\objs_in_district/55.770279_38.652198.json", "55.770279_38.652198.json")</f>
        <v>0</v>
      </c>
      <c r="U274" t="s">
        <v>1428</v>
      </c>
    </row>
    <row r="275" spans="1:22">
      <c r="A275" s="8">
        <v>273</v>
      </c>
      <c r="B275">
        <v>50</v>
      </c>
      <c r="C275" s="1">
        <v>116.1</v>
      </c>
      <c r="D275" s="2">
        <f>HYPERLINK("https://torgi.gov.ru/new/public/lots/lot/21000004710000002538_1/(lotInfo:info)", "21000004710000002538_1")</f>
        <v>0</v>
      </c>
      <c r="E275" t="s">
        <v>293</v>
      </c>
      <c r="F275" s="3" t="s">
        <v>634</v>
      </c>
      <c r="G275" t="s">
        <v>962</v>
      </c>
      <c r="H275" s="4">
        <v>2418400</v>
      </c>
      <c r="I275" s="4">
        <v>20830.31869078381</v>
      </c>
      <c r="J275" s="5">
        <v>452.83</v>
      </c>
      <c r="K275" s="5">
        <v>141.7</v>
      </c>
      <c r="L275" s="4">
        <v>10415</v>
      </c>
      <c r="M275">
        <v>46</v>
      </c>
      <c r="N275">
        <v>147</v>
      </c>
      <c r="O275">
        <v>2</v>
      </c>
      <c r="P275" s="6">
        <v>200</v>
      </c>
      <c r="Q275" t="s">
        <v>1161</v>
      </c>
      <c r="R275" t="s">
        <v>1164</v>
      </c>
      <c r="S275" s="2">
        <f>HYPERLINK("https://yandex.ru/maps/?&amp;text=55.129798, 39.09252", "55.129798, 39.09252")</f>
        <v>0</v>
      </c>
      <c r="T275" s="2">
        <f>HYPERLINK("D:\torgi_project\venv_torgi\cache\objs_in_district/55.129798_39.09252.json", "55.129798_39.09252.json")</f>
        <v>0</v>
      </c>
      <c r="U275" t="s">
        <v>1429</v>
      </c>
    </row>
    <row r="276" spans="1:22">
      <c r="A276" s="8">
        <v>274</v>
      </c>
      <c r="B276">
        <v>50</v>
      </c>
      <c r="C276" s="1">
        <v>165.5</v>
      </c>
      <c r="D276" s="2">
        <f>HYPERLINK("https://torgi.gov.ru/new/public/lots/lot/21000004710000000785_1/(lotInfo:info)", "21000004710000000785_1")</f>
        <v>0</v>
      </c>
      <c r="E276" t="s">
        <v>294</v>
      </c>
      <c r="F276" s="3" t="s">
        <v>610</v>
      </c>
      <c r="G276" t="s">
        <v>963</v>
      </c>
      <c r="H276" s="4">
        <v>3525000</v>
      </c>
      <c r="I276" s="4">
        <v>21299.09365558912</v>
      </c>
      <c r="J276" s="5">
        <v>14.53</v>
      </c>
      <c r="K276" s="5">
        <v>13.42</v>
      </c>
      <c r="L276" s="4">
        <v>2129.9</v>
      </c>
      <c r="M276">
        <v>1466</v>
      </c>
      <c r="N276">
        <v>1587</v>
      </c>
      <c r="O276">
        <v>10</v>
      </c>
      <c r="P276" s="6">
        <v>1500</v>
      </c>
      <c r="Q276" t="s">
        <v>1161</v>
      </c>
      <c r="R276" t="s">
        <v>1164</v>
      </c>
      <c r="S276" s="2">
        <f>HYPERLINK("https://yandex.ru/maps/?&amp;text=54.933, 37.37951", "54.933, 37.37951")</f>
        <v>0</v>
      </c>
      <c r="T276" s="2">
        <f>HYPERLINK("D:\torgi_project\venv_torgi\cache\objs_in_district/54.933_37.37951.json", "54.933_37.37951.json")</f>
        <v>0</v>
      </c>
      <c r="U276" t="s">
        <v>1430</v>
      </c>
      <c r="V276" s="7" t="s">
        <v>1628</v>
      </c>
    </row>
    <row r="277" spans="1:22">
      <c r="A277" s="8">
        <v>275</v>
      </c>
      <c r="B277">
        <v>50</v>
      </c>
      <c r="C277" s="1">
        <v>171.8</v>
      </c>
      <c r="D277" s="2">
        <f>HYPERLINK("https://torgi.gov.ru/new/public/lots/lot/21000004710000002151_1/(lotInfo:info)", "21000004710000002151_1")</f>
        <v>0</v>
      </c>
      <c r="E277" t="s">
        <v>295</v>
      </c>
      <c r="F277" s="3" t="s">
        <v>540</v>
      </c>
      <c r="G277" t="s">
        <v>964</v>
      </c>
      <c r="H277" s="4">
        <v>3975570</v>
      </c>
      <c r="I277" s="4">
        <v>23140.6868451688</v>
      </c>
      <c r="J277" s="5">
        <v>330.57</v>
      </c>
      <c r="K277" s="5">
        <v>122.43</v>
      </c>
      <c r="M277">
        <v>70</v>
      </c>
      <c r="N277">
        <v>189</v>
      </c>
      <c r="O277">
        <v>0</v>
      </c>
      <c r="P277" s="6">
        <v>1400</v>
      </c>
      <c r="Q277" t="s">
        <v>1161</v>
      </c>
      <c r="R277" t="s">
        <v>1164</v>
      </c>
      <c r="S277" s="2">
        <f>HYPERLINK("https://yandex.ru/maps/?&amp;text=55.179987, 38.745605", "55.179987, 38.745605")</f>
        <v>0</v>
      </c>
      <c r="U277" t="s">
        <v>1431</v>
      </c>
    </row>
    <row r="278" spans="1:22">
      <c r="A278" s="8">
        <v>276</v>
      </c>
      <c r="B278">
        <v>50</v>
      </c>
      <c r="C278" s="1">
        <v>99.2</v>
      </c>
      <c r="D278" s="2">
        <f>HYPERLINK("https://torgi.gov.ru/new/public/lots/lot/21000004710000001785_1/(lotInfo:info)", "21000004710000001785_1")</f>
        <v>0</v>
      </c>
      <c r="E278" t="s">
        <v>296</v>
      </c>
      <c r="F278" s="3" t="s">
        <v>635</v>
      </c>
      <c r="G278" t="s">
        <v>965</v>
      </c>
      <c r="H278" s="4">
        <v>2450000</v>
      </c>
      <c r="I278" s="4">
        <v>24697.58064516129</v>
      </c>
      <c r="J278" s="5">
        <v>5.36</v>
      </c>
      <c r="K278" s="5">
        <v>52.44</v>
      </c>
      <c r="L278" s="4">
        <v>484.25</v>
      </c>
      <c r="M278">
        <v>4607</v>
      </c>
      <c r="N278">
        <v>471</v>
      </c>
      <c r="O278">
        <v>51</v>
      </c>
      <c r="P278" s="6">
        <v>400</v>
      </c>
      <c r="Q278" t="s">
        <v>1162</v>
      </c>
      <c r="R278" t="s">
        <v>1164</v>
      </c>
      <c r="S278" s="2">
        <f>HYPERLINK("https://yandex.ru/maps/?&amp;text=55.79628, 38.466183", "55.79628, 38.466183")</f>
        <v>0</v>
      </c>
      <c r="T278" s="2">
        <f>HYPERLINK("D:\torgi_project\venv_torgi\cache\objs_in_district/55.79628_38.466183.json", "55.79628_38.466183.json")</f>
        <v>0</v>
      </c>
      <c r="U278" t="s">
        <v>1432</v>
      </c>
    </row>
    <row r="279" spans="1:22">
      <c r="A279" s="8">
        <v>277</v>
      </c>
      <c r="B279">
        <v>50</v>
      </c>
      <c r="C279" s="1">
        <v>154.8</v>
      </c>
      <c r="D279" s="2">
        <f>HYPERLINK("https://torgi.gov.ru/new/public/lots/lot/21000004710000001786_1/(lotInfo:info)", "21000004710000001786_1")</f>
        <v>0</v>
      </c>
      <c r="E279" t="s">
        <v>297</v>
      </c>
      <c r="F279" s="3" t="s">
        <v>635</v>
      </c>
      <c r="G279" t="s">
        <v>966</v>
      </c>
      <c r="H279" s="4">
        <v>4136000</v>
      </c>
      <c r="I279" s="4">
        <v>26718.34625322997</v>
      </c>
      <c r="J279" s="5">
        <v>6.01</v>
      </c>
      <c r="K279" s="5">
        <v>6.41</v>
      </c>
      <c r="L279" s="4">
        <v>742.17</v>
      </c>
      <c r="M279">
        <v>4449</v>
      </c>
      <c r="N279">
        <v>4170</v>
      </c>
      <c r="O279">
        <v>36</v>
      </c>
      <c r="P279" s="6">
        <v>400</v>
      </c>
      <c r="Q279" t="s">
        <v>1162</v>
      </c>
      <c r="R279" t="s">
        <v>1164</v>
      </c>
      <c r="S279" s="2">
        <f>HYPERLINK("https://yandex.ru/maps/?&amp;text=55.796005, 38.443806", "55.796005, 38.443806")</f>
        <v>0</v>
      </c>
      <c r="T279" s="2">
        <f>HYPERLINK("D:\torgi_project\venv_torgi\cache\objs_in_district/55.796005_38.443806.json", "55.796005_38.443806.json")</f>
        <v>0</v>
      </c>
      <c r="U279" t="s">
        <v>1433</v>
      </c>
    </row>
    <row r="280" spans="1:22">
      <c r="A280" s="8">
        <v>278</v>
      </c>
      <c r="B280">
        <v>50</v>
      </c>
      <c r="C280" s="1">
        <v>283.7</v>
      </c>
      <c r="D280" s="2">
        <f>HYPERLINK("https://torgi.gov.ru/new/public/lots/lot/21000004710000002478_1/(lotInfo:info)", "21000004710000002478_1")</f>
        <v>0</v>
      </c>
      <c r="E280" t="s">
        <v>298</v>
      </c>
      <c r="F280" s="3" t="s">
        <v>636</v>
      </c>
      <c r="G280" t="s">
        <v>967</v>
      </c>
      <c r="H280" s="4">
        <v>7981330</v>
      </c>
      <c r="I280" s="4">
        <v>28132.99259781459</v>
      </c>
      <c r="J280" s="5">
        <v>11.4</v>
      </c>
      <c r="K280" s="5">
        <v>4.04</v>
      </c>
      <c r="L280" s="4">
        <v>370.16</v>
      </c>
      <c r="M280">
        <v>2468</v>
      </c>
      <c r="N280">
        <v>6966</v>
      </c>
      <c r="O280">
        <v>76</v>
      </c>
      <c r="P280" s="6">
        <v>400</v>
      </c>
      <c r="Q280" t="s">
        <v>1162</v>
      </c>
      <c r="R280" t="s">
        <v>1164</v>
      </c>
      <c r="S280" s="2">
        <f>HYPERLINK("https://yandex.ru/maps/?&amp;text=55.945473, 37.50796", "55.945473, 37.50796")</f>
        <v>0</v>
      </c>
      <c r="T280" s="2">
        <f>HYPERLINK("D:\torgi_project\venv_torgi\cache\objs_in_district/55.945473_37.50796.json", "55.945473_37.50796.json")</f>
        <v>0</v>
      </c>
      <c r="U280" t="s">
        <v>1434</v>
      </c>
    </row>
    <row r="281" spans="1:22">
      <c r="A281" s="8">
        <v>279</v>
      </c>
      <c r="B281">
        <v>50</v>
      </c>
      <c r="C281" s="1">
        <v>101.6</v>
      </c>
      <c r="D281" s="2">
        <f>HYPERLINK("https://torgi.gov.ru/new/public/lots/lot/21000004710000002557_1/(lotInfo:info)", "21000004710000002557_1")</f>
        <v>0</v>
      </c>
      <c r="E281" t="s">
        <v>299</v>
      </c>
      <c r="F281" s="3" t="s">
        <v>637</v>
      </c>
      <c r="G281" t="s">
        <v>968</v>
      </c>
      <c r="H281" s="4">
        <v>2887200</v>
      </c>
      <c r="I281" s="4">
        <v>28417.32283464567</v>
      </c>
      <c r="J281" s="5">
        <v>86.64</v>
      </c>
      <c r="K281" s="5">
        <v>326.63</v>
      </c>
      <c r="M281">
        <v>328</v>
      </c>
      <c r="N281">
        <v>87</v>
      </c>
      <c r="O281">
        <v>0</v>
      </c>
      <c r="P281" s="6">
        <v>2100</v>
      </c>
      <c r="Q281" t="s">
        <v>1161</v>
      </c>
      <c r="R281" t="s">
        <v>1164</v>
      </c>
      <c r="S281" s="2">
        <f>HYPERLINK("https://yandex.ru/maps/?&amp;text=55.322787, 37.82956", "55.322787, 37.82956")</f>
        <v>0</v>
      </c>
      <c r="U281" t="s">
        <v>1435</v>
      </c>
    </row>
    <row r="282" spans="1:22">
      <c r="A282" s="8">
        <v>280</v>
      </c>
      <c r="B282">
        <v>50</v>
      </c>
      <c r="C282" s="1">
        <v>64.8</v>
      </c>
      <c r="D282" s="2">
        <f>HYPERLINK("https://torgi.gov.ru/new/public/lots/lot/21000004710000002063_1/(lotInfo:info)", "21000004710000002063_1")</f>
        <v>0</v>
      </c>
      <c r="E282" t="s">
        <v>300</v>
      </c>
      <c r="F282" s="3" t="s">
        <v>638</v>
      </c>
      <c r="G282" t="s">
        <v>969</v>
      </c>
      <c r="H282" s="4">
        <v>1842000</v>
      </c>
      <c r="I282" s="4">
        <v>28425.92592592593</v>
      </c>
      <c r="J282" s="5">
        <v>7.09</v>
      </c>
      <c r="K282" s="5">
        <v>7.59</v>
      </c>
      <c r="L282" s="4">
        <v>768.24</v>
      </c>
      <c r="M282">
        <v>4008</v>
      </c>
      <c r="N282">
        <v>3744</v>
      </c>
      <c r="O282">
        <v>37</v>
      </c>
      <c r="P282" s="6">
        <v>300</v>
      </c>
      <c r="Q282" t="s">
        <v>1161</v>
      </c>
      <c r="R282" t="s">
        <v>1164</v>
      </c>
      <c r="S282" s="2">
        <f>HYPERLINK("https://yandex.ru/maps/?&amp;text=55.97189, 37.9131", "55.97189, 37.9131")</f>
        <v>0</v>
      </c>
      <c r="T282" s="2">
        <f>HYPERLINK("D:\torgi_project\venv_torgi\cache\objs_in_district/55.97189_37.9131.json", "55.97189_37.9131.json")</f>
        <v>0</v>
      </c>
      <c r="U282" t="s">
        <v>1436</v>
      </c>
      <c r="V282" s="7" t="s">
        <v>1628</v>
      </c>
    </row>
    <row r="283" spans="1:22">
      <c r="A283" s="8">
        <v>281</v>
      </c>
      <c r="B283">
        <v>50</v>
      </c>
      <c r="C283" s="1">
        <v>228.3</v>
      </c>
      <c r="D283" s="2">
        <f>HYPERLINK("https://torgi.gov.ru/new/public/lots/lot/21000004710000002477_1/(lotInfo:info)", "21000004710000002477_1")</f>
        <v>0</v>
      </c>
      <c r="E283" t="s">
        <v>301</v>
      </c>
      <c r="F283" s="3" t="s">
        <v>636</v>
      </c>
      <c r="G283" t="s">
        <v>970</v>
      </c>
      <c r="H283" s="4">
        <v>6642850</v>
      </c>
      <c r="I283" s="4">
        <v>29097.0214629873</v>
      </c>
      <c r="J283" s="5">
        <v>11.79</v>
      </c>
      <c r="K283" s="5">
        <v>4.27</v>
      </c>
      <c r="L283" s="4">
        <v>398.59</v>
      </c>
      <c r="M283">
        <v>2468</v>
      </c>
      <c r="N283">
        <v>6822</v>
      </c>
      <c r="O283">
        <v>73</v>
      </c>
      <c r="P283" s="6">
        <v>400</v>
      </c>
      <c r="Q283" t="s">
        <v>1162</v>
      </c>
      <c r="R283" t="s">
        <v>1164</v>
      </c>
      <c r="S283" s="2">
        <f>HYPERLINK("https://yandex.ru/maps/?&amp;text=55.94495, 37.508247", "55.94495, 37.508247")</f>
        <v>0</v>
      </c>
      <c r="T283" s="2">
        <f>HYPERLINK("D:\torgi_project\venv_torgi\cache\objs_in_district/55.94495_37.508247.json", "55.94495_37.508247.json")</f>
        <v>0</v>
      </c>
      <c r="U283" t="s">
        <v>1437</v>
      </c>
    </row>
    <row r="284" spans="1:22">
      <c r="A284" s="8">
        <v>282</v>
      </c>
      <c r="B284">
        <v>50</v>
      </c>
      <c r="C284" s="1">
        <v>243.8</v>
      </c>
      <c r="D284" s="2">
        <f>HYPERLINK("https://torgi.gov.ru/new/public/lots/lot/21000004710000001886_1/(lotInfo:info)", "21000004710000001886_1")</f>
        <v>0</v>
      </c>
      <c r="E284" t="s">
        <v>302</v>
      </c>
      <c r="F284" s="3" t="s">
        <v>639</v>
      </c>
      <c r="G284" t="s">
        <v>971</v>
      </c>
      <c r="H284" s="4">
        <v>7520000</v>
      </c>
      <c r="I284" s="4">
        <v>30844.95488105004</v>
      </c>
      <c r="J284" s="5">
        <v>27.56</v>
      </c>
      <c r="K284" s="5">
        <v>10.11</v>
      </c>
      <c r="L284" s="4">
        <v>642.58</v>
      </c>
      <c r="M284">
        <v>1119</v>
      </c>
      <c r="N284">
        <v>3051</v>
      </c>
      <c r="O284">
        <v>48</v>
      </c>
      <c r="P284" s="6">
        <v>900</v>
      </c>
      <c r="Q284" t="s">
        <v>1161</v>
      </c>
      <c r="R284" t="s">
        <v>1164</v>
      </c>
      <c r="S284" s="2">
        <f>HYPERLINK("https://yandex.ru/maps/?&amp;text=55.807157, 38.166847", "55.807157, 38.166847")</f>
        <v>0</v>
      </c>
      <c r="T284" s="2">
        <f>HYPERLINK("D:\torgi_project\venv_torgi\cache\objs_in_district/55.807157_38.166847.json", "55.807157_38.166847.json")</f>
        <v>0</v>
      </c>
      <c r="U284" t="s">
        <v>1438</v>
      </c>
    </row>
    <row r="285" spans="1:22">
      <c r="A285" s="8">
        <v>283</v>
      </c>
      <c r="B285">
        <v>50</v>
      </c>
      <c r="C285" s="1">
        <v>30.9</v>
      </c>
      <c r="D285" s="2">
        <f>HYPERLINK("https://torgi.gov.ru/new/public/lots/lot/21000004710000002100_1/(lotInfo:info)", "21000004710000002100_1")</f>
        <v>0</v>
      </c>
      <c r="E285" t="s">
        <v>303</v>
      </c>
      <c r="F285" s="3" t="s">
        <v>551</v>
      </c>
      <c r="G285" t="s">
        <v>972</v>
      </c>
      <c r="H285" s="4">
        <v>974675</v>
      </c>
      <c r="I285" s="4">
        <v>31542.88025889968</v>
      </c>
      <c r="J285" s="5">
        <v>13.88</v>
      </c>
      <c r="K285" s="5">
        <v>23.82</v>
      </c>
      <c r="L285" s="4">
        <v>3942.75</v>
      </c>
      <c r="M285">
        <v>2272</v>
      </c>
      <c r="N285">
        <v>1324</v>
      </c>
      <c r="O285">
        <v>8</v>
      </c>
      <c r="P285" s="6">
        <v>1200</v>
      </c>
      <c r="Q285" t="s">
        <v>1161</v>
      </c>
      <c r="R285" t="s">
        <v>1164</v>
      </c>
      <c r="S285" s="2">
        <f>HYPERLINK("https://yandex.ru/maps/?&amp;text=55.107061, 38.743359", "55.107061, 38.743359")</f>
        <v>0</v>
      </c>
      <c r="T285" s="2">
        <f>HYPERLINK("D:\torgi_project\venv_torgi\cache\objs_in_district/55.107061_38.743359.json", "55.107061_38.743359.json")</f>
        <v>0</v>
      </c>
      <c r="U285" t="s">
        <v>1439</v>
      </c>
    </row>
    <row r="286" spans="1:22">
      <c r="A286" s="8">
        <v>284</v>
      </c>
      <c r="B286">
        <v>50</v>
      </c>
      <c r="C286" s="1">
        <v>95.90000000000001</v>
      </c>
      <c r="D286" s="2">
        <f>HYPERLINK("https://torgi.gov.ru/new/public/lots/lot/21000004710000001306_1/(lotInfo:info)", "21000004710000001306_1")</f>
        <v>0</v>
      </c>
      <c r="E286" t="s">
        <v>304</v>
      </c>
      <c r="F286" s="3" t="s">
        <v>639</v>
      </c>
      <c r="G286" t="s">
        <v>973</v>
      </c>
      <c r="H286" s="4">
        <v>3104167</v>
      </c>
      <c r="I286" s="4">
        <v>32368.79040667362</v>
      </c>
      <c r="J286" s="5">
        <v>8.210000000000001</v>
      </c>
      <c r="K286" s="5">
        <v>4.41</v>
      </c>
      <c r="L286" s="4">
        <v>1011.5</v>
      </c>
      <c r="M286">
        <v>3944</v>
      </c>
      <c r="N286">
        <v>7341</v>
      </c>
      <c r="O286">
        <v>32</v>
      </c>
      <c r="P286" s="6">
        <v>400</v>
      </c>
      <c r="Q286" t="s">
        <v>1161</v>
      </c>
      <c r="R286" t="s">
        <v>1164</v>
      </c>
      <c r="S286" s="2">
        <f>HYPERLINK("https://yandex.ru/maps/?&amp;text=55.574895, 37.900596", "55.574895, 37.900596")</f>
        <v>0</v>
      </c>
      <c r="T286" s="2">
        <f>HYPERLINK("D:\torgi_project\venv_torgi\cache\objs_in_district/55.574895_37.900596.json", "55.574895_37.900596.json")</f>
        <v>0</v>
      </c>
      <c r="U286" t="s">
        <v>1440</v>
      </c>
    </row>
    <row r="287" spans="1:22">
      <c r="A287" s="8">
        <v>285</v>
      </c>
      <c r="B287">
        <v>50</v>
      </c>
      <c r="C287" s="1">
        <v>149.9</v>
      </c>
      <c r="D287" s="2">
        <f>HYPERLINK("https://torgi.gov.ru/new/public/lots/lot/21000004710000001893_1/(lotInfo:info)", "21000004710000001893_1")</f>
        <v>0</v>
      </c>
      <c r="E287" t="s">
        <v>305</v>
      </c>
      <c r="F287" s="3" t="s">
        <v>639</v>
      </c>
      <c r="G287" t="s">
        <v>974</v>
      </c>
      <c r="H287" s="4">
        <v>4860000</v>
      </c>
      <c r="I287" s="4">
        <v>32421.6144096064</v>
      </c>
      <c r="J287" s="5">
        <v>43.81</v>
      </c>
      <c r="K287" s="5">
        <v>17.59</v>
      </c>
      <c r="L287" s="4">
        <v>1907.12</v>
      </c>
      <c r="M287">
        <v>740</v>
      </c>
      <c r="N287">
        <v>1843</v>
      </c>
      <c r="O287">
        <v>17</v>
      </c>
      <c r="P287" s="6">
        <v>800</v>
      </c>
      <c r="Q287" t="s">
        <v>1161</v>
      </c>
      <c r="R287" t="s">
        <v>1164</v>
      </c>
      <c r="S287" s="2">
        <f>HYPERLINK("https://yandex.ru/maps/?&amp;text=55.844337, 38.414143", "55.844337, 38.414143")</f>
        <v>0</v>
      </c>
      <c r="T287" s="2">
        <f>HYPERLINK("D:\torgi_project\venv_torgi\cache\objs_in_district/55.844337_38.414143.json", "55.844337_38.414143.json")</f>
        <v>0</v>
      </c>
      <c r="U287" t="s">
        <v>1441</v>
      </c>
    </row>
    <row r="288" spans="1:22">
      <c r="A288" s="8">
        <v>286</v>
      </c>
      <c r="B288">
        <v>50</v>
      </c>
      <c r="C288" s="1">
        <v>156.6</v>
      </c>
      <c r="D288" s="2">
        <f>HYPERLINK("https://torgi.gov.ru/new/public/lots/lot/21000004710000000858_1/(lotInfo:info)", "21000004710000000858_1")</f>
        <v>0</v>
      </c>
      <c r="E288" t="s">
        <v>306</v>
      </c>
      <c r="F288" s="3" t="s">
        <v>610</v>
      </c>
      <c r="G288" t="s">
        <v>975</v>
      </c>
      <c r="H288" s="4">
        <v>5149000</v>
      </c>
      <c r="I288" s="4">
        <v>32879.94891443168</v>
      </c>
      <c r="J288" s="5">
        <v>8.630000000000001</v>
      </c>
      <c r="K288" s="5">
        <v>10.62</v>
      </c>
      <c r="L288" s="4">
        <v>557.27</v>
      </c>
      <c r="M288">
        <v>3810</v>
      </c>
      <c r="N288">
        <v>3096</v>
      </c>
      <c r="O288">
        <v>59</v>
      </c>
      <c r="P288" s="6">
        <v>200</v>
      </c>
      <c r="Q288" t="s">
        <v>1161</v>
      </c>
      <c r="R288" t="s">
        <v>1164</v>
      </c>
      <c r="S288" s="2">
        <f>HYPERLINK("https://yandex.ru/maps/?&amp;text=54.915839, 37.421874", "54.915839, 37.421874")</f>
        <v>0</v>
      </c>
      <c r="T288" s="2">
        <f>HYPERLINK("D:\torgi_project\venv_torgi\cache\objs_in_district/54.915839_37.421874.json", "54.915839_37.421874.json")</f>
        <v>0</v>
      </c>
      <c r="U288" t="s">
        <v>1442</v>
      </c>
    </row>
    <row r="289" spans="1:22">
      <c r="A289" s="8">
        <v>287</v>
      </c>
      <c r="B289">
        <v>50</v>
      </c>
      <c r="C289" s="1">
        <v>82.90000000000001</v>
      </c>
      <c r="D289" s="2">
        <f>HYPERLINK("https://torgi.gov.ru/new/public/lots/lot/21000004710000002573_1/(lotInfo:info)", "21000004710000002573_1")</f>
        <v>0</v>
      </c>
      <c r="E289" t="s">
        <v>307</v>
      </c>
      <c r="F289" s="3" t="s">
        <v>640</v>
      </c>
      <c r="G289" t="s">
        <v>976</v>
      </c>
      <c r="H289" s="4">
        <v>2750000</v>
      </c>
      <c r="I289" s="4">
        <v>33172.49698431845</v>
      </c>
      <c r="J289" s="5">
        <v>45.82</v>
      </c>
      <c r="K289" s="5">
        <v>91.89</v>
      </c>
      <c r="L289" s="4">
        <v>3015.64</v>
      </c>
      <c r="M289">
        <v>724</v>
      </c>
      <c r="N289">
        <v>361</v>
      </c>
      <c r="O289">
        <v>11</v>
      </c>
      <c r="Q289" t="s">
        <v>1161</v>
      </c>
      <c r="R289" t="s">
        <v>1164</v>
      </c>
      <c r="S289" s="2">
        <f>HYPERLINK("https://yandex.ru/maps/?&amp;text=55.852077, 38.494938", "55.852077, 38.494938")</f>
        <v>0</v>
      </c>
      <c r="T289" s="2">
        <f>HYPERLINK("D:\torgi_project\venv_torgi\cache\objs_in_district/55.852077_38.494938.json", "55.852077_38.494938.json")</f>
        <v>0</v>
      </c>
      <c r="U289" t="s">
        <v>1443</v>
      </c>
    </row>
    <row r="290" spans="1:22">
      <c r="A290" s="8">
        <v>288</v>
      </c>
      <c r="B290">
        <v>50</v>
      </c>
      <c r="C290" s="1">
        <v>74.2</v>
      </c>
      <c r="D290" s="2">
        <f>HYPERLINK("https://torgi.gov.ru/new/public/lots/lot/21000004710000001885_1/(lotInfo:info)", "21000004710000001885_1")</f>
        <v>0</v>
      </c>
      <c r="E290" t="s">
        <v>308</v>
      </c>
      <c r="F290" s="3" t="s">
        <v>639</v>
      </c>
      <c r="G290" t="s">
        <v>977</v>
      </c>
      <c r="H290" s="4">
        <v>2640000</v>
      </c>
      <c r="I290" s="4">
        <v>35579.51482479784</v>
      </c>
      <c r="J290" s="5">
        <v>29.19</v>
      </c>
      <c r="K290" s="5">
        <v>11.37</v>
      </c>
      <c r="L290" s="4">
        <v>2371.93</v>
      </c>
      <c r="M290">
        <v>1219</v>
      </c>
      <c r="N290">
        <v>3129</v>
      </c>
      <c r="O290">
        <v>15</v>
      </c>
      <c r="P290" s="6">
        <v>900</v>
      </c>
      <c r="Q290" t="s">
        <v>1161</v>
      </c>
      <c r="R290" t="s">
        <v>1164</v>
      </c>
      <c r="S290" s="2">
        <f>HYPERLINK("https://yandex.ru/maps/?&amp;text=55.877705, 38.431175", "55.877705, 38.431175")</f>
        <v>0</v>
      </c>
      <c r="T290" s="2">
        <f>HYPERLINK("D:\torgi_project\venv_torgi\cache\objs_in_district/55.877705_38.431175.json", "55.877705_38.431175.json")</f>
        <v>0</v>
      </c>
      <c r="U290" t="s">
        <v>1444</v>
      </c>
    </row>
    <row r="291" spans="1:22">
      <c r="A291" s="8">
        <v>289</v>
      </c>
      <c r="B291">
        <v>50</v>
      </c>
      <c r="C291" s="1">
        <v>48.6</v>
      </c>
      <c r="D291" s="2">
        <f>HYPERLINK("https://torgi.gov.ru/new/public/lots/lot/21000004710000002219_1/(lotInfo:info)", "21000004710000002219_1")</f>
        <v>0</v>
      </c>
      <c r="E291" t="s">
        <v>309</v>
      </c>
      <c r="F291" s="3" t="s">
        <v>540</v>
      </c>
      <c r="G291" t="s">
        <v>978</v>
      </c>
      <c r="H291" s="4">
        <v>1885500</v>
      </c>
      <c r="I291" s="4">
        <v>38796.29629629629</v>
      </c>
      <c r="J291" s="5">
        <v>9.449999999999999</v>
      </c>
      <c r="K291" s="5">
        <v>10.56</v>
      </c>
      <c r="L291" s="4">
        <v>881.73</v>
      </c>
      <c r="M291">
        <v>4104</v>
      </c>
      <c r="N291">
        <v>3675</v>
      </c>
      <c r="O291">
        <v>44</v>
      </c>
      <c r="P291" s="6">
        <v>300</v>
      </c>
      <c r="Q291" t="s">
        <v>1161</v>
      </c>
      <c r="R291" t="s">
        <v>1164</v>
      </c>
      <c r="S291" s="2">
        <f>HYPERLINK("https://yandex.ru/maps/?&amp;text=55.967567, 37.916163", "55.967567, 37.916163")</f>
        <v>0</v>
      </c>
      <c r="T291" s="2">
        <f>HYPERLINK("D:\torgi_project\venv_torgi\cache\objs_in_district/55.967567_37.916163.json", "55.967567_37.916163.json")</f>
        <v>0</v>
      </c>
      <c r="U291" t="s">
        <v>1445</v>
      </c>
    </row>
    <row r="292" spans="1:22">
      <c r="A292" s="8">
        <v>290</v>
      </c>
      <c r="B292">
        <v>50</v>
      </c>
      <c r="C292" s="1">
        <v>74.59999999999999</v>
      </c>
      <c r="D292" s="2">
        <f>HYPERLINK("https://torgi.gov.ru/new/public/lots/lot/21000004710000001510_1/(lotInfo:info)", "21000004710000001510_1")</f>
        <v>0</v>
      </c>
      <c r="E292" t="s">
        <v>310</v>
      </c>
      <c r="F292" s="3" t="s">
        <v>610</v>
      </c>
      <c r="G292" t="s">
        <v>979</v>
      </c>
      <c r="H292" s="4">
        <v>3044600</v>
      </c>
      <c r="I292" s="4">
        <v>40812.33243967828</v>
      </c>
      <c r="J292" s="5">
        <v>25.07</v>
      </c>
      <c r="K292" s="5">
        <v>15.02</v>
      </c>
      <c r="L292" s="4">
        <v>1700.5</v>
      </c>
      <c r="M292">
        <v>1628</v>
      </c>
      <c r="N292">
        <v>2718</v>
      </c>
      <c r="O292">
        <v>24</v>
      </c>
      <c r="P292" s="6">
        <v>100</v>
      </c>
      <c r="Q292" t="s">
        <v>1161</v>
      </c>
      <c r="R292" t="s">
        <v>1164</v>
      </c>
      <c r="S292" s="2">
        <f>HYPERLINK("https://yandex.ru/maps/?&amp;text=55.868945, 38.782292", "55.868945, 38.782292")</f>
        <v>0</v>
      </c>
      <c r="T292" s="2">
        <f>HYPERLINK("D:\torgi_project\venv_torgi\cache\objs_in_district/55.868945_38.782292.json", "55.868945_38.782292.json")</f>
        <v>0</v>
      </c>
      <c r="U292" t="s">
        <v>1446</v>
      </c>
    </row>
    <row r="293" spans="1:22">
      <c r="A293" s="8">
        <v>291</v>
      </c>
      <c r="B293">
        <v>50</v>
      </c>
      <c r="C293" s="1">
        <v>19.9</v>
      </c>
      <c r="D293" s="2">
        <f>HYPERLINK("https://torgi.gov.ru/new/public/lots/lot/21000004710000002479_1/(lotInfo:info)", "21000004710000002479_1")</f>
        <v>0</v>
      </c>
      <c r="E293" t="s">
        <v>311</v>
      </c>
      <c r="F293" s="3" t="s">
        <v>636</v>
      </c>
      <c r="G293" t="s">
        <v>980</v>
      </c>
      <c r="H293" s="4">
        <v>824917</v>
      </c>
      <c r="I293" s="4">
        <v>41453.11557788945</v>
      </c>
      <c r="J293" s="5">
        <v>15.4</v>
      </c>
      <c r="K293" s="5">
        <v>18.4</v>
      </c>
      <c r="L293" s="4">
        <v>829.0599999999999</v>
      </c>
      <c r="M293">
        <v>2691</v>
      </c>
      <c r="N293">
        <v>2253</v>
      </c>
      <c r="O293">
        <v>50</v>
      </c>
      <c r="P293" s="6">
        <v>400</v>
      </c>
      <c r="Q293" t="s">
        <v>1161</v>
      </c>
      <c r="R293" t="s">
        <v>1164</v>
      </c>
      <c r="S293" s="2">
        <f>HYPERLINK("https://yandex.ru/maps/?&amp;text=55.895358, 37.436319", "55.895358, 37.436319")</f>
        <v>0</v>
      </c>
      <c r="T293" s="2">
        <f>HYPERLINK("D:\torgi_project\venv_torgi\cache\objs_in_district/55.895358_37.436319.json", "55.895358_37.436319.json")</f>
        <v>0</v>
      </c>
      <c r="U293" t="s">
        <v>1447</v>
      </c>
    </row>
    <row r="294" spans="1:22">
      <c r="A294" s="8">
        <v>292</v>
      </c>
      <c r="B294">
        <v>50</v>
      </c>
      <c r="C294" s="1">
        <v>19.3</v>
      </c>
      <c r="D294" s="2">
        <f>HYPERLINK("https://torgi.gov.ru/new/public/lots/lot/21000004710000002481_1/(lotInfo:info)", "21000004710000002481_1")</f>
        <v>0</v>
      </c>
      <c r="E294" t="s">
        <v>312</v>
      </c>
      <c r="F294" s="3" t="s">
        <v>636</v>
      </c>
      <c r="G294" t="s">
        <v>981</v>
      </c>
      <c r="H294" s="4">
        <v>824917</v>
      </c>
      <c r="I294" s="4">
        <v>42741.81347150259</v>
      </c>
      <c r="J294" s="5">
        <v>15.23</v>
      </c>
      <c r="K294" s="5">
        <v>17.94</v>
      </c>
      <c r="L294" s="4">
        <v>777.11</v>
      </c>
      <c r="M294">
        <v>2806</v>
      </c>
      <c r="N294">
        <v>2382</v>
      </c>
      <c r="O294">
        <v>55</v>
      </c>
      <c r="P294" s="6">
        <v>500</v>
      </c>
      <c r="Q294" t="s">
        <v>1161</v>
      </c>
      <c r="R294" t="s">
        <v>1164</v>
      </c>
      <c r="S294" s="2">
        <f>HYPERLINK("https://yandex.ru/maps/?&amp;text=55.896731, 37.444665", "55.896731, 37.444665")</f>
        <v>0</v>
      </c>
      <c r="T294" s="2">
        <f>HYPERLINK("D:\torgi_project\venv_torgi\cache\objs_in_district/55.896731_37.444665.json", "55.896731_37.444665.json")</f>
        <v>0</v>
      </c>
      <c r="U294" t="s">
        <v>1448</v>
      </c>
    </row>
    <row r="295" spans="1:22">
      <c r="A295" s="8">
        <v>293</v>
      </c>
      <c r="B295">
        <v>50</v>
      </c>
      <c r="C295" s="1">
        <v>29.6</v>
      </c>
      <c r="D295" s="2">
        <f>HYPERLINK("https://torgi.gov.ru/new/public/lots/lot/21000004710000001894_1/(lotInfo:info)", "21000004710000001894_1")</f>
        <v>0</v>
      </c>
      <c r="E295" t="s">
        <v>313</v>
      </c>
      <c r="F295" s="3" t="s">
        <v>639</v>
      </c>
      <c r="G295" t="s">
        <v>982</v>
      </c>
      <c r="H295" s="4">
        <v>1600000</v>
      </c>
      <c r="I295" s="4">
        <v>54054.05405405405</v>
      </c>
      <c r="J295" s="5">
        <v>111.45</v>
      </c>
      <c r="K295" s="5">
        <v>62.56</v>
      </c>
      <c r="L295" s="4">
        <v>3003</v>
      </c>
      <c r="M295">
        <v>485</v>
      </c>
      <c r="N295">
        <v>864</v>
      </c>
      <c r="O295">
        <v>18</v>
      </c>
      <c r="P295" s="6">
        <v>100</v>
      </c>
      <c r="Q295" t="s">
        <v>1161</v>
      </c>
      <c r="R295" t="s">
        <v>1164</v>
      </c>
      <c r="S295" s="2">
        <f>HYPERLINK("https://yandex.ru/maps/?&amp;text=55.83291, 38.478302", "55.83291, 38.478302")</f>
        <v>0</v>
      </c>
      <c r="T295" s="2">
        <f>HYPERLINK("D:\torgi_project\venv_torgi\cache\objs_in_district/55.83291_38.478302.json", "55.83291_38.478302.json")</f>
        <v>0</v>
      </c>
      <c r="U295" t="s">
        <v>1449</v>
      </c>
    </row>
    <row r="296" spans="1:22">
      <c r="A296" s="8">
        <v>294</v>
      </c>
      <c r="B296">
        <v>50</v>
      </c>
      <c r="C296" s="1">
        <v>26.6</v>
      </c>
      <c r="D296" s="2">
        <f>HYPERLINK("https://torgi.gov.ru/new/public/lots/lot/21000004710000001892_1/(lotInfo:info)", "21000004710000001892_1")</f>
        <v>0</v>
      </c>
      <c r="E296" t="s">
        <v>314</v>
      </c>
      <c r="F296" s="3" t="s">
        <v>639</v>
      </c>
      <c r="G296" t="s">
        <v>983</v>
      </c>
      <c r="H296" s="4">
        <v>1470000</v>
      </c>
      <c r="I296" s="4">
        <v>55263.15789473684</v>
      </c>
      <c r="J296" s="5">
        <v>74.18000000000001</v>
      </c>
      <c r="K296" s="5">
        <v>22.81</v>
      </c>
      <c r="L296" s="4">
        <v>4251</v>
      </c>
      <c r="M296">
        <v>745</v>
      </c>
      <c r="N296">
        <v>2423</v>
      </c>
      <c r="O296">
        <v>13</v>
      </c>
      <c r="Q296" t="s">
        <v>1161</v>
      </c>
      <c r="R296" t="s">
        <v>1164</v>
      </c>
      <c r="S296" s="2">
        <f>HYPERLINK("https://yandex.ru/maps/?&amp;text=55.889523, 38.48255", "55.889523, 38.48255")</f>
        <v>0</v>
      </c>
      <c r="T296" s="2">
        <f>HYPERLINK("D:\torgi_project\venv_torgi\cache\objs_in_district/55.889523_38.48255.json", "55.889523_38.48255.json")</f>
        <v>0</v>
      </c>
      <c r="U296" t="s">
        <v>1450</v>
      </c>
    </row>
    <row r="297" spans="1:22">
      <c r="A297" s="8">
        <v>295</v>
      </c>
      <c r="B297">
        <v>50</v>
      </c>
      <c r="C297" s="1">
        <v>35.4</v>
      </c>
      <c r="D297" s="2">
        <f>HYPERLINK("https://torgi.gov.ru/new/public/lots/lot/21000004710000001895_1/(lotInfo:info)", "21000004710000001895_1")</f>
        <v>0</v>
      </c>
      <c r="E297" t="s">
        <v>315</v>
      </c>
      <c r="F297" s="3" t="s">
        <v>639</v>
      </c>
      <c r="G297" t="s">
        <v>984</v>
      </c>
      <c r="H297" s="4">
        <v>2000000</v>
      </c>
      <c r="I297" s="4">
        <v>56497.17514124294</v>
      </c>
      <c r="J297" s="5">
        <v>12.52</v>
      </c>
      <c r="K297" s="5">
        <v>9.77</v>
      </c>
      <c r="L297" s="4">
        <v>957.58</v>
      </c>
      <c r="M297">
        <v>4512</v>
      </c>
      <c r="N297">
        <v>5784</v>
      </c>
      <c r="O297">
        <v>59</v>
      </c>
      <c r="P297" s="6">
        <v>300</v>
      </c>
      <c r="Q297" t="s">
        <v>1161</v>
      </c>
      <c r="R297" t="s">
        <v>1164</v>
      </c>
      <c r="S297" s="2">
        <f>HYPERLINK("https://yandex.ru/maps/?&amp;text=55.576793, 37.908267", "55.576793, 37.908267")</f>
        <v>0</v>
      </c>
      <c r="T297" s="2">
        <f>HYPERLINK("D:\torgi_project\venv_torgi\cache\objs_in_district/55.576793_37.908267.json", "55.576793_37.908267.json")</f>
        <v>0</v>
      </c>
      <c r="U297" t="s">
        <v>1451</v>
      </c>
    </row>
    <row r="298" spans="1:22">
      <c r="A298" s="8">
        <v>296</v>
      </c>
      <c r="B298">
        <v>50</v>
      </c>
      <c r="C298" s="1">
        <v>20.5</v>
      </c>
      <c r="D298" s="2">
        <f>HYPERLINK("https://torgi.gov.ru/new/public/lots/lot/21000004710000001891_1/(lotInfo:info)", "21000004710000001891_1")</f>
        <v>0</v>
      </c>
      <c r="E298" t="s">
        <v>316</v>
      </c>
      <c r="F298" s="3" t="s">
        <v>639</v>
      </c>
      <c r="G298" t="s">
        <v>985</v>
      </c>
      <c r="H298" s="4">
        <v>1160000</v>
      </c>
      <c r="I298" s="4">
        <v>56585.36585365854</v>
      </c>
      <c r="J298" s="5">
        <v>46.42</v>
      </c>
      <c r="K298" s="5">
        <v>21.26</v>
      </c>
      <c r="L298" s="4">
        <v>3536.56</v>
      </c>
      <c r="M298">
        <v>1219</v>
      </c>
      <c r="N298">
        <v>2661</v>
      </c>
      <c r="O298">
        <v>16</v>
      </c>
      <c r="P298" s="6">
        <v>900</v>
      </c>
      <c r="Q298" t="s">
        <v>1161</v>
      </c>
      <c r="R298" t="s">
        <v>1164</v>
      </c>
      <c r="S298" s="2">
        <f>HYPERLINK("https://yandex.ru/maps/?&amp;text=55.878666, 38.43054", "55.878666, 38.43054")</f>
        <v>0</v>
      </c>
      <c r="T298" s="2">
        <f>HYPERLINK("D:\torgi_project\venv_torgi\cache\objs_in_district/55.878666_38.43054.json", "55.878666_38.43054.json")</f>
        <v>0</v>
      </c>
      <c r="U298" t="s">
        <v>1452</v>
      </c>
    </row>
    <row r="299" spans="1:22">
      <c r="A299" s="8">
        <v>297</v>
      </c>
      <c r="B299">
        <v>50</v>
      </c>
      <c r="C299" s="1">
        <v>20.1</v>
      </c>
      <c r="D299" s="2">
        <f>HYPERLINK("https://torgi.gov.ru/new/public/lots/lot/21000004710000002480_1/(lotInfo:info)", "21000004710000002480_1")</f>
        <v>0</v>
      </c>
      <c r="E299" t="s">
        <v>317</v>
      </c>
      <c r="F299" s="3" t="s">
        <v>636</v>
      </c>
      <c r="G299" t="s">
        <v>986</v>
      </c>
      <c r="H299" s="4">
        <v>2668380</v>
      </c>
      <c r="I299" s="4">
        <v>132755.223880597</v>
      </c>
      <c r="J299" s="5">
        <v>54.41</v>
      </c>
      <c r="K299" s="5">
        <v>15.25</v>
      </c>
      <c r="L299" s="4">
        <v>829.72</v>
      </c>
      <c r="M299">
        <v>2440</v>
      </c>
      <c r="N299">
        <v>8704</v>
      </c>
      <c r="O299">
        <v>160</v>
      </c>
      <c r="P299" s="6">
        <v>400</v>
      </c>
      <c r="Q299" t="s">
        <v>1162</v>
      </c>
      <c r="R299" t="s">
        <v>1164</v>
      </c>
      <c r="S299" s="2">
        <f>HYPERLINK("https://yandex.ru/maps/?&amp;text=55.93974, 37.51289", "55.93974, 37.51289")</f>
        <v>0</v>
      </c>
      <c r="T299" s="2">
        <f>HYPERLINK("D:\torgi_project\venv_torgi\cache\objs_in_district/55.93974_37.51289.json", "55.93974_37.51289.json")</f>
        <v>0</v>
      </c>
      <c r="U299" t="s">
        <v>1453</v>
      </c>
    </row>
    <row r="300" spans="1:22">
      <c r="A300" s="8">
        <v>298</v>
      </c>
      <c r="B300">
        <v>51</v>
      </c>
      <c r="C300" s="1">
        <v>180.1</v>
      </c>
      <c r="D300" s="2">
        <f>HYPERLINK("https://torgi.gov.ru/new/public/lots/lot/21000027500000000002_1/(lotInfo:info)", "21000027500000000002_1")</f>
        <v>0</v>
      </c>
      <c r="E300" t="s">
        <v>318</v>
      </c>
      <c r="F300" s="3" t="s">
        <v>577</v>
      </c>
      <c r="G300" t="s">
        <v>987</v>
      </c>
      <c r="H300" s="4">
        <v>787000</v>
      </c>
      <c r="I300" s="4">
        <v>4369.794558578567</v>
      </c>
      <c r="J300" s="5">
        <v>5.39</v>
      </c>
      <c r="K300" s="5">
        <v>2.49</v>
      </c>
      <c r="L300" s="4">
        <v>189.96</v>
      </c>
      <c r="M300">
        <v>811</v>
      </c>
      <c r="N300">
        <v>1752</v>
      </c>
      <c r="O300">
        <v>23</v>
      </c>
      <c r="P300" s="6">
        <v>700</v>
      </c>
      <c r="Q300" t="s">
        <v>1162</v>
      </c>
      <c r="R300" t="s">
        <v>1164</v>
      </c>
      <c r="S300" s="2">
        <f>HYPERLINK("https://yandex.ru/maps/?&amp;text=69.410772, 30.215993", "69.410772, 30.215993")</f>
        <v>0</v>
      </c>
      <c r="T300" s="2">
        <f>HYPERLINK("D:\torgi_project\venv_torgi\cache\objs_in_district/69.410772_30.215993.json", "69.410772_30.215993.json")</f>
        <v>0</v>
      </c>
      <c r="U300" t="s">
        <v>1454</v>
      </c>
      <c r="V300" s="7" t="s">
        <v>1628</v>
      </c>
    </row>
    <row r="301" spans="1:22">
      <c r="A301" s="8">
        <v>299</v>
      </c>
      <c r="B301">
        <v>51</v>
      </c>
      <c r="C301" s="1">
        <v>569.8</v>
      </c>
      <c r="D301" s="2">
        <f>HYPERLINK("https://torgi.gov.ru/new/public/lots/lot/22000011690000000041_3/(lotInfo:info)", "22000011690000000041_3")</f>
        <v>0</v>
      </c>
      <c r="E301" t="s">
        <v>319</v>
      </c>
      <c r="F301" s="3" t="s">
        <v>545</v>
      </c>
      <c r="G301" t="s">
        <v>988</v>
      </c>
      <c r="H301" s="4">
        <v>2611000</v>
      </c>
      <c r="I301" s="4">
        <v>4582.309582309583</v>
      </c>
      <c r="J301" s="5">
        <v>19.09</v>
      </c>
      <c r="K301" s="5">
        <v>84.84999999999999</v>
      </c>
      <c r="L301" s="4">
        <v>1145.5</v>
      </c>
      <c r="M301">
        <v>240</v>
      </c>
      <c r="N301">
        <v>54</v>
      </c>
      <c r="O301">
        <v>4</v>
      </c>
      <c r="P301" s="6">
        <v>1600</v>
      </c>
      <c r="Q301" t="s">
        <v>1161</v>
      </c>
      <c r="R301" t="s">
        <v>1164</v>
      </c>
      <c r="S301" s="2">
        <f>HYPERLINK("https://yandex.ru/maps/?&amp;text=67.576329, 33.438349", "67.576329, 33.438349")</f>
        <v>0</v>
      </c>
      <c r="T301" s="2">
        <f>HYPERLINK("D:\torgi_project\venv_torgi\cache\objs_in_district/67.576329_33.438349.json", "67.576329_33.438349.json")</f>
        <v>0</v>
      </c>
      <c r="U301" t="s">
        <v>1455</v>
      </c>
      <c r="V301" s="7" t="s">
        <v>1628</v>
      </c>
    </row>
    <row r="302" spans="1:22">
      <c r="A302" s="8">
        <v>300</v>
      </c>
      <c r="B302">
        <v>51</v>
      </c>
      <c r="C302" s="1">
        <v>570</v>
      </c>
      <c r="D302" s="2">
        <f>HYPERLINK("https://torgi.gov.ru/new/public/lots/lot/22000011690000000041_2/(lotInfo:info)", "22000011690000000041_2")</f>
        <v>0</v>
      </c>
      <c r="E302" t="s">
        <v>320</v>
      </c>
      <c r="F302" s="3" t="s">
        <v>545</v>
      </c>
      <c r="G302" t="s">
        <v>988</v>
      </c>
      <c r="H302" s="4">
        <v>2612000</v>
      </c>
      <c r="I302" s="4">
        <v>4582.456140350877</v>
      </c>
      <c r="J302" s="5">
        <v>19.09</v>
      </c>
      <c r="K302" s="5">
        <v>84.84999999999999</v>
      </c>
      <c r="L302" s="4">
        <v>1145.5</v>
      </c>
      <c r="M302">
        <v>240</v>
      </c>
      <c r="N302">
        <v>54</v>
      </c>
      <c r="O302">
        <v>4</v>
      </c>
      <c r="P302" s="6">
        <v>1600</v>
      </c>
      <c r="Q302" t="s">
        <v>1161</v>
      </c>
      <c r="R302" t="s">
        <v>1164</v>
      </c>
      <c r="S302" s="2">
        <f>HYPERLINK("https://yandex.ru/maps/?&amp;text=67.576329, 33.438349", "67.576329, 33.438349")</f>
        <v>0</v>
      </c>
      <c r="T302" s="2">
        <f>HYPERLINK("D:\torgi_project\venv_torgi\cache\objs_in_district/67.576329_33.438349.json", "67.576329_33.438349.json")</f>
        <v>0</v>
      </c>
      <c r="U302" t="s">
        <v>1456</v>
      </c>
      <c r="V302" s="7" t="s">
        <v>1628</v>
      </c>
    </row>
    <row r="303" spans="1:22">
      <c r="A303" s="8">
        <v>301</v>
      </c>
      <c r="B303">
        <v>51</v>
      </c>
      <c r="C303" s="1">
        <v>569.7</v>
      </c>
      <c r="D303" s="2">
        <f>HYPERLINK("https://torgi.gov.ru/new/public/lots/lot/22000011690000000041_1/(lotInfo:info)", "22000011690000000041_1")</f>
        <v>0</v>
      </c>
      <c r="E303" t="s">
        <v>321</v>
      </c>
      <c r="F303" s="3" t="s">
        <v>545</v>
      </c>
      <c r="G303" t="s">
        <v>988</v>
      </c>
      <c r="H303" s="4">
        <v>2611000</v>
      </c>
      <c r="I303" s="4">
        <v>4583.113919606811</v>
      </c>
      <c r="J303" s="5">
        <v>19.1</v>
      </c>
      <c r="K303" s="5">
        <v>84.87</v>
      </c>
      <c r="L303" s="4">
        <v>1145.75</v>
      </c>
      <c r="M303">
        <v>240</v>
      </c>
      <c r="N303">
        <v>54</v>
      </c>
      <c r="O303">
        <v>4</v>
      </c>
      <c r="P303" s="6">
        <v>1600</v>
      </c>
      <c r="Q303" t="s">
        <v>1161</v>
      </c>
      <c r="R303" t="s">
        <v>1164</v>
      </c>
      <c r="S303" s="2">
        <f>HYPERLINK("https://yandex.ru/maps/?&amp;text=67.576329, 33.438349", "67.576329, 33.438349")</f>
        <v>0</v>
      </c>
      <c r="T303" s="2">
        <f>HYPERLINK("D:\torgi_project\venv_torgi\cache\objs_in_district/67.576329_33.438349.json", "67.576329_33.438349.json")</f>
        <v>0</v>
      </c>
      <c r="U303" t="s">
        <v>1457</v>
      </c>
      <c r="V303" s="7" t="s">
        <v>1628</v>
      </c>
    </row>
    <row r="304" spans="1:22">
      <c r="A304" s="8">
        <v>302</v>
      </c>
      <c r="B304">
        <v>51</v>
      </c>
      <c r="C304" s="1">
        <v>292.4</v>
      </c>
      <c r="D304" s="2">
        <f>HYPERLINK("https://torgi.gov.ru/new/public/lots/lot/22000077810000000003_4/(lotInfo:info)", "22000077810000000003_4")</f>
        <v>0</v>
      </c>
      <c r="E304" t="s">
        <v>322</v>
      </c>
      <c r="F304" s="3" t="s">
        <v>641</v>
      </c>
      <c r="G304" t="s">
        <v>989</v>
      </c>
      <c r="H304" s="4">
        <v>2026000</v>
      </c>
      <c r="I304" s="4">
        <v>6928.864569083448</v>
      </c>
      <c r="J304" s="5">
        <v>2.27</v>
      </c>
      <c r="K304" s="5">
        <v>6.4</v>
      </c>
      <c r="L304" s="4">
        <v>577.33</v>
      </c>
      <c r="M304">
        <v>3053</v>
      </c>
      <c r="N304">
        <v>1083</v>
      </c>
      <c r="O304">
        <v>12</v>
      </c>
      <c r="P304" s="6">
        <v>1100</v>
      </c>
      <c r="Q304" t="s">
        <v>1161</v>
      </c>
      <c r="R304" t="s">
        <v>1165</v>
      </c>
      <c r="S304" s="2">
        <f>HYPERLINK("https://yandex.ru/maps/?&amp;text=68.98518, 33.078297", "68.98518, 33.078297")</f>
        <v>0</v>
      </c>
      <c r="T304" s="2">
        <f>HYPERLINK("D:\torgi_project\venv_torgi\cache\objs_in_district/68.98518_33.078297.json", "68.98518_33.078297.json")</f>
        <v>0</v>
      </c>
      <c r="U304" t="s">
        <v>1458</v>
      </c>
      <c r="V304" s="7" t="s">
        <v>1629</v>
      </c>
    </row>
    <row r="305" spans="1:22">
      <c r="A305" s="8">
        <v>303</v>
      </c>
      <c r="B305">
        <v>51</v>
      </c>
      <c r="C305" s="1">
        <v>339.4</v>
      </c>
      <c r="D305" s="2">
        <f>HYPERLINK("https://torgi.gov.ru/new/public/lots/lot/22000077810000000007_6/(lotInfo:info)", "22000077810000000007_6")</f>
        <v>0</v>
      </c>
      <c r="E305" t="s">
        <v>323</v>
      </c>
      <c r="F305" s="3" t="s">
        <v>642</v>
      </c>
      <c r="G305" t="s">
        <v>990</v>
      </c>
      <c r="H305" s="4">
        <v>2439100</v>
      </c>
      <c r="I305" s="4">
        <v>7186.50559811432</v>
      </c>
      <c r="J305" s="5">
        <v>19.8</v>
      </c>
      <c r="K305" s="5">
        <v>1.89</v>
      </c>
      <c r="L305" s="4">
        <v>211.35</v>
      </c>
      <c r="M305">
        <v>363</v>
      </c>
      <c r="N305">
        <v>3795</v>
      </c>
      <c r="O305">
        <v>34</v>
      </c>
      <c r="P305" s="6">
        <v>200</v>
      </c>
      <c r="Q305" t="s">
        <v>1161</v>
      </c>
      <c r="R305" t="s">
        <v>1165</v>
      </c>
      <c r="S305" s="2">
        <f>HYPERLINK("https://yandex.ru/maps/?&amp;text=67.56306, 33.427612", "67.56306, 33.427612")</f>
        <v>0</v>
      </c>
      <c r="T305" s="2">
        <f>HYPERLINK("D:\torgi_project\venv_torgi\cache\objs_in_district/67.56306_33.427612.json", "67.56306_33.427612.json")</f>
        <v>0</v>
      </c>
      <c r="U305" t="s">
        <v>1459</v>
      </c>
    </row>
    <row r="306" spans="1:22">
      <c r="A306" s="8">
        <v>304</v>
      </c>
      <c r="B306">
        <v>51</v>
      </c>
      <c r="C306" s="1">
        <v>211.9</v>
      </c>
      <c r="D306" s="2">
        <f>HYPERLINK("https://torgi.gov.ru/new/public/lots/lot/21000007760000000017_2/(lotInfo:info)", "21000007760000000017_2")</f>
        <v>0</v>
      </c>
      <c r="E306" t="s">
        <v>324</v>
      </c>
      <c r="F306" s="3" t="s">
        <v>643</v>
      </c>
      <c r="G306" t="s">
        <v>991</v>
      </c>
      <c r="H306" s="4">
        <v>2441000</v>
      </c>
      <c r="I306" s="4">
        <v>11519.58470976876</v>
      </c>
      <c r="J306" s="5">
        <v>5.37</v>
      </c>
      <c r="K306" s="5">
        <v>1.76</v>
      </c>
      <c r="L306" s="4">
        <v>1439.88</v>
      </c>
      <c r="M306">
        <v>2147</v>
      </c>
      <c r="N306">
        <v>6540</v>
      </c>
      <c r="O306">
        <v>8</v>
      </c>
      <c r="P306" s="6">
        <v>400</v>
      </c>
      <c r="Q306" t="s">
        <v>1161</v>
      </c>
      <c r="R306" t="s">
        <v>1164</v>
      </c>
      <c r="S306" s="2">
        <f>HYPERLINK("https://yandex.ru/maps/?&amp;text=68.93317, 33.119663", "68.93317, 33.119663")</f>
        <v>0</v>
      </c>
      <c r="T306" s="2">
        <f>HYPERLINK("D:\torgi_project\venv_torgi\cache\objs_in_district/68.93317_33.119663.json", "68.93317_33.119663.json")</f>
        <v>0</v>
      </c>
      <c r="U306" t="s">
        <v>1460</v>
      </c>
    </row>
    <row r="307" spans="1:22">
      <c r="A307" s="8">
        <v>305</v>
      </c>
      <c r="B307">
        <v>51</v>
      </c>
      <c r="C307" s="1">
        <v>173.7</v>
      </c>
      <c r="D307" s="2">
        <f>HYPERLINK("https://torgi.gov.ru/new/public/lots/lot/21000007760000000016_3/(lotInfo:info)", "21000007760000000016_3")</f>
        <v>0</v>
      </c>
      <c r="E307" t="s">
        <v>325</v>
      </c>
      <c r="F307" s="3" t="s">
        <v>644</v>
      </c>
      <c r="G307" t="s">
        <v>992</v>
      </c>
      <c r="H307" s="4">
        <v>2133000</v>
      </c>
      <c r="I307" s="4">
        <v>12279.79274611399</v>
      </c>
      <c r="J307" s="5">
        <v>2.58</v>
      </c>
      <c r="K307" s="5">
        <v>1.89</v>
      </c>
      <c r="L307" s="4">
        <v>1023.25</v>
      </c>
      <c r="M307">
        <v>4762</v>
      </c>
      <c r="N307">
        <v>6492</v>
      </c>
      <c r="O307">
        <v>12</v>
      </c>
      <c r="P307" s="6">
        <v>1300</v>
      </c>
      <c r="Q307" t="s">
        <v>1161</v>
      </c>
      <c r="R307" t="s">
        <v>1164</v>
      </c>
      <c r="S307" s="2">
        <f>HYPERLINK("https://yandex.ru/maps/?&amp;text=68.886856, 33.08595", "68.886856, 33.08595")</f>
        <v>0</v>
      </c>
      <c r="T307" s="2">
        <f>HYPERLINK("D:\torgi_project\venv_torgi\cache\objs_in_district/68.886856_33.08595.json", "68.886856_33.08595.json")</f>
        <v>0</v>
      </c>
      <c r="U307" t="s">
        <v>1461</v>
      </c>
    </row>
    <row r="308" spans="1:22">
      <c r="A308" s="8">
        <v>306</v>
      </c>
      <c r="B308">
        <v>51</v>
      </c>
      <c r="C308" s="1">
        <v>387.6</v>
      </c>
      <c r="D308" s="2">
        <f>HYPERLINK("https://torgi.gov.ru/new/public/lots/lot/22000077810000000003_1/(lotInfo:info)", "22000077810000000003_1")</f>
        <v>0</v>
      </c>
      <c r="E308" t="s">
        <v>326</v>
      </c>
      <c r="F308" s="3" t="s">
        <v>641</v>
      </c>
      <c r="G308" t="s">
        <v>993</v>
      </c>
      <c r="H308" s="4">
        <v>6573000</v>
      </c>
      <c r="I308" s="4">
        <v>16958.20433436532</v>
      </c>
      <c r="J308" s="5">
        <v>12.71</v>
      </c>
      <c r="K308" s="5">
        <v>2.73</v>
      </c>
      <c r="L308" s="4">
        <v>565.27</v>
      </c>
      <c r="M308">
        <v>1334</v>
      </c>
      <c r="N308">
        <v>6201</v>
      </c>
      <c r="O308">
        <v>30</v>
      </c>
      <c r="P308" s="6">
        <v>1100</v>
      </c>
      <c r="Q308" t="s">
        <v>1161</v>
      </c>
      <c r="R308" t="s">
        <v>1165</v>
      </c>
      <c r="S308" s="2">
        <f>HYPERLINK("https://yandex.ru/maps/?&amp;text=67.368951, 32.49139", "67.368951, 32.49139")</f>
        <v>0</v>
      </c>
      <c r="T308" s="2">
        <f>HYPERLINK("D:\torgi_project\venv_torgi\cache\objs_in_district/67.368951_32.49139.json", "67.368951_32.49139.json")</f>
        <v>0</v>
      </c>
      <c r="U308" t="s">
        <v>1462</v>
      </c>
    </row>
    <row r="309" spans="1:22">
      <c r="A309" s="8">
        <v>307</v>
      </c>
      <c r="B309">
        <v>51</v>
      </c>
      <c r="C309" s="1">
        <v>33.1</v>
      </c>
      <c r="D309" s="2">
        <f>HYPERLINK("https://torgi.gov.ru/new/public/lots/lot/22000077810000000007_2/(lotInfo:info)", "22000077810000000007_2")</f>
        <v>0</v>
      </c>
      <c r="E309" t="s">
        <v>327</v>
      </c>
      <c r="F309" s="3" t="s">
        <v>642</v>
      </c>
      <c r="G309" t="s">
        <v>994</v>
      </c>
      <c r="H309" s="4">
        <v>733000</v>
      </c>
      <c r="I309" s="4">
        <v>22145.01510574018</v>
      </c>
      <c r="J309" s="5">
        <v>3.92</v>
      </c>
      <c r="K309" s="5">
        <v>3.68</v>
      </c>
      <c r="L309" s="4">
        <v>194.25</v>
      </c>
      <c r="M309">
        <v>5651</v>
      </c>
      <c r="N309">
        <v>6021</v>
      </c>
      <c r="O309">
        <v>114</v>
      </c>
      <c r="P309" s="6">
        <v>900</v>
      </c>
      <c r="Q309" t="s">
        <v>1161</v>
      </c>
      <c r="R309" t="s">
        <v>1165</v>
      </c>
      <c r="S309" s="2">
        <f>HYPERLINK("https://yandex.ru/maps/?&amp;text=68.9654, 33.071657", "68.9654, 33.071657")</f>
        <v>0</v>
      </c>
      <c r="T309" s="2">
        <f>HYPERLINK("D:\torgi_project\venv_torgi\cache\objs_in_district/68.9654_33.071657.json", "68.9654_33.071657.json")</f>
        <v>0</v>
      </c>
      <c r="U309" t="s">
        <v>1463</v>
      </c>
    </row>
    <row r="310" spans="1:22">
      <c r="A310" s="8">
        <v>308</v>
      </c>
      <c r="B310">
        <v>51</v>
      </c>
      <c r="C310" s="1">
        <v>79.59999999999999</v>
      </c>
      <c r="D310" s="2">
        <f>HYPERLINK("https://torgi.gov.ru/new/public/lots/lot/21000032630000000004_1/(lotInfo:info)", "21000032630000000004_1")</f>
        <v>0</v>
      </c>
      <c r="E310" t="s">
        <v>328</v>
      </c>
      <c r="F310" s="3" t="s">
        <v>642</v>
      </c>
      <c r="G310" t="s">
        <v>995</v>
      </c>
      <c r="H310" s="4">
        <v>1777800</v>
      </c>
      <c r="I310" s="4">
        <v>22334.17085427136</v>
      </c>
      <c r="J310" s="5">
        <v>81.51000000000001</v>
      </c>
      <c r="K310" s="5">
        <v>104.85</v>
      </c>
      <c r="L310" s="4">
        <v>676.79</v>
      </c>
      <c r="M310">
        <v>274</v>
      </c>
      <c r="N310">
        <v>213</v>
      </c>
      <c r="O310">
        <v>33</v>
      </c>
      <c r="P310" s="6">
        <v>700</v>
      </c>
      <c r="Q310" t="s">
        <v>1162</v>
      </c>
      <c r="R310" t="s">
        <v>1164</v>
      </c>
      <c r="S310" s="2">
        <f>HYPERLINK("https://yandex.ru/maps/?&amp;text=67.56472, 30.486898", "67.56472, 30.486898")</f>
        <v>0</v>
      </c>
      <c r="T310" s="2">
        <f>HYPERLINK("D:\torgi_project\venv_torgi\cache\objs_in_district/67.56472_30.486898.json", "67.56472_30.486898.json")</f>
        <v>0</v>
      </c>
      <c r="U310" t="s">
        <v>1464</v>
      </c>
      <c r="V310" s="7" t="s">
        <v>1628</v>
      </c>
    </row>
    <row r="311" spans="1:22">
      <c r="A311" s="8">
        <v>309</v>
      </c>
      <c r="B311">
        <v>51</v>
      </c>
      <c r="C311" s="1">
        <v>120</v>
      </c>
      <c r="D311" s="2">
        <f>HYPERLINK("https://torgi.gov.ru/new/public/lots/lot/22000077810000000006_5/(lotInfo:info)", "22000077810000000006_5")</f>
        <v>0</v>
      </c>
      <c r="E311" t="s">
        <v>329</v>
      </c>
      <c r="F311" s="3" t="s">
        <v>645</v>
      </c>
      <c r="G311" t="s">
        <v>996</v>
      </c>
      <c r="H311" s="4">
        <v>3189000</v>
      </c>
      <c r="I311" s="4">
        <v>26575</v>
      </c>
      <c r="J311" s="5">
        <v>26.34</v>
      </c>
      <c r="K311" s="5">
        <v>98.43000000000001</v>
      </c>
      <c r="L311" s="4">
        <v>984.26</v>
      </c>
      <c r="M311">
        <v>1009</v>
      </c>
      <c r="N311">
        <v>270</v>
      </c>
      <c r="O311">
        <v>27</v>
      </c>
      <c r="P311" s="6">
        <v>700</v>
      </c>
      <c r="Q311" t="s">
        <v>1161</v>
      </c>
      <c r="R311" t="s">
        <v>1165</v>
      </c>
      <c r="S311" s="2">
        <f>HYPERLINK("https://yandex.ru/maps/?&amp;text=69.248836, 33.314804", "69.248836, 33.314804")</f>
        <v>0</v>
      </c>
      <c r="T311" s="2">
        <f>HYPERLINK("D:\torgi_project\venv_torgi\cache\objs_in_district/69.248836_33.314804.json", "69.248836_33.314804.json")</f>
        <v>0</v>
      </c>
      <c r="U311" t="s">
        <v>1465</v>
      </c>
      <c r="V311" s="7" t="s">
        <v>1628</v>
      </c>
    </row>
    <row r="312" spans="1:22">
      <c r="A312" s="8">
        <v>310</v>
      </c>
      <c r="B312">
        <v>52</v>
      </c>
      <c r="C312" s="1">
        <v>286.3</v>
      </c>
      <c r="D312" s="2">
        <f>HYPERLINK("https://torgi.gov.ru/new/public/lots/lot/21000008350000000003_2/(lotInfo:info)", "21000008350000000003_2")</f>
        <v>0</v>
      </c>
      <c r="E312" t="s">
        <v>330</v>
      </c>
      <c r="F312" s="3" t="s">
        <v>646</v>
      </c>
      <c r="G312" t="s">
        <v>997</v>
      </c>
      <c r="H312" s="4">
        <v>1463000</v>
      </c>
      <c r="I312" s="4">
        <v>5110.02444987775</v>
      </c>
      <c r="J312" s="5">
        <v>3.46</v>
      </c>
      <c r="K312" s="5">
        <v>1.38</v>
      </c>
      <c r="L312" s="4">
        <v>96.42</v>
      </c>
      <c r="M312">
        <v>1477</v>
      </c>
      <c r="N312">
        <v>3693</v>
      </c>
      <c r="O312">
        <v>53</v>
      </c>
      <c r="P312" s="6">
        <v>100</v>
      </c>
      <c r="Q312" t="s">
        <v>1161</v>
      </c>
      <c r="R312" t="s">
        <v>1164</v>
      </c>
      <c r="S312" s="2">
        <f>HYPERLINK("https://yandex.ru/maps/?&amp;text=57.675003, 46.61227", "57.675003, 46.61227")</f>
        <v>0</v>
      </c>
      <c r="T312" s="2">
        <f>HYPERLINK("D:\torgi_project\venv_torgi\cache\objs_in_district/57.675003_46.61227.json", "57.675003_46.61227.json")</f>
        <v>0</v>
      </c>
      <c r="U312" t="s">
        <v>1466</v>
      </c>
    </row>
    <row r="313" spans="1:22">
      <c r="A313" s="8">
        <v>311</v>
      </c>
      <c r="B313">
        <v>52</v>
      </c>
      <c r="C313" s="1">
        <v>61.6</v>
      </c>
      <c r="D313" s="2">
        <f>HYPERLINK("https://torgi.gov.ru/new/public/lots/lot/22000025870000000003_1/(lotInfo:info)", "22000025870000000003_1")</f>
        <v>0</v>
      </c>
      <c r="E313" t="s">
        <v>331</v>
      </c>
      <c r="F313" s="3" t="s">
        <v>647</v>
      </c>
      <c r="G313" t="s">
        <v>998</v>
      </c>
      <c r="H313" s="4">
        <v>512500</v>
      </c>
      <c r="I313" s="4">
        <v>8319.805194805194</v>
      </c>
      <c r="J313" s="5">
        <v>12.96</v>
      </c>
      <c r="K313" s="5">
        <v>6.3</v>
      </c>
      <c r="L313" s="4">
        <v>831.9</v>
      </c>
      <c r="M313">
        <v>642</v>
      </c>
      <c r="N313">
        <v>1320</v>
      </c>
      <c r="O313">
        <v>10</v>
      </c>
      <c r="P313" s="6">
        <v>400</v>
      </c>
      <c r="Q313" t="s">
        <v>1161</v>
      </c>
      <c r="R313" t="s">
        <v>1164</v>
      </c>
      <c r="S313" s="2">
        <f>HYPERLINK("https://yandex.ru/maps/?&amp;text=56.789969, 44.487986", "56.789969, 44.487986")</f>
        <v>0</v>
      </c>
      <c r="T313" s="2">
        <f>HYPERLINK("D:\torgi_project\venv_torgi\cache\objs_in_district/56.789969_44.487986.json", "56.789969_44.487986.json")</f>
        <v>0</v>
      </c>
      <c r="U313" t="s">
        <v>1467</v>
      </c>
    </row>
    <row r="314" spans="1:22">
      <c r="A314" s="8">
        <v>312</v>
      </c>
      <c r="B314">
        <v>52</v>
      </c>
      <c r="C314" s="1">
        <v>407.5</v>
      </c>
      <c r="D314" s="2">
        <f>HYPERLINK("https://torgi.gov.ru/new/public/lots/lot/21000011320000000094_5/(lotInfo:info)", "21000011320000000094_5")</f>
        <v>0</v>
      </c>
      <c r="E314" t="s">
        <v>332</v>
      </c>
      <c r="F314" s="3" t="s">
        <v>648</v>
      </c>
      <c r="G314" t="s">
        <v>999</v>
      </c>
      <c r="H314" s="4">
        <v>5716947</v>
      </c>
      <c r="I314" s="4">
        <v>14029.31779141104</v>
      </c>
      <c r="J314" s="5">
        <v>3.39</v>
      </c>
      <c r="K314" s="5">
        <v>4.38</v>
      </c>
      <c r="L314" s="4">
        <v>701.45</v>
      </c>
      <c r="M314">
        <v>4137</v>
      </c>
      <c r="N314">
        <v>3202</v>
      </c>
      <c r="O314">
        <v>20</v>
      </c>
      <c r="P314" s="6">
        <v>100</v>
      </c>
      <c r="Q314" t="s">
        <v>1161</v>
      </c>
      <c r="R314" t="s">
        <v>1164</v>
      </c>
      <c r="S314" s="2">
        <f>HYPERLINK("https://yandex.ru/maps/?&amp;text=56.229967, 43.883582", "56.229967, 43.883582")</f>
        <v>0</v>
      </c>
      <c r="T314" s="2">
        <f>HYPERLINK("D:\torgi_project\venv_torgi\cache\objs_in_district/56.229967_43.883582.json", "56.229967_43.883582.json")</f>
        <v>0</v>
      </c>
      <c r="U314" t="s">
        <v>1468</v>
      </c>
      <c r="V314" s="7" t="s">
        <v>1630</v>
      </c>
    </row>
    <row r="315" spans="1:22">
      <c r="A315" s="8">
        <v>313</v>
      </c>
      <c r="B315">
        <v>52</v>
      </c>
      <c r="C315" s="1">
        <v>40.7</v>
      </c>
      <c r="D315" s="2">
        <f>HYPERLINK("https://torgi.gov.ru/new/public/lots/lot/21000011320000000094_3/(lotInfo:info)", "21000011320000000094_3")</f>
        <v>0</v>
      </c>
      <c r="E315" t="s">
        <v>333</v>
      </c>
      <c r="F315" s="3" t="s">
        <v>648</v>
      </c>
      <c r="G315" t="s">
        <v>1000</v>
      </c>
      <c r="H315" s="4">
        <v>1042734</v>
      </c>
      <c r="I315" s="4">
        <v>25620</v>
      </c>
      <c r="J315" s="5">
        <v>4.7</v>
      </c>
      <c r="K315" s="5">
        <v>61.44</v>
      </c>
      <c r="L315" s="4">
        <v>12810</v>
      </c>
      <c r="M315">
        <v>5455</v>
      </c>
      <c r="N315">
        <v>417</v>
      </c>
      <c r="O315">
        <v>2</v>
      </c>
      <c r="P315" s="6">
        <v>900</v>
      </c>
      <c r="Q315" t="s">
        <v>1161</v>
      </c>
      <c r="R315" t="s">
        <v>1164</v>
      </c>
      <c r="S315" s="2">
        <f>HYPERLINK("https://yandex.ru/maps/?&amp;text=56.353, 43.795322", "56.353, 43.795322")</f>
        <v>0</v>
      </c>
      <c r="T315" s="2">
        <f>HYPERLINK("D:\torgi_project\venv_torgi\cache\objs_in_district/56.353_43.795322.json", "56.353_43.795322.json")</f>
        <v>0</v>
      </c>
      <c r="U315" t="s">
        <v>1469</v>
      </c>
      <c r="V315" s="7" t="s">
        <v>1632</v>
      </c>
    </row>
    <row r="316" spans="1:22">
      <c r="A316" s="8">
        <v>314</v>
      </c>
      <c r="B316">
        <v>52</v>
      </c>
      <c r="C316" s="1">
        <v>37.2</v>
      </c>
      <c r="D316" s="2">
        <f>HYPERLINK("https://torgi.gov.ru/new/public/lots/lot/21000011320000000096_2/(lotInfo:info)", "21000011320000000096_2")</f>
        <v>0</v>
      </c>
      <c r="E316" t="s">
        <v>333</v>
      </c>
      <c r="F316" s="3" t="s">
        <v>649</v>
      </c>
      <c r="G316" t="s">
        <v>1001</v>
      </c>
      <c r="H316" s="4">
        <v>970548</v>
      </c>
      <c r="I316" s="4">
        <v>26090</v>
      </c>
      <c r="J316" s="5">
        <v>4.78</v>
      </c>
      <c r="K316" s="5">
        <v>62.56</v>
      </c>
      <c r="L316" s="4">
        <v>13044.5</v>
      </c>
      <c r="M316">
        <v>5455</v>
      </c>
      <c r="N316">
        <v>417</v>
      </c>
      <c r="O316">
        <v>2</v>
      </c>
      <c r="P316" s="6">
        <v>900</v>
      </c>
      <c r="Q316" t="s">
        <v>1161</v>
      </c>
      <c r="R316" t="s">
        <v>1164</v>
      </c>
      <c r="S316" s="2">
        <f>HYPERLINK("https://yandex.ru/maps/?&amp;text=56.353, 43.795322", "56.353, 43.795322")</f>
        <v>0</v>
      </c>
      <c r="T316" s="2">
        <f>HYPERLINK("D:\torgi_project\venv_torgi\cache\objs_in_district/56.353_43.795322.json", "56.353_43.795322.json")</f>
        <v>0</v>
      </c>
      <c r="U316" t="s">
        <v>1470</v>
      </c>
      <c r="V316" s="7" t="s">
        <v>1632</v>
      </c>
    </row>
    <row r="317" spans="1:22">
      <c r="A317" s="8">
        <v>315</v>
      </c>
      <c r="B317">
        <v>52</v>
      </c>
      <c r="C317" s="1">
        <v>45.1</v>
      </c>
      <c r="D317" s="2">
        <f>HYPERLINK("https://torgi.gov.ru/new/public/lots/lot/21000011320000000096_1/(lotInfo:info)", "21000011320000000096_1")</f>
        <v>0</v>
      </c>
      <c r="E317" t="s">
        <v>333</v>
      </c>
      <c r="F317" s="3" t="s">
        <v>649</v>
      </c>
      <c r="G317" t="s">
        <v>1002</v>
      </c>
      <c r="H317" s="4">
        <v>1176659</v>
      </c>
      <c r="I317" s="4">
        <v>26090</v>
      </c>
      <c r="J317" s="5">
        <v>4.78</v>
      </c>
      <c r="K317" s="5">
        <v>62.57</v>
      </c>
      <c r="L317" s="4">
        <v>13045</v>
      </c>
      <c r="M317">
        <v>5455</v>
      </c>
      <c r="N317">
        <v>417</v>
      </c>
      <c r="O317">
        <v>2</v>
      </c>
      <c r="P317" s="6">
        <v>900</v>
      </c>
      <c r="Q317" t="s">
        <v>1161</v>
      </c>
      <c r="R317" t="s">
        <v>1164</v>
      </c>
      <c r="S317" s="2">
        <f>HYPERLINK("https://yandex.ru/maps/?&amp;text=56.353, 43.795322", "56.353, 43.795322")</f>
        <v>0</v>
      </c>
      <c r="T317" s="2">
        <f>HYPERLINK("D:\torgi_project\venv_torgi\cache\objs_in_district/56.353_43.795322.json", "56.353_43.795322.json")</f>
        <v>0</v>
      </c>
      <c r="U317" t="s">
        <v>1471</v>
      </c>
      <c r="V317" s="7" t="s">
        <v>1632</v>
      </c>
    </row>
    <row r="318" spans="1:22">
      <c r="A318" s="8">
        <v>316</v>
      </c>
      <c r="B318">
        <v>52</v>
      </c>
      <c r="C318" s="1">
        <v>31.2</v>
      </c>
      <c r="D318" s="2">
        <f>HYPERLINK("https://torgi.gov.ru/new/public/lots/lot/21000011320000000094_4/(lotInfo:info)", "21000011320000000094_4")</f>
        <v>0</v>
      </c>
      <c r="E318" t="s">
        <v>333</v>
      </c>
      <c r="F318" s="3" t="s">
        <v>648</v>
      </c>
      <c r="G318" t="s">
        <v>1003</v>
      </c>
      <c r="H318" s="4">
        <v>825864</v>
      </c>
      <c r="I318" s="4">
        <v>26470</v>
      </c>
      <c r="J318" s="5">
        <v>4.85</v>
      </c>
      <c r="K318" s="5">
        <v>63.48</v>
      </c>
      <c r="L318" s="4">
        <v>13235</v>
      </c>
      <c r="M318">
        <v>5455</v>
      </c>
      <c r="N318">
        <v>417</v>
      </c>
      <c r="O318">
        <v>2</v>
      </c>
      <c r="P318" s="6">
        <v>900</v>
      </c>
      <c r="Q318" t="s">
        <v>1161</v>
      </c>
      <c r="R318" t="s">
        <v>1164</v>
      </c>
      <c r="S318" s="2">
        <f>HYPERLINK("https://yandex.ru/maps/?&amp;text=56.353, 43.795322", "56.353, 43.795322")</f>
        <v>0</v>
      </c>
      <c r="T318" s="2">
        <f>HYPERLINK("D:\torgi_project\venv_torgi\cache\objs_in_district/56.353_43.795322.json", "56.353_43.795322.json")</f>
        <v>0</v>
      </c>
      <c r="U318" t="s">
        <v>1472</v>
      </c>
      <c r="V318" s="7" t="s">
        <v>1632</v>
      </c>
    </row>
    <row r="319" spans="1:22">
      <c r="A319" s="8">
        <v>317</v>
      </c>
      <c r="B319">
        <v>52</v>
      </c>
      <c r="C319" s="1">
        <v>31.2</v>
      </c>
      <c r="D319" s="2">
        <f>HYPERLINK("https://torgi.gov.ru/new/public/lots/lot/21000011320000000096_3/(lotInfo:info)", "21000011320000000096_3")</f>
        <v>0</v>
      </c>
      <c r="E319" t="s">
        <v>333</v>
      </c>
      <c r="F319" s="3" t="s">
        <v>649</v>
      </c>
      <c r="G319" t="s">
        <v>1004</v>
      </c>
      <c r="H319" s="4">
        <v>860496</v>
      </c>
      <c r="I319" s="4">
        <v>27580</v>
      </c>
      <c r="J319" s="5">
        <v>5.06</v>
      </c>
      <c r="K319" s="5">
        <v>66.14</v>
      </c>
      <c r="L319" s="4">
        <v>13790</v>
      </c>
      <c r="M319">
        <v>5455</v>
      </c>
      <c r="N319">
        <v>417</v>
      </c>
      <c r="O319">
        <v>2</v>
      </c>
      <c r="P319" s="6">
        <v>900</v>
      </c>
      <c r="Q319" t="s">
        <v>1161</v>
      </c>
      <c r="R319" t="s">
        <v>1164</v>
      </c>
      <c r="S319" s="2">
        <f>HYPERLINK("https://yandex.ru/maps/?&amp;text=56.353, 43.795322", "56.353, 43.795322")</f>
        <v>0</v>
      </c>
      <c r="T319" s="2">
        <f>HYPERLINK("D:\torgi_project\venv_torgi\cache\objs_in_district/56.353_43.795322.json", "56.353_43.795322.json")</f>
        <v>0</v>
      </c>
      <c r="U319" t="s">
        <v>1473</v>
      </c>
      <c r="V319" s="7" t="s">
        <v>1632</v>
      </c>
    </row>
    <row r="320" spans="1:22">
      <c r="A320" s="8">
        <v>318</v>
      </c>
      <c r="B320">
        <v>52</v>
      </c>
      <c r="C320" s="1">
        <v>31.4</v>
      </c>
      <c r="D320" s="2">
        <f>HYPERLINK("https://torgi.gov.ru/new/public/lots/lot/21000011320000000094_2/(lotInfo:info)", "21000011320000000094_2")</f>
        <v>0</v>
      </c>
      <c r="E320" t="s">
        <v>333</v>
      </c>
      <c r="F320" s="3" t="s">
        <v>648</v>
      </c>
      <c r="G320" t="s">
        <v>1005</v>
      </c>
      <c r="H320" s="4">
        <v>869780</v>
      </c>
      <c r="I320" s="4">
        <v>27700</v>
      </c>
      <c r="J320" s="5">
        <v>5.08</v>
      </c>
      <c r="K320" s="5">
        <v>66.43000000000001</v>
      </c>
      <c r="L320" s="4">
        <v>13850</v>
      </c>
      <c r="M320">
        <v>5455</v>
      </c>
      <c r="N320">
        <v>417</v>
      </c>
      <c r="O320">
        <v>2</v>
      </c>
      <c r="P320" s="6">
        <v>900</v>
      </c>
      <c r="Q320" t="s">
        <v>1161</v>
      </c>
      <c r="R320" t="s">
        <v>1164</v>
      </c>
      <c r="S320" s="2">
        <f>HYPERLINK("https://yandex.ru/maps/?&amp;text=56.353, 43.795322", "56.353, 43.795322")</f>
        <v>0</v>
      </c>
      <c r="T320" s="2">
        <f>HYPERLINK("D:\torgi_project\venv_torgi\cache\objs_in_district/56.353_43.795322.json", "56.353_43.795322.json")</f>
        <v>0</v>
      </c>
      <c r="U320" t="s">
        <v>1474</v>
      </c>
      <c r="V320" s="7" t="s">
        <v>1632</v>
      </c>
    </row>
    <row r="321" spans="1:22">
      <c r="A321" s="8">
        <v>319</v>
      </c>
      <c r="B321">
        <v>52</v>
      </c>
      <c r="C321" s="1">
        <v>61.7</v>
      </c>
      <c r="D321" s="2">
        <f>HYPERLINK("https://torgi.gov.ru/new/public/lots/lot/22000106140000000001_2/(lotInfo:info)", "22000106140000000001_2")</f>
        <v>0</v>
      </c>
      <c r="E321" t="s">
        <v>334</v>
      </c>
      <c r="F321" s="3" t="s">
        <v>650</v>
      </c>
      <c r="G321" t="s">
        <v>1006</v>
      </c>
      <c r="H321" s="4">
        <v>1810000</v>
      </c>
      <c r="I321" s="4">
        <v>29335.4943273906</v>
      </c>
      <c r="J321" s="5">
        <v>17.8</v>
      </c>
      <c r="K321" s="5">
        <v>4.51</v>
      </c>
      <c r="L321" s="4">
        <v>325.94</v>
      </c>
      <c r="M321">
        <v>1648</v>
      </c>
      <c r="N321">
        <v>6507</v>
      </c>
      <c r="O321">
        <v>90</v>
      </c>
      <c r="P321" s="6">
        <v>100</v>
      </c>
      <c r="Q321" t="s">
        <v>1161</v>
      </c>
      <c r="R321" t="s">
        <v>1164</v>
      </c>
      <c r="S321" s="2">
        <f>HYPERLINK("https://yandex.ru/maps/?&amp;text=56.144695, 44.198467", "56.144695, 44.198467")</f>
        <v>0</v>
      </c>
      <c r="T321" s="2">
        <f>HYPERLINK("D:\torgi_project\venv_torgi\cache\objs_in_district/56.144695_44.198467.json", "56.144695_44.198467.json")</f>
        <v>0</v>
      </c>
      <c r="U321" t="s">
        <v>1475</v>
      </c>
      <c r="V321" s="7" t="s">
        <v>1629</v>
      </c>
    </row>
    <row r="322" spans="1:22">
      <c r="A322" s="8">
        <v>320</v>
      </c>
      <c r="B322">
        <v>52</v>
      </c>
      <c r="C322" s="1">
        <v>73.90000000000001</v>
      </c>
      <c r="D322" s="2">
        <f>HYPERLINK("https://torgi.gov.ru/new/public/lots/lot/21000032000000000031_15/(lotInfo:info)", "21000032000000000031_15")</f>
        <v>0</v>
      </c>
      <c r="E322" t="s">
        <v>335</v>
      </c>
      <c r="F322" s="3" t="s">
        <v>597</v>
      </c>
      <c r="G322" t="s">
        <v>1007</v>
      </c>
      <c r="H322" s="4">
        <v>4170950</v>
      </c>
      <c r="I322" s="4">
        <v>56440.46008119079</v>
      </c>
      <c r="J322" s="5">
        <v>12.33</v>
      </c>
      <c r="K322" s="5">
        <v>8.279999999999999</v>
      </c>
      <c r="L322" s="4">
        <v>2090.37</v>
      </c>
      <c r="M322">
        <v>4578</v>
      </c>
      <c r="N322">
        <v>6816</v>
      </c>
      <c r="O322">
        <v>27</v>
      </c>
      <c r="Q322" t="s">
        <v>1161</v>
      </c>
      <c r="R322" t="s">
        <v>1165</v>
      </c>
      <c r="S322" s="2">
        <f>HYPERLINK("https://yandex.ru/maps/?&amp;text=56.348686, 43.860874", "56.348686, 43.860874")</f>
        <v>0</v>
      </c>
      <c r="T322" s="2">
        <f>HYPERLINK("D:\torgi_project\venv_torgi\cache\objs_in_district/56.348686_43.860874.json", "56.348686_43.860874.json")</f>
        <v>0</v>
      </c>
      <c r="U322" t="s">
        <v>1476</v>
      </c>
      <c r="V322" s="7" t="s">
        <v>1628</v>
      </c>
    </row>
    <row r="323" spans="1:22">
      <c r="A323" s="8">
        <v>321</v>
      </c>
      <c r="B323">
        <v>53</v>
      </c>
      <c r="C323" s="1">
        <v>30</v>
      </c>
      <c r="D323" s="2">
        <f>HYPERLINK("https://torgi.gov.ru/new/public/lots/lot/21000018590000000005_1/(lotInfo:info)", "21000018590000000005_1")</f>
        <v>0</v>
      </c>
      <c r="E323" t="s">
        <v>336</v>
      </c>
      <c r="F323" s="3" t="s">
        <v>526</v>
      </c>
      <c r="G323" t="s">
        <v>1008</v>
      </c>
      <c r="H323" s="4">
        <v>880000</v>
      </c>
      <c r="I323" s="4">
        <v>29333.33333333333</v>
      </c>
      <c r="J323" s="5">
        <v>151.2</v>
      </c>
      <c r="K323" s="5">
        <v>305.55</v>
      </c>
      <c r="L323" s="4">
        <v>2256.38</v>
      </c>
      <c r="M323">
        <v>194</v>
      </c>
      <c r="N323">
        <v>96</v>
      </c>
      <c r="O323">
        <v>13</v>
      </c>
      <c r="Q323" t="s">
        <v>1161</v>
      </c>
      <c r="R323" t="s">
        <v>1164</v>
      </c>
      <c r="S323" s="2">
        <f>HYPERLINK("https://yandex.ru/maps/?&amp;text=58.577824, 31.227398", "58.577824, 31.227398")</f>
        <v>0</v>
      </c>
      <c r="T323" s="2">
        <f>HYPERLINK("D:\torgi_project\venv_torgi\cache\objs_in_district/58.577824_31.227398.json", "58.577824_31.227398.json")</f>
        <v>0</v>
      </c>
      <c r="U323" t="s">
        <v>1477</v>
      </c>
      <c r="V323" s="7" t="s">
        <v>1628</v>
      </c>
    </row>
    <row r="324" spans="1:22">
      <c r="A324" s="8">
        <v>322</v>
      </c>
      <c r="B324">
        <v>53</v>
      </c>
      <c r="C324" s="1">
        <v>20</v>
      </c>
      <c r="D324" s="2">
        <f>HYPERLINK("https://torgi.gov.ru/new/public/lots/lot/21000018590000000005_2/(lotInfo:info)", "21000018590000000005_2")</f>
        <v>0</v>
      </c>
      <c r="E324" t="s">
        <v>337</v>
      </c>
      <c r="F324" s="3" t="s">
        <v>526</v>
      </c>
      <c r="G324" t="s">
        <v>1008</v>
      </c>
      <c r="H324" s="4">
        <v>620000</v>
      </c>
      <c r="I324" s="4">
        <v>31000</v>
      </c>
      <c r="J324" s="5">
        <v>159.79</v>
      </c>
      <c r="K324" s="5">
        <v>322.92</v>
      </c>
      <c r="L324" s="4">
        <v>2384.62</v>
      </c>
      <c r="M324">
        <v>194</v>
      </c>
      <c r="N324">
        <v>96</v>
      </c>
      <c r="O324">
        <v>13</v>
      </c>
      <c r="Q324" t="s">
        <v>1161</v>
      </c>
      <c r="R324" t="s">
        <v>1164</v>
      </c>
      <c r="S324" s="2">
        <f>HYPERLINK("https://yandex.ru/maps/?&amp;text=58.577824, 31.227398", "58.577824, 31.227398")</f>
        <v>0</v>
      </c>
      <c r="T324" s="2">
        <f>HYPERLINK("D:\torgi_project\venv_torgi\cache\objs_in_district/58.577824_31.227398.json", "58.577824_31.227398.json")</f>
        <v>0</v>
      </c>
      <c r="U324" t="s">
        <v>1478</v>
      </c>
      <c r="V324" s="7" t="s">
        <v>1628</v>
      </c>
    </row>
    <row r="325" spans="1:22">
      <c r="A325" s="8">
        <v>323</v>
      </c>
      <c r="B325">
        <v>54</v>
      </c>
      <c r="C325" s="1">
        <v>73.59999999999999</v>
      </c>
      <c r="D325" s="2">
        <f>HYPERLINK("https://torgi.gov.ru/new/public/lots/lot/21000017900000000006_3/(lotInfo:info)", "21000017900000000006_3")</f>
        <v>0</v>
      </c>
      <c r="E325" t="s">
        <v>338</v>
      </c>
      <c r="F325" s="3" t="s">
        <v>518</v>
      </c>
      <c r="G325" t="s">
        <v>1009</v>
      </c>
      <c r="H325" s="4">
        <v>507000</v>
      </c>
      <c r="I325" s="4">
        <v>6888.58695652174</v>
      </c>
      <c r="J325" s="5">
        <v>3.7</v>
      </c>
      <c r="K325" s="5">
        <v>13.51</v>
      </c>
      <c r="L325" s="4">
        <v>688.8</v>
      </c>
      <c r="M325">
        <v>1861</v>
      </c>
      <c r="N325">
        <v>510</v>
      </c>
      <c r="O325">
        <v>10</v>
      </c>
      <c r="P325" s="6">
        <v>500</v>
      </c>
      <c r="Q325" t="s">
        <v>1161</v>
      </c>
      <c r="R325" t="s">
        <v>1164</v>
      </c>
      <c r="S325" s="2">
        <f>HYPERLINK("https://yandex.ru/maps/?&amp;text=55.22315, 75.98707", "55.22315, 75.98707")</f>
        <v>0</v>
      </c>
      <c r="T325" s="2">
        <f>HYPERLINK("D:\torgi_project\venv_torgi\cache\objs_in_district/55.22315_75.98707.json", "55.22315_75.98707.json")</f>
        <v>0</v>
      </c>
      <c r="U325" t="s">
        <v>1479</v>
      </c>
      <c r="V325" s="7" t="s">
        <v>1628</v>
      </c>
    </row>
    <row r="326" spans="1:22">
      <c r="A326" s="8">
        <v>324</v>
      </c>
      <c r="B326">
        <v>54</v>
      </c>
      <c r="C326" s="1">
        <v>81.09999999999999</v>
      </c>
      <c r="D326" s="2">
        <f>HYPERLINK("https://torgi.gov.ru/new/public/lots/lot/21000013080000000003_1/(lotInfo:info)", "21000013080000000003_1")</f>
        <v>0</v>
      </c>
      <c r="E326" t="s">
        <v>339</v>
      </c>
      <c r="F326" s="3" t="s">
        <v>609</v>
      </c>
      <c r="G326" t="s">
        <v>1010</v>
      </c>
      <c r="H326" s="4">
        <v>750000</v>
      </c>
      <c r="I326" s="4">
        <v>9247.842170160297</v>
      </c>
      <c r="J326" s="5">
        <v>8.289999999999999</v>
      </c>
      <c r="K326" s="5">
        <v>280.21</v>
      </c>
      <c r="M326">
        <v>1115</v>
      </c>
      <c r="N326">
        <v>33</v>
      </c>
      <c r="O326">
        <v>0</v>
      </c>
      <c r="P326" s="6">
        <v>800</v>
      </c>
      <c r="Q326" t="s">
        <v>1161</v>
      </c>
      <c r="R326" t="s">
        <v>1164</v>
      </c>
      <c r="S326" s="2">
        <f>HYPERLINK("https://yandex.ru/maps/?&amp;text=55.004354, 82.466322", "55.004354, 82.466322")</f>
        <v>0</v>
      </c>
      <c r="U326" t="s">
        <v>1480</v>
      </c>
      <c r="V326" s="7" t="s">
        <v>1628</v>
      </c>
    </row>
    <row r="327" spans="1:22">
      <c r="A327" s="8">
        <v>325</v>
      </c>
      <c r="B327">
        <v>54</v>
      </c>
      <c r="C327" s="1">
        <v>196.8</v>
      </c>
      <c r="D327" s="2">
        <f>HYPERLINK("https://torgi.gov.ru/new/public/lots/lot/21000023030000000011_1/(lotInfo:info)", "21000023030000000011_1")</f>
        <v>0</v>
      </c>
      <c r="E327" t="s">
        <v>340</v>
      </c>
      <c r="F327" s="3" t="s">
        <v>651</v>
      </c>
      <c r="G327" t="s">
        <v>1011</v>
      </c>
      <c r="H327" s="4">
        <v>4531000</v>
      </c>
      <c r="I327" s="4">
        <v>23023.37398373984</v>
      </c>
      <c r="J327" s="5">
        <v>4.59</v>
      </c>
      <c r="K327" s="5">
        <v>2.9</v>
      </c>
      <c r="L327" s="4">
        <v>677.15</v>
      </c>
      <c r="M327">
        <v>5014</v>
      </c>
      <c r="N327">
        <v>7939</v>
      </c>
      <c r="O327">
        <v>34</v>
      </c>
      <c r="P327" s="6">
        <v>200</v>
      </c>
      <c r="Q327" t="s">
        <v>1161</v>
      </c>
      <c r="R327" t="s">
        <v>1164</v>
      </c>
      <c r="S327" s="2">
        <f>HYPERLINK("https://yandex.ru/maps/?&amp;text=54.982445, 82.87508", "54.982445, 82.87508")</f>
        <v>0</v>
      </c>
      <c r="T327" s="2">
        <f>HYPERLINK("D:\torgi_project\venv_torgi\cache\objs_in_district/54.982445_82.87508.json", "54.982445_82.87508.json")</f>
        <v>0</v>
      </c>
      <c r="U327" t="s">
        <v>1481</v>
      </c>
    </row>
    <row r="328" spans="1:22">
      <c r="A328" s="8">
        <v>326</v>
      </c>
      <c r="B328">
        <v>54</v>
      </c>
      <c r="C328" s="1">
        <v>89.40000000000001</v>
      </c>
      <c r="D328" s="2">
        <f>HYPERLINK("https://torgi.gov.ru/new/public/lots/lot/21000017900000000006_4/(lotInfo:info)", "21000017900000000006_4")</f>
        <v>0</v>
      </c>
      <c r="E328" t="s">
        <v>341</v>
      </c>
      <c r="F328" s="3" t="s">
        <v>518</v>
      </c>
      <c r="G328" t="s">
        <v>1012</v>
      </c>
      <c r="H328" s="4">
        <v>2296000</v>
      </c>
      <c r="I328" s="4">
        <v>25682.32662192393</v>
      </c>
      <c r="J328" s="5">
        <v>22.1</v>
      </c>
      <c r="K328" s="5">
        <v>24.6</v>
      </c>
      <c r="L328" s="4">
        <v>6420.5</v>
      </c>
      <c r="M328">
        <v>1162</v>
      </c>
      <c r="N328">
        <v>1044</v>
      </c>
      <c r="O328">
        <v>4</v>
      </c>
      <c r="P328" s="6">
        <v>200</v>
      </c>
      <c r="Q328" t="s">
        <v>1161</v>
      </c>
      <c r="R328" t="s">
        <v>1164</v>
      </c>
      <c r="S328" s="2">
        <f>HYPERLINK("https://yandex.ru/maps/?&amp;text=55.21746, 75.97408", "55.21746, 75.97408")</f>
        <v>0</v>
      </c>
      <c r="T328" s="2">
        <f>HYPERLINK("D:\torgi_project\venv_torgi\cache\objs_in_district/55.21746_75.97408.json", "55.21746_75.97408.json")</f>
        <v>0</v>
      </c>
      <c r="U328" t="s">
        <v>1482</v>
      </c>
      <c r="V328" s="7" t="s">
        <v>1628</v>
      </c>
    </row>
    <row r="329" spans="1:22">
      <c r="A329" s="8">
        <v>327</v>
      </c>
      <c r="B329">
        <v>54</v>
      </c>
      <c r="C329" s="1">
        <v>52.3</v>
      </c>
      <c r="D329" s="2">
        <f>HYPERLINK("https://torgi.gov.ru/new/public/lots/lot/21000023030000000010_1/(lotInfo:info)", "21000023030000000010_1")</f>
        <v>0</v>
      </c>
      <c r="E329" t="s">
        <v>342</v>
      </c>
      <c r="F329" s="3" t="s">
        <v>651</v>
      </c>
      <c r="G329" t="s">
        <v>1013</v>
      </c>
      <c r="H329" s="4">
        <v>1914000</v>
      </c>
      <c r="I329" s="4">
        <v>36596.55831739962</v>
      </c>
      <c r="J329" s="5">
        <v>6.15</v>
      </c>
      <c r="K329" s="5">
        <v>3.42</v>
      </c>
      <c r="L329" s="4">
        <v>717.5700000000001</v>
      </c>
      <c r="M329">
        <v>5954</v>
      </c>
      <c r="N329">
        <v>10692</v>
      </c>
      <c r="O329">
        <v>51</v>
      </c>
      <c r="P329" s="6">
        <v>100</v>
      </c>
      <c r="Q329" t="s">
        <v>1161</v>
      </c>
      <c r="R329" t="s">
        <v>1164</v>
      </c>
      <c r="S329" s="2">
        <f>HYPERLINK("https://yandex.ru/maps/?&amp;text=55.059549, 82.921984", "55.059549, 82.921984")</f>
        <v>0</v>
      </c>
      <c r="T329" s="2">
        <f>HYPERLINK("D:\torgi_project\venv_torgi\cache\objs_in_district/55.059549_82.921984.json", "55.059549_82.921984.json")</f>
        <v>0</v>
      </c>
      <c r="U329" t="s">
        <v>1483</v>
      </c>
    </row>
    <row r="330" spans="1:22">
      <c r="A330" s="8">
        <v>328</v>
      </c>
      <c r="B330">
        <v>55</v>
      </c>
      <c r="C330" s="1">
        <v>478.8</v>
      </c>
      <c r="D330" s="2">
        <f>HYPERLINK("https://torgi.gov.ru/new/public/lots/lot/21000019010000000096_1/(lotInfo:info)", "21000019010000000096_1")</f>
        <v>0</v>
      </c>
      <c r="E330" t="s">
        <v>343</v>
      </c>
      <c r="F330" s="3" t="s">
        <v>652</v>
      </c>
      <c r="G330" t="s">
        <v>1014</v>
      </c>
      <c r="H330" s="4">
        <v>4494000</v>
      </c>
      <c r="I330" s="4">
        <v>9385.964912280702</v>
      </c>
      <c r="J330" s="5">
        <v>21.38</v>
      </c>
      <c r="K330" s="5">
        <v>37.24</v>
      </c>
      <c r="L330" s="4">
        <v>3128.33</v>
      </c>
      <c r="M330">
        <v>439</v>
      </c>
      <c r="N330">
        <v>252</v>
      </c>
      <c r="O330">
        <v>3</v>
      </c>
      <c r="P330" s="6">
        <v>600</v>
      </c>
      <c r="Q330" t="s">
        <v>1161</v>
      </c>
      <c r="R330" t="s">
        <v>1164</v>
      </c>
      <c r="S330" s="2">
        <f>HYPERLINK("https://yandex.ru/maps/?&amp;text=55.167118, 73.217331", "55.167118, 73.217331")</f>
        <v>0</v>
      </c>
      <c r="T330" s="2">
        <f>HYPERLINK("D:\torgi_project\venv_torgi\cache\objs_in_district/55.167118_73.217331.json", "55.167118_73.217331.json")</f>
        <v>0</v>
      </c>
      <c r="U330" t="s">
        <v>1484</v>
      </c>
      <c r="V330" s="7" t="s">
        <v>1630</v>
      </c>
    </row>
    <row r="331" spans="1:22">
      <c r="A331" s="8">
        <v>329</v>
      </c>
      <c r="B331">
        <v>55</v>
      </c>
      <c r="C331" s="1">
        <v>270.8</v>
      </c>
      <c r="D331" s="2">
        <f>HYPERLINK("https://torgi.gov.ru/new/public/lots/lot/21000019010000000100_7/(lotInfo:info)", "21000019010000000100_7")</f>
        <v>0</v>
      </c>
      <c r="E331" t="s">
        <v>344</v>
      </c>
      <c r="F331" s="3" t="s">
        <v>653</v>
      </c>
      <c r="G331" t="s">
        <v>1015</v>
      </c>
      <c r="H331" s="4">
        <v>3203000</v>
      </c>
      <c r="I331" s="4">
        <v>11827.91728212703</v>
      </c>
      <c r="J331" s="5">
        <v>25.66</v>
      </c>
      <c r="K331" s="5">
        <v>83.88</v>
      </c>
      <c r="L331" s="4">
        <v>5913.5</v>
      </c>
      <c r="M331">
        <v>461</v>
      </c>
      <c r="N331">
        <v>141</v>
      </c>
      <c r="O331">
        <v>2</v>
      </c>
      <c r="P331" s="6">
        <v>800</v>
      </c>
      <c r="Q331" t="s">
        <v>1161</v>
      </c>
      <c r="R331" t="s">
        <v>1165</v>
      </c>
      <c r="S331" s="2">
        <f>HYPERLINK("https://yandex.ru/maps/?&amp;text=54.866067, 73.302267", "54.866067, 73.302267")</f>
        <v>0</v>
      </c>
      <c r="T331" s="2">
        <f>HYPERLINK("D:\torgi_project\venv_torgi\cache\objs_in_district/54.866067_73.302267.json", "54.866067_73.302267.json")</f>
        <v>0</v>
      </c>
      <c r="U331" t="s">
        <v>1485</v>
      </c>
    </row>
    <row r="332" spans="1:22">
      <c r="A332" s="8">
        <v>330</v>
      </c>
      <c r="B332">
        <v>55</v>
      </c>
      <c r="C332" s="1">
        <v>217.7</v>
      </c>
      <c r="D332" s="2">
        <f>HYPERLINK("https://torgi.gov.ru/new/public/lots/lot/21000019010000000088_3/(lotInfo:info)", "21000019010000000088_3")</f>
        <v>0</v>
      </c>
      <c r="E332" t="s">
        <v>345</v>
      </c>
      <c r="F332" s="3" t="s">
        <v>654</v>
      </c>
      <c r="G332" t="s">
        <v>1016</v>
      </c>
      <c r="H332" s="4">
        <v>3143130</v>
      </c>
      <c r="I332" s="4">
        <v>14437.89618741387</v>
      </c>
      <c r="J332" s="5">
        <v>3.28</v>
      </c>
      <c r="K332" s="5">
        <v>42.46</v>
      </c>
      <c r="L332" s="4">
        <v>759.84</v>
      </c>
      <c r="M332">
        <v>4406</v>
      </c>
      <c r="N332">
        <v>340</v>
      </c>
      <c r="O332">
        <v>19</v>
      </c>
      <c r="P332" s="6">
        <v>1600</v>
      </c>
      <c r="Q332" t="s">
        <v>1161</v>
      </c>
      <c r="R332" t="s">
        <v>1165</v>
      </c>
      <c r="S332" s="2">
        <f>HYPERLINK("https://yandex.ru/maps/?&amp;text=55.05567, 73.26547", "55.05567, 73.26547")</f>
        <v>0</v>
      </c>
      <c r="T332" s="2">
        <f>HYPERLINK("D:\torgi_project\venv_torgi\cache\objs_in_district/55.05567_73.26547.json", "55.05567_73.26547.json")</f>
        <v>0</v>
      </c>
      <c r="U332" t="s">
        <v>1486</v>
      </c>
    </row>
    <row r="333" spans="1:22">
      <c r="A333" s="8">
        <v>331</v>
      </c>
      <c r="B333">
        <v>55</v>
      </c>
      <c r="C333" s="1">
        <v>407.8</v>
      </c>
      <c r="D333" s="2">
        <f>HYPERLINK("https://torgi.gov.ru/new/public/lots/lot/21000019010000000099_1/(lotInfo:info)", "21000019010000000099_1")</f>
        <v>0</v>
      </c>
      <c r="E333" t="s">
        <v>346</v>
      </c>
      <c r="F333" s="3" t="s">
        <v>652</v>
      </c>
      <c r="G333" t="s">
        <v>1017</v>
      </c>
      <c r="H333" s="4">
        <v>7738000</v>
      </c>
      <c r="I333" s="4">
        <v>18974.98773908779</v>
      </c>
      <c r="J333" s="5">
        <v>9.84</v>
      </c>
      <c r="K333" s="5">
        <v>26.57</v>
      </c>
      <c r="L333" s="4">
        <v>1264.93</v>
      </c>
      <c r="M333">
        <v>1928</v>
      </c>
      <c r="N333">
        <v>714</v>
      </c>
      <c r="O333">
        <v>15</v>
      </c>
      <c r="P333" s="6">
        <v>100</v>
      </c>
      <c r="Q333" t="s">
        <v>1161</v>
      </c>
      <c r="R333" t="s">
        <v>1164</v>
      </c>
      <c r="S333" s="2">
        <f>HYPERLINK("https://yandex.ru/maps/?&amp;text=55.051323, 74.58059", "55.051323, 74.58059")</f>
        <v>0</v>
      </c>
      <c r="T333" s="2">
        <f>HYPERLINK("D:\torgi_project\venv_torgi\cache\objs_in_district/55.051323_74.58059.json", "55.051323_74.58059.json")</f>
        <v>0</v>
      </c>
      <c r="U333" t="s">
        <v>1487</v>
      </c>
      <c r="V333" s="7" t="s">
        <v>1630</v>
      </c>
    </row>
    <row r="334" spans="1:22">
      <c r="A334" s="8">
        <v>332</v>
      </c>
      <c r="B334">
        <v>55</v>
      </c>
      <c r="C334" s="1">
        <v>78.2</v>
      </c>
      <c r="D334" s="2">
        <f>HYPERLINK("https://torgi.gov.ru/new/public/lots/lot/21000019010000000102_1/(lotInfo:info)", "21000019010000000102_1")</f>
        <v>0</v>
      </c>
      <c r="E334" t="s">
        <v>347</v>
      </c>
      <c r="F334" s="3" t="s">
        <v>652</v>
      </c>
      <c r="G334" t="s">
        <v>1018</v>
      </c>
      <c r="H334" s="4">
        <v>1854200</v>
      </c>
      <c r="I334" s="4">
        <v>23710.99744245524</v>
      </c>
      <c r="J334" s="5">
        <v>4.81</v>
      </c>
      <c r="K334" s="5">
        <v>12.46</v>
      </c>
      <c r="L334" s="4">
        <v>7903.33</v>
      </c>
      <c r="M334">
        <v>4925</v>
      </c>
      <c r="N334">
        <v>1903</v>
      </c>
      <c r="O334">
        <v>3</v>
      </c>
      <c r="P334" s="6">
        <v>700</v>
      </c>
      <c r="Q334" t="s">
        <v>1161</v>
      </c>
      <c r="R334" t="s">
        <v>1164</v>
      </c>
      <c r="S334" s="2">
        <f>HYPERLINK("https://yandex.ru/maps/?&amp;text=54.9533828, 73.3978437", "54.9533828, 73.3978437")</f>
        <v>0</v>
      </c>
      <c r="T334" s="2">
        <f>HYPERLINK("D:\torgi_project\venv_torgi\cache\objs_in_district/54.9533828_73.3978437.json", "54.9533828_73.3978437.json")</f>
        <v>0</v>
      </c>
      <c r="U334" t="s">
        <v>1488</v>
      </c>
      <c r="V334" s="7" t="s">
        <v>1628</v>
      </c>
    </row>
    <row r="335" spans="1:22">
      <c r="A335" s="8">
        <v>333</v>
      </c>
      <c r="B335">
        <v>55</v>
      </c>
      <c r="C335" s="1">
        <v>102.4</v>
      </c>
      <c r="D335" s="2">
        <f>HYPERLINK("https://torgi.gov.ru/new/public/lots/lot/21000019010000000089_4/(lotInfo:info)", "21000019010000000089_4")</f>
        <v>0</v>
      </c>
      <c r="E335" t="s">
        <v>348</v>
      </c>
      <c r="F335" s="3" t="s">
        <v>654</v>
      </c>
      <c r="G335" t="s">
        <v>1019</v>
      </c>
      <c r="H335" s="4">
        <v>3782400</v>
      </c>
      <c r="I335" s="4">
        <v>36937.5</v>
      </c>
      <c r="J335" s="5">
        <v>23.32</v>
      </c>
      <c r="K335" s="5">
        <v>12.28</v>
      </c>
      <c r="L335" s="4">
        <v>1477.48</v>
      </c>
      <c r="M335">
        <v>1584</v>
      </c>
      <c r="N335">
        <v>3009</v>
      </c>
      <c r="O335">
        <v>25</v>
      </c>
      <c r="P335" s="6">
        <v>400</v>
      </c>
      <c r="Q335" t="s">
        <v>1161</v>
      </c>
      <c r="R335" t="s">
        <v>1165</v>
      </c>
      <c r="S335" s="2">
        <f>HYPERLINK("https://yandex.ru/maps/?&amp;text=54.951963, 73.171265", "54.951963, 73.171265")</f>
        <v>0</v>
      </c>
      <c r="T335" s="2">
        <f>HYPERLINK("D:\torgi_project\venv_torgi\cache\objs_in_district/54.951963_73.171265.json", "54.951963_73.171265.json")</f>
        <v>0</v>
      </c>
      <c r="U335" t="s">
        <v>1489</v>
      </c>
    </row>
    <row r="336" spans="1:22">
      <c r="A336" s="8">
        <v>334</v>
      </c>
      <c r="B336">
        <v>55</v>
      </c>
      <c r="C336" s="1">
        <v>204.7</v>
      </c>
      <c r="D336" s="2">
        <f>HYPERLINK("https://torgi.gov.ru/new/public/lots/lot/21000019010000000095_1/(lotInfo:info)", "21000019010000000095_1")</f>
        <v>0</v>
      </c>
      <c r="E336" t="s">
        <v>349</v>
      </c>
      <c r="F336" s="3" t="s">
        <v>652</v>
      </c>
      <c r="G336" t="s">
        <v>1020</v>
      </c>
      <c r="H336" s="4">
        <v>8005000</v>
      </c>
      <c r="I336" s="4">
        <v>39106.00879335613</v>
      </c>
      <c r="J336" s="5">
        <v>7.68</v>
      </c>
      <c r="K336" s="5">
        <v>6.61</v>
      </c>
      <c r="L336" s="4">
        <v>1150.18</v>
      </c>
      <c r="M336">
        <v>5091</v>
      </c>
      <c r="N336">
        <v>5918</v>
      </c>
      <c r="O336">
        <v>34</v>
      </c>
      <c r="P336" s="6">
        <v>300</v>
      </c>
      <c r="Q336" t="s">
        <v>1161</v>
      </c>
      <c r="R336" t="s">
        <v>1164</v>
      </c>
      <c r="S336" s="2">
        <f>HYPERLINK("https://yandex.ru/maps/?&amp;text=55.031592, 73.259938", "55.031592, 73.259938")</f>
        <v>0</v>
      </c>
      <c r="T336" s="2">
        <f>HYPERLINK("D:\torgi_project\venv_torgi\cache\objs_in_district/55.031592_73.259938.json", "55.031592_73.259938.json")</f>
        <v>0</v>
      </c>
      <c r="U336" t="s">
        <v>1490</v>
      </c>
      <c r="V336" s="7" t="s">
        <v>1628</v>
      </c>
    </row>
    <row r="337" spans="1:22">
      <c r="A337" s="8">
        <v>335</v>
      </c>
      <c r="B337">
        <v>56</v>
      </c>
      <c r="C337" s="1">
        <v>1219</v>
      </c>
      <c r="D337" s="2">
        <f>HYPERLINK("https://torgi.gov.ru/new/public/lots/lot/21000026850000000002_1/(lotInfo:info)", "21000026850000000002_1")</f>
        <v>0</v>
      </c>
      <c r="E337" t="s">
        <v>350</v>
      </c>
      <c r="F337" s="3" t="s">
        <v>655</v>
      </c>
      <c r="G337" t="s">
        <v>1021</v>
      </c>
      <c r="H337" s="4">
        <v>2284000</v>
      </c>
      <c r="I337" s="4">
        <v>1873.666940114848</v>
      </c>
      <c r="J337" s="5">
        <v>22.04</v>
      </c>
      <c r="K337" s="5">
        <v>14.52</v>
      </c>
      <c r="M337">
        <v>85</v>
      </c>
      <c r="N337">
        <v>129</v>
      </c>
      <c r="O337">
        <v>0</v>
      </c>
      <c r="P337" s="6">
        <v>500</v>
      </c>
      <c r="Q337" t="s">
        <v>1161</v>
      </c>
      <c r="R337" t="s">
        <v>1164</v>
      </c>
      <c r="S337" s="2">
        <f>HYPERLINK("https://yandex.ru/maps/?&amp;text=52.191708, 52.528056", "52.191708, 52.528056")</f>
        <v>0</v>
      </c>
      <c r="U337" t="s">
        <v>1491</v>
      </c>
      <c r="V337" s="7" t="s">
        <v>1630</v>
      </c>
    </row>
    <row r="338" spans="1:22">
      <c r="A338" s="8">
        <v>336</v>
      </c>
      <c r="B338">
        <v>56</v>
      </c>
      <c r="C338" s="1">
        <v>273.4</v>
      </c>
      <c r="D338" s="2">
        <f>HYPERLINK("https://torgi.gov.ru/new/public/lots/lot/22000022200000000002_1/(lotInfo:info)", "22000022200000000002_1")</f>
        <v>0</v>
      </c>
      <c r="E338" t="s">
        <v>351</v>
      </c>
      <c r="F338" s="3" t="s">
        <v>656</v>
      </c>
      <c r="G338" t="s">
        <v>1022</v>
      </c>
      <c r="H338" s="4">
        <v>1500000</v>
      </c>
      <c r="I338" s="4">
        <v>5486.46671543526</v>
      </c>
      <c r="J338" s="5">
        <v>5.3</v>
      </c>
      <c r="K338" s="5">
        <v>15.11</v>
      </c>
      <c r="L338" s="4">
        <v>5486</v>
      </c>
      <c r="M338">
        <v>1035</v>
      </c>
      <c r="N338">
        <v>363</v>
      </c>
      <c r="O338">
        <v>1</v>
      </c>
      <c r="P338" s="6">
        <v>1200</v>
      </c>
      <c r="Q338" t="s">
        <v>1161</v>
      </c>
      <c r="R338" t="s">
        <v>1164</v>
      </c>
      <c r="S338" s="2">
        <f>HYPERLINK("https://yandex.ru/maps/?&amp;text=53.60505, 52.42789", "53.60505, 52.42789")</f>
        <v>0</v>
      </c>
      <c r="T338" s="2">
        <f>HYPERLINK("D:\torgi_project\venv_torgi\cache\objs_in_district/53.60505_52.42789.json", "53.60505_52.42789.json")</f>
        <v>0</v>
      </c>
      <c r="U338" t="s">
        <v>1492</v>
      </c>
      <c r="V338" s="7" t="s">
        <v>1628</v>
      </c>
    </row>
    <row r="339" spans="1:22">
      <c r="A339" s="8">
        <v>337</v>
      </c>
      <c r="B339">
        <v>56</v>
      </c>
      <c r="C339" s="1">
        <v>137.1</v>
      </c>
      <c r="D339" s="2">
        <f>HYPERLINK("https://torgi.gov.ru/new/public/lots/lot/22000019380000000001_1/(lotInfo:info)", "22000019380000000001_1")</f>
        <v>0</v>
      </c>
      <c r="E339" t="s">
        <v>352</v>
      </c>
      <c r="F339" s="3" t="s">
        <v>657</v>
      </c>
      <c r="G339" t="s">
        <v>1023</v>
      </c>
      <c r="H339" s="4">
        <v>851391</v>
      </c>
      <c r="I339" s="4">
        <v>6210</v>
      </c>
      <c r="J339" s="5">
        <v>5.98</v>
      </c>
      <c r="K339" s="5">
        <v>1.56</v>
      </c>
      <c r="L339" s="4">
        <v>258.75</v>
      </c>
      <c r="M339">
        <v>1038</v>
      </c>
      <c r="N339">
        <v>3981</v>
      </c>
      <c r="O339">
        <v>24</v>
      </c>
      <c r="P339" s="6">
        <v>300</v>
      </c>
      <c r="Q339" t="s">
        <v>1161</v>
      </c>
      <c r="R339" t="s">
        <v>1164</v>
      </c>
      <c r="S339" s="2">
        <f>HYPERLINK("https://yandex.ru/maps/?&amp;text=52.344678, 56.156554", "52.344678, 56.156554")</f>
        <v>0</v>
      </c>
      <c r="T339" s="2">
        <f>HYPERLINK("D:\torgi_project\venv_torgi\cache\objs_in_district/52.344678_56.156554.json", "52.344678_56.156554.json")</f>
        <v>0</v>
      </c>
      <c r="U339" t="s">
        <v>1493</v>
      </c>
      <c r="V339" s="7" t="s">
        <v>1628</v>
      </c>
    </row>
    <row r="340" spans="1:22">
      <c r="A340" s="8">
        <v>338</v>
      </c>
      <c r="B340">
        <v>56</v>
      </c>
      <c r="C340" s="1">
        <v>62.4</v>
      </c>
      <c r="D340" s="2">
        <f>HYPERLINK("https://torgi.gov.ru/new/public/lots/lot/21000028380000000014_5/(lotInfo:info)", "21000028380000000014_5")</f>
        <v>0</v>
      </c>
      <c r="E340" t="s">
        <v>353</v>
      </c>
      <c r="F340" s="3" t="s">
        <v>658</v>
      </c>
      <c r="G340" t="s">
        <v>1024</v>
      </c>
      <c r="H340" s="4">
        <v>805000</v>
      </c>
      <c r="I340" s="4">
        <v>12900.64102564103</v>
      </c>
      <c r="J340" s="5">
        <v>53.75</v>
      </c>
      <c r="K340" s="5">
        <v>39.45</v>
      </c>
      <c r="M340">
        <v>240</v>
      </c>
      <c r="N340">
        <v>327</v>
      </c>
      <c r="O340">
        <v>0</v>
      </c>
      <c r="P340" s="6">
        <v>2500</v>
      </c>
      <c r="Q340" t="s">
        <v>1161</v>
      </c>
      <c r="R340" t="s">
        <v>1164</v>
      </c>
      <c r="S340" s="2">
        <f>HYPERLINK("https://yandex.ru/maps/?&amp;text=51.5875578, 54.1345325", "51.5875578, 54.1345325")</f>
        <v>0</v>
      </c>
      <c r="U340" t="s">
        <v>1494</v>
      </c>
      <c r="V340" s="7" t="s">
        <v>1628</v>
      </c>
    </row>
    <row r="341" spans="1:22">
      <c r="A341" s="8">
        <v>339</v>
      </c>
      <c r="B341">
        <v>56</v>
      </c>
      <c r="C341" s="1">
        <v>88.40000000000001</v>
      </c>
      <c r="D341" s="2">
        <f>HYPERLINK("https://torgi.gov.ru/new/public/lots/lot/22000009250000000004_1/(lotInfo:info)", "22000009250000000004_1")</f>
        <v>0</v>
      </c>
      <c r="E341" t="s">
        <v>354</v>
      </c>
      <c r="F341" s="3" t="s">
        <v>659</v>
      </c>
      <c r="G341" t="s">
        <v>1025</v>
      </c>
      <c r="H341" s="4">
        <v>1818000</v>
      </c>
      <c r="I341" s="4">
        <v>20565.61085972851</v>
      </c>
      <c r="J341" s="5">
        <v>118.87</v>
      </c>
      <c r="K341" s="5">
        <v>137.1</v>
      </c>
      <c r="L341" s="4">
        <v>6855</v>
      </c>
      <c r="M341">
        <v>173</v>
      </c>
      <c r="N341">
        <v>150</v>
      </c>
      <c r="O341">
        <v>3</v>
      </c>
      <c r="P341" s="6">
        <v>800</v>
      </c>
      <c r="Q341" t="s">
        <v>1161</v>
      </c>
      <c r="R341" t="s">
        <v>1164</v>
      </c>
      <c r="S341" s="2">
        <f>HYPERLINK("https://yandex.ru/maps/?&amp;text=51.5365, 54.990208", "51.5365, 54.990208")</f>
        <v>0</v>
      </c>
      <c r="T341" s="2">
        <f>HYPERLINK("D:\torgi_project\venv_torgi\cache\objs_in_district/51.5365_54.990208.json", "51.5365_54.990208.json")</f>
        <v>0</v>
      </c>
      <c r="U341" t="s">
        <v>1495</v>
      </c>
      <c r="V341" s="7" t="s">
        <v>1628</v>
      </c>
    </row>
    <row r="342" spans="1:22">
      <c r="A342" s="8">
        <v>340</v>
      </c>
      <c r="B342">
        <v>56</v>
      </c>
      <c r="C342" s="1">
        <v>29.2</v>
      </c>
      <c r="D342" s="2">
        <f>HYPERLINK("https://torgi.gov.ru/new/public/lots/lot/21000028380000000014_4/(lotInfo:info)", "21000028380000000014_4")</f>
        <v>0</v>
      </c>
      <c r="E342" t="s">
        <v>355</v>
      </c>
      <c r="F342" s="3" t="s">
        <v>658</v>
      </c>
      <c r="G342" t="s">
        <v>1026</v>
      </c>
      <c r="H342" s="4">
        <v>629900</v>
      </c>
      <c r="I342" s="4">
        <v>21571.91780821918</v>
      </c>
      <c r="J342" s="5">
        <v>3.97</v>
      </c>
      <c r="K342" s="5">
        <v>7.02</v>
      </c>
      <c r="L342" s="4">
        <v>1348.19</v>
      </c>
      <c r="M342">
        <v>5429</v>
      </c>
      <c r="N342">
        <v>3072</v>
      </c>
      <c r="O342">
        <v>16</v>
      </c>
      <c r="P342" s="6">
        <v>600</v>
      </c>
      <c r="Q342" t="s">
        <v>1161</v>
      </c>
      <c r="R342" t="s">
        <v>1164</v>
      </c>
      <c r="S342" s="2">
        <f>HYPERLINK("https://yandex.ru/maps/?&amp;text=51.779061, 55.09718", "51.779061, 55.09718")</f>
        <v>0</v>
      </c>
      <c r="T342" s="2">
        <f>HYPERLINK("D:\torgi_project\venv_torgi\cache\objs_in_district/51.779061_55.09718.json", "51.779061_55.09718.json")</f>
        <v>0</v>
      </c>
      <c r="U342" t="s">
        <v>1496</v>
      </c>
      <c r="V342" s="7" t="s">
        <v>1629</v>
      </c>
    </row>
    <row r="343" spans="1:22">
      <c r="A343" s="8">
        <v>341</v>
      </c>
      <c r="B343">
        <v>57</v>
      </c>
      <c r="C343" s="1">
        <v>218.2</v>
      </c>
      <c r="D343" s="2">
        <f>HYPERLINK("https://torgi.gov.ru/new/public/lots/lot/22000067610000000002_1/(lotInfo:info)", "22000067610000000002_1")</f>
        <v>0</v>
      </c>
      <c r="E343" t="s">
        <v>356</v>
      </c>
      <c r="F343" s="3" t="s">
        <v>610</v>
      </c>
      <c r="G343" t="s">
        <v>1027</v>
      </c>
      <c r="H343" s="4">
        <v>515909</v>
      </c>
      <c r="I343" s="4">
        <v>2364.385884509624</v>
      </c>
      <c r="J343" s="5">
        <v>11</v>
      </c>
      <c r="K343" s="5">
        <v>98.5</v>
      </c>
      <c r="L343" s="4">
        <v>1182</v>
      </c>
      <c r="M343">
        <v>215</v>
      </c>
      <c r="N343">
        <v>24</v>
      </c>
      <c r="O343">
        <v>2</v>
      </c>
      <c r="P343" s="6">
        <v>300</v>
      </c>
      <c r="Q343" t="s">
        <v>1161</v>
      </c>
      <c r="R343" t="s">
        <v>1164</v>
      </c>
      <c r="S343" s="2">
        <f>HYPERLINK("https://yandex.ru/maps/?&amp;text=52.910501, 35.379303", "52.910501, 35.379303")</f>
        <v>0</v>
      </c>
      <c r="T343" s="2">
        <f>HYPERLINK("D:\torgi_project\venv_torgi\cache\objs_in_district/52.910501_35.379303.json", "52.910501_35.379303.json")</f>
        <v>0</v>
      </c>
      <c r="U343" t="s">
        <v>1497</v>
      </c>
      <c r="V343" s="7" t="s">
        <v>1628</v>
      </c>
    </row>
    <row r="344" spans="1:22">
      <c r="A344" s="8">
        <v>342</v>
      </c>
      <c r="B344">
        <v>57</v>
      </c>
      <c r="C344" s="1">
        <v>108.8</v>
      </c>
      <c r="D344" s="2">
        <f>HYPERLINK("https://torgi.gov.ru/new/public/lots/lot/22000042460000000010_4/(lotInfo:info)", "22000042460000000010_4")</f>
        <v>0</v>
      </c>
      <c r="E344" t="s">
        <v>357</v>
      </c>
      <c r="F344" s="3" t="s">
        <v>540</v>
      </c>
      <c r="G344" t="s">
        <v>1028</v>
      </c>
      <c r="H344" s="4">
        <v>4274000</v>
      </c>
      <c r="I344" s="4">
        <v>39283.08823529412</v>
      </c>
      <c r="J344" s="5">
        <v>14.07</v>
      </c>
      <c r="K344" s="5">
        <v>104.75</v>
      </c>
      <c r="L344" s="4">
        <v>9820.75</v>
      </c>
      <c r="M344">
        <v>2792</v>
      </c>
      <c r="N344">
        <v>375</v>
      </c>
      <c r="O344">
        <v>4</v>
      </c>
      <c r="P344" s="6">
        <v>100</v>
      </c>
      <c r="Q344" t="s">
        <v>1161</v>
      </c>
      <c r="R344" t="s">
        <v>1164</v>
      </c>
      <c r="S344" s="2">
        <f>HYPERLINK("https://yandex.ru/maps/?&amp;text=52.917457, 36.002186", "52.917457, 36.002186")</f>
        <v>0</v>
      </c>
      <c r="T344" s="2">
        <f>HYPERLINK("D:\torgi_project\venv_torgi\cache\objs_in_district/52.917457_36.002186.json", "52.917457_36.002186.json")</f>
        <v>0</v>
      </c>
      <c r="V344" s="7" t="s">
        <v>1628</v>
      </c>
    </row>
    <row r="345" spans="1:22">
      <c r="A345" s="8">
        <v>343</v>
      </c>
      <c r="B345">
        <v>57</v>
      </c>
      <c r="C345" s="1">
        <v>131.5</v>
      </c>
      <c r="D345" s="2">
        <f>HYPERLINK("https://torgi.gov.ru/new/public/lots/lot/22000042460000000010_1/(lotInfo:info)", "22000042460000000010_1")</f>
        <v>0</v>
      </c>
      <c r="E345" t="s">
        <v>358</v>
      </c>
      <c r="F345" s="3" t="s">
        <v>540</v>
      </c>
      <c r="G345" t="s">
        <v>1029</v>
      </c>
      <c r="H345" s="4">
        <v>6046000</v>
      </c>
      <c r="I345" s="4">
        <v>45977.18631178707</v>
      </c>
      <c r="J345" s="5">
        <v>10.38</v>
      </c>
      <c r="K345" s="5">
        <v>25</v>
      </c>
      <c r="L345" s="4">
        <v>1642.04</v>
      </c>
      <c r="M345">
        <v>4430</v>
      </c>
      <c r="N345">
        <v>1839</v>
      </c>
      <c r="O345">
        <v>28</v>
      </c>
      <c r="P345" s="6">
        <v>300</v>
      </c>
      <c r="Q345" t="s">
        <v>1161</v>
      </c>
      <c r="R345" t="s">
        <v>1164</v>
      </c>
      <c r="S345" s="2">
        <f>HYPERLINK("https://yandex.ru/maps/?&amp;text=52.95843, 36.0616", "52.95843, 36.0616")</f>
        <v>0</v>
      </c>
      <c r="T345" s="2">
        <f>HYPERLINK("D:\torgi_project\venv_torgi\cache\objs_in_district/52.95843_36.0616.json", "52.95843_36.0616.json")</f>
        <v>0</v>
      </c>
      <c r="V345" s="7" t="s">
        <v>1630</v>
      </c>
    </row>
    <row r="346" spans="1:22">
      <c r="A346" s="8">
        <v>344</v>
      </c>
      <c r="B346">
        <v>57</v>
      </c>
      <c r="C346" s="1">
        <v>47.8</v>
      </c>
      <c r="D346" s="2">
        <f>HYPERLINK("https://torgi.gov.ru/new/public/lots/lot/22000042460000000010_3/(lotInfo:info)", "22000042460000000010_3")</f>
        <v>0</v>
      </c>
      <c r="E346" t="s">
        <v>359</v>
      </c>
      <c r="F346" s="3" t="s">
        <v>540</v>
      </c>
      <c r="G346" t="s">
        <v>1030</v>
      </c>
      <c r="H346" s="4">
        <v>3003000</v>
      </c>
      <c r="I346" s="4">
        <v>62824.26778242678</v>
      </c>
      <c r="J346" s="5">
        <v>17.39</v>
      </c>
      <c r="K346" s="5">
        <v>16.21</v>
      </c>
      <c r="L346" s="4">
        <v>3306.53</v>
      </c>
      <c r="M346">
        <v>3613</v>
      </c>
      <c r="N346">
        <v>3876</v>
      </c>
      <c r="O346">
        <v>19</v>
      </c>
      <c r="P346" s="6">
        <v>700</v>
      </c>
      <c r="Q346" t="s">
        <v>1161</v>
      </c>
      <c r="R346" t="s">
        <v>1164</v>
      </c>
      <c r="S346" s="2">
        <f>HYPERLINK("https://yandex.ru/maps/?&amp;text=52.975051, 36.043733", "52.975051, 36.043733")</f>
        <v>0</v>
      </c>
      <c r="T346" s="2">
        <f>HYPERLINK("D:\torgi_project\venv_torgi\cache\objs_in_district/52.975051_36.043733.json", "52.975051_36.043733.json")</f>
        <v>0</v>
      </c>
      <c r="V346" s="7" t="s">
        <v>1629</v>
      </c>
    </row>
    <row r="347" spans="1:22">
      <c r="A347" s="8">
        <v>345</v>
      </c>
      <c r="B347">
        <v>58</v>
      </c>
      <c r="C347" s="1">
        <v>628</v>
      </c>
      <c r="D347" s="2">
        <f>HYPERLINK("https://torgi.gov.ru/new/public/lots/lot/22000061470000000003_3/(lotInfo:info)", "22000061470000000003_3")</f>
        <v>0</v>
      </c>
      <c r="E347" t="s">
        <v>360</v>
      </c>
      <c r="F347" s="3" t="s">
        <v>541</v>
      </c>
      <c r="G347" t="s">
        <v>1031</v>
      </c>
      <c r="H347" s="4">
        <v>1328000</v>
      </c>
      <c r="I347" s="4">
        <v>2114.649681528662</v>
      </c>
      <c r="J347" s="5">
        <v>1.09</v>
      </c>
      <c r="K347" s="5">
        <v>2.17</v>
      </c>
      <c r="L347" s="4">
        <v>528.5</v>
      </c>
      <c r="M347">
        <v>1944</v>
      </c>
      <c r="N347">
        <v>975</v>
      </c>
      <c r="O347">
        <v>4</v>
      </c>
      <c r="P347" s="6">
        <v>900</v>
      </c>
      <c r="Q347" t="s">
        <v>1161</v>
      </c>
      <c r="R347" t="s">
        <v>1164</v>
      </c>
      <c r="S347" s="2">
        <f>HYPERLINK("https://yandex.ru/maps/?&amp;text=52.465812, 44.219732", "52.465812, 44.219732")</f>
        <v>0</v>
      </c>
      <c r="T347" s="2">
        <f>HYPERLINK("D:\torgi_project\venv_torgi\cache\objs_in_district/52.465812_44.219732.json", "52.465812_44.219732.json")</f>
        <v>0</v>
      </c>
      <c r="U347" t="s">
        <v>1498</v>
      </c>
      <c r="V347" s="7" t="s">
        <v>1628</v>
      </c>
    </row>
    <row r="348" spans="1:22">
      <c r="A348" s="8">
        <v>346</v>
      </c>
      <c r="B348">
        <v>58</v>
      </c>
      <c r="C348" s="1">
        <v>475.1</v>
      </c>
      <c r="D348" s="2">
        <f>HYPERLINK("https://torgi.gov.ru/new/public/lots/lot/21000016520000000010_1/(lotInfo:info)", "21000016520000000010_1")</f>
        <v>0</v>
      </c>
      <c r="E348" t="s">
        <v>361</v>
      </c>
      <c r="F348" s="3" t="s">
        <v>660</v>
      </c>
      <c r="G348" t="s">
        <v>1032</v>
      </c>
      <c r="H348" s="4">
        <v>4965000</v>
      </c>
      <c r="I348" s="4">
        <v>10450.43148810777</v>
      </c>
      <c r="J348" s="5">
        <v>2.42</v>
      </c>
      <c r="K348" s="5">
        <v>1.91</v>
      </c>
      <c r="L348" s="4">
        <v>190</v>
      </c>
      <c r="M348">
        <v>4316</v>
      </c>
      <c r="N348">
        <v>5473</v>
      </c>
      <c r="O348">
        <v>55</v>
      </c>
      <c r="P348" s="6">
        <v>100</v>
      </c>
      <c r="Q348" t="s">
        <v>1161</v>
      </c>
      <c r="R348" t="s">
        <v>1164</v>
      </c>
      <c r="S348" s="2">
        <f>HYPERLINK("https://yandex.ru/maps/?&amp;text=53.22039, 44.992858", "53.22039, 44.992858")</f>
        <v>0</v>
      </c>
      <c r="T348" s="2">
        <f>HYPERLINK("D:\torgi_project\venv_torgi\cache\objs_in_district/53.22039_44.992858.json", "53.22039_44.992858.json")</f>
        <v>0</v>
      </c>
      <c r="U348" t="s">
        <v>1499</v>
      </c>
      <c r="V348" s="7" t="s">
        <v>1630</v>
      </c>
    </row>
    <row r="349" spans="1:22">
      <c r="A349" s="8">
        <v>347</v>
      </c>
      <c r="B349">
        <v>58</v>
      </c>
      <c r="C349" s="1">
        <v>50</v>
      </c>
      <c r="D349" s="2">
        <f>HYPERLINK("https://torgi.gov.ru/new/public/lots/lot/22000061470000000003_5/(lotInfo:info)", "22000061470000000003_5")</f>
        <v>0</v>
      </c>
      <c r="E349" t="s">
        <v>362</v>
      </c>
      <c r="F349" s="3" t="s">
        <v>541</v>
      </c>
      <c r="G349" t="s">
        <v>1033</v>
      </c>
      <c r="H349" s="4">
        <v>545000</v>
      </c>
      <c r="I349" s="4">
        <v>10900</v>
      </c>
      <c r="J349" s="5">
        <v>9.800000000000001</v>
      </c>
      <c r="K349" s="5">
        <v>13.07</v>
      </c>
      <c r="L349" s="4">
        <v>3633.33</v>
      </c>
      <c r="M349">
        <v>1112</v>
      </c>
      <c r="N349">
        <v>834</v>
      </c>
      <c r="O349">
        <v>3</v>
      </c>
      <c r="P349" s="6">
        <v>1400</v>
      </c>
      <c r="Q349" t="s">
        <v>1161</v>
      </c>
      <c r="R349" t="s">
        <v>1164</v>
      </c>
      <c r="S349" s="2">
        <f>HYPERLINK("https://yandex.ru/maps/?&amp;text=52.479477, 44.229496", "52.479477, 44.229496")</f>
        <v>0</v>
      </c>
      <c r="T349" s="2">
        <f>HYPERLINK("D:\torgi_project\venv_torgi\cache\objs_in_district/52.479477_44.229496.json", "52.479477_44.229496.json")</f>
        <v>0</v>
      </c>
      <c r="U349" t="s">
        <v>1500</v>
      </c>
      <c r="V349" s="7" t="s">
        <v>1628</v>
      </c>
    </row>
    <row r="350" spans="1:22">
      <c r="A350" s="8">
        <v>348</v>
      </c>
      <c r="B350">
        <v>58</v>
      </c>
      <c r="C350" s="1">
        <v>629.8</v>
      </c>
      <c r="D350" s="2">
        <f>HYPERLINK("https://torgi.gov.ru/new/public/lots/lot/21000016520000000009_1/(lotInfo:info)", "21000016520000000009_1")</f>
        <v>0</v>
      </c>
      <c r="E350" t="s">
        <v>363</v>
      </c>
      <c r="F350" s="3" t="s">
        <v>660</v>
      </c>
      <c r="G350" t="s">
        <v>1034</v>
      </c>
      <c r="H350" s="4">
        <v>7356000</v>
      </c>
      <c r="I350" s="4">
        <v>11679.89838043824</v>
      </c>
      <c r="J350" s="5">
        <v>2.71</v>
      </c>
      <c r="K350" s="5">
        <v>2.13</v>
      </c>
      <c r="L350" s="4">
        <v>212.35</v>
      </c>
      <c r="M350">
        <v>4316</v>
      </c>
      <c r="N350">
        <v>5473</v>
      </c>
      <c r="O350">
        <v>55</v>
      </c>
      <c r="P350" s="6">
        <v>100</v>
      </c>
      <c r="Q350" t="s">
        <v>1161</v>
      </c>
      <c r="R350" t="s">
        <v>1164</v>
      </c>
      <c r="S350" s="2">
        <f>HYPERLINK("https://yandex.ru/maps/?&amp;text=53.22039, 44.992858", "53.22039, 44.992858")</f>
        <v>0</v>
      </c>
      <c r="T350" s="2">
        <f>HYPERLINK("D:\torgi_project\venv_torgi\cache\objs_in_district/53.22039_44.992858.json", "53.22039_44.992858.json")</f>
        <v>0</v>
      </c>
      <c r="U350" t="s">
        <v>1501</v>
      </c>
      <c r="V350" s="7" t="s">
        <v>1628</v>
      </c>
    </row>
    <row r="351" spans="1:22">
      <c r="A351" s="8">
        <v>349</v>
      </c>
      <c r="B351">
        <v>58</v>
      </c>
      <c r="C351" s="1">
        <v>60.4</v>
      </c>
      <c r="D351" s="2">
        <f>HYPERLINK("https://torgi.gov.ru/new/public/lots/lot/21000025550000000050_11/(lotInfo:info)", "21000025550000000050_11")</f>
        <v>0</v>
      </c>
      <c r="E351" t="s">
        <v>364</v>
      </c>
      <c r="F351" s="3" t="s">
        <v>661</v>
      </c>
      <c r="G351" t="s">
        <v>1035</v>
      </c>
      <c r="H351" s="4">
        <v>1310000</v>
      </c>
      <c r="I351" s="4">
        <v>21688.74172185431</v>
      </c>
      <c r="J351" s="5">
        <v>67.15000000000001</v>
      </c>
      <c r="K351" s="5">
        <v>14.12</v>
      </c>
      <c r="L351" s="4">
        <v>7229.33</v>
      </c>
      <c r="M351">
        <v>323</v>
      </c>
      <c r="N351">
        <v>1536</v>
      </c>
      <c r="O351">
        <v>3</v>
      </c>
      <c r="P351" s="6">
        <v>100</v>
      </c>
      <c r="Q351" t="s">
        <v>1161</v>
      </c>
      <c r="R351" t="s">
        <v>1165</v>
      </c>
      <c r="S351" s="2">
        <f>HYPERLINK("https://yandex.ru/maps/?&amp;text=53.208954, 45.305813", "53.208954, 45.305813")</f>
        <v>0</v>
      </c>
      <c r="T351" s="2">
        <f>HYPERLINK("D:\torgi_project\venv_torgi\cache\objs_in_district/53.208954_45.305813.json", "53.208954_45.305813.json")</f>
        <v>0</v>
      </c>
      <c r="U351" t="s">
        <v>1502</v>
      </c>
    </row>
    <row r="352" spans="1:22">
      <c r="A352" s="8">
        <v>350</v>
      </c>
      <c r="B352">
        <v>58</v>
      </c>
      <c r="C352" s="1">
        <v>58.6</v>
      </c>
      <c r="D352" s="2">
        <f>HYPERLINK("https://torgi.gov.ru/new/public/lots/lot/21000025550000000061_6/(lotInfo:info)", "21000025550000000061_6")</f>
        <v>0</v>
      </c>
      <c r="E352" t="s">
        <v>365</v>
      </c>
      <c r="F352" s="3" t="s">
        <v>662</v>
      </c>
      <c r="G352" t="s">
        <v>1036</v>
      </c>
      <c r="H352" s="4">
        <v>3097000</v>
      </c>
      <c r="I352" s="4">
        <v>52849.82935153584</v>
      </c>
      <c r="J352" s="5">
        <v>16.75</v>
      </c>
      <c r="K352" s="5">
        <v>6.91</v>
      </c>
      <c r="L352" s="4">
        <v>1509.97</v>
      </c>
      <c r="M352">
        <v>3155</v>
      </c>
      <c r="N352">
        <v>7651</v>
      </c>
      <c r="O352">
        <v>35</v>
      </c>
      <c r="P352" s="6">
        <v>700</v>
      </c>
      <c r="Q352" t="s">
        <v>1161</v>
      </c>
      <c r="R352" t="s">
        <v>1165</v>
      </c>
      <c r="S352" s="2">
        <f>HYPERLINK("https://yandex.ru/maps/?&amp;text=53.187823, 45.174578", "53.187823, 45.174578")</f>
        <v>0</v>
      </c>
      <c r="T352" s="2">
        <f>HYPERLINK("D:\torgi_project\venv_torgi\cache\objs_in_district/53.187823_45.174578.json", "53.187823_45.174578.json")</f>
        <v>0</v>
      </c>
      <c r="U352" t="s">
        <v>1503</v>
      </c>
      <c r="V352" s="7" t="s">
        <v>1628</v>
      </c>
    </row>
    <row r="353" spans="1:22">
      <c r="A353" s="8">
        <v>351</v>
      </c>
      <c r="B353">
        <v>59</v>
      </c>
      <c r="C353" s="1">
        <v>221.7</v>
      </c>
      <c r="D353" s="2">
        <f>HYPERLINK("https://torgi.gov.ru/new/public/lots/lot/22000046850000000013_3/(lotInfo:info)", "22000046850000000013_3")</f>
        <v>0</v>
      </c>
      <c r="E353" t="s">
        <v>366</v>
      </c>
      <c r="F353" s="3" t="s">
        <v>663</v>
      </c>
      <c r="G353" t="s">
        <v>1037</v>
      </c>
      <c r="H353" s="4">
        <v>688600</v>
      </c>
      <c r="I353" s="4">
        <v>3105.999097880018</v>
      </c>
      <c r="J353" s="5">
        <v>1.46</v>
      </c>
      <c r="K353" s="5">
        <v>6.02</v>
      </c>
      <c r="M353">
        <v>2122</v>
      </c>
      <c r="N353">
        <v>516</v>
      </c>
      <c r="O353">
        <v>0</v>
      </c>
      <c r="P353" s="6">
        <v>900</v>
      </c>
      <c r="Q353" t="s">
        <v>1161</v>
      </c>
      <c r="R353" t="s">
        <v>1164</v>
      </c>
      <c r="S353" s="2">
        <f>HYPERLINK("https://yandex.ru/maps/?&amp;text=59.006749, 54.675843", "59.006749, 54.675843")</f>
        <v>0</v>
      </c>
      <c r="U353" t="s">
        <v>1504</v>
      </c>
      <c r="V353" s="7" t="s">
        <v>1630</v>
      </c>
    </row>
    <row r="354" spans="1:22">
      <c r="A354" s="8">
        <v>352</v>
      </c>
      <c r="B354">
        <v>59</v>
      </c>
      <c r="C354" s="1">
        <v>273.8</v>
      </c>
      <c r="D354" s="2">
        <f>HYPERLINK("https://torgi.gov.ru/new/public/lots/lot/21000024380000000005_5/(lotInfo:info)", "21000024380000000005_5")</f>
        <v>0</v>
      </c>
      <c r="E354" t="s">
        <v>367</v>
      </c>
      <c r="F354" s="3" t="s">
        <v>664</v>
      </c>
      <c r="G354" t="s">
        <v>1038</v>
      </c>
      <c r="H354" s="4">
        <v>894000</v>
      </c>
      <c r="I354" s="4">
        <v>3265.157048940833</v>
      </c>
      <c r="J354" s="5">
        <v>1.01</v>
      </c>
      <c r="K354" s="5">
        <v>8.44</v>
      </c>
      <c r="L354" s="4">
        <v>251.15</v>
      </c>
      <c r="M354">
        <v>3235</v>
      </c>
      <c r="N354">
        <v>387</v>
      </c>
      <c r="O354">
        <v>13</v>
      </c>
      <c r="P354" s="6">
        <v>200</v>
      </c>
      <c r="Q354" t="s">
        <v>1162</v>
      </c>
      <c r="R354" t="s">
        <v>1164</v>
      </c>
      <c r="S354" s="2">
        <f>HYPERLINK("https://yandex.ru/maps/?&amp;text=58.075421, 54.658362", "58.075421, 54.658362")</f>
        <v>0</v>
      </c>
      <c r="T354" s="2">
        <f>HYPERLINK("D:\torgi_project\venv_torgi\cache\objs_in_district/58.075421_54.658362.json", "58.075421_54.658362.json")</f>
        <v>0</v>
      </c>
      <c r="U354" t="s">
        <v>1505</v>
      </c>
      <c r="V354" s="7" t="s">
        <v>1631</v>
      </c>
    </row>
    <row r="355" spans="1:22">
      <c r="A355" s="8">
        <v>353</v>
      </c>
      <c r="B355">
        <v>59</v>
      </c>
      <c r="C355" s="1">
        <v>307.1</v>
      </c>
      <c r="D355" s="2">
        <f>HYPERLINK("https://torgi.gov.ru/new/public/lots/lot/21000024380000000005_4/(lotInfo:info)", "21000024380000000005_4")</f>
        <v>0</v>
      </c>
      <c r="E355" t="s">
        <v>368</v>
      </c>
      <c r="F355" s="3" t="s">
        <v>664</v>
      </c>
      <c r="G355" t="s">
        <v>1039</v>
      </c>
      <c r="H355" s="4">
        <v>1542000</v>
      </c>
      <c r="I355" s="4">
        <v>5021.16574405731</v>
      </c>
      <c r="J355" s="5">
        <v>4.31</v>
      </c>
      <c r="K355" s="5">
        <v>34.87</v>
      </c>
      <c r="M355">
        <v>1166</v>
      </c>
      <c r="N355">
        <v>144</v>
      </c>
      <c r="O355">
        <v>0</v>
      </c>
      <c r="P355" s="6">
        <v>1100</v>
      </c>
      <c r="Q355" t="s">
        <v>1162</v>
      </c>
      <c r="R355" t="s">
        <v>1164</v>
      </c>
      <c r="S355" s="2">
        <f>HYPERLINK("https://yandex.ru/maps/?&amp;text=58.077282, 54.682266", "58.077282, 54.682266")</f>
        <v>0</v>
      </c>
      <c r="U355" t="s">
        <v>1506</v>
      </c>
      <c r="V355" s="7" t="s">
        <v>1628</v>
      </c>
    </row>
    <row r="356" spans="1:22">
      <c r="A356" s="8">
        <v>354</v>
      </c>
      <c r="B356">
        <v>59</v>
      </c>
      <c r="C356" s="1">
        <v>335.8</v>
      </c>
      <c r="D356" s="2">
        <f>HYPERLINK("https://torgi.gov.ru/new/public/lots/lot/21000023740000000008_2/(lotInfo:info)", "21000023740000000008_2")</f>
        <v>0</v>
      </c>
      <c r="E356" t="s">
        <v>369</v>
      </c>
      <c r="F356" s="3" t="s">
        <v>665</v>
      </c>
      <c r="G356" t="s">
        <v>1040</v>
      </c>
      <c r="H356" s="4">
        <v>2333000</v>
      </c>
      <c r="I356" s="4">
        <v>6947.587849910661</v>
      </c>
      <c r="J356" s="5">
        <v>9.83</v>
      </c>
      <c r="K356" s="5">
        <v>8.33</v>
      </c>
      <c r="L356" s="4">
        <v>868.38</v>
      </c>
      <c r="M356">
        <v>707</v>
      </c>
      <c r="N356">
        <v>834</v>
      </c>
      <c r="O356">
        <v>8</v>
      </c>
      <c r="P356" s="6">
        <v>300</v>
      </c>
      <c r="Q356" t="s">
        <v>1162</v>
      </c>
      <c r="R356" t="s">
        <v>1164</v>
      </c>
      <c r="S356" s="2">
        <f>HYPERLINK("https://yandex.ru/maps/?&amp;text=58.46777, 56.389526", "58.46777, 56.389526")</f>
        <v>0</v>
      </c>
      <c r="T356" s="2">
        <f>HYPERLINK("D:\torgi_project\venv_torgi\cache\objs_in_district/58.46777_56.389526.json", "58.46777_56.389526.json")</f>
        <v>0</v>
      </c>
      <c r="U356" t="s">
        <v>1507</v>
      </c>
      <c r="V356" s="7" t="s">
        <v>1628</v>
      </c>
    </row>
    <row r="357" spans="1:22">
      <c r="A357" s="8">
        <v>355</v>
      </c>
      <c r="B357">
        <v>59</v>
      </c>
      <c r="C357" s="1">
        <v>1036.8</v>
      </c>
      <c r="D357" s="2">
        <f>HYPERLINK("https://torgi.gov.ru/new/public/lots/lot/21000020210000000043_12/(lotInfo:info)", "21000020210000000043_12")</f>
        <v>0</v>
      </c>
      <c r="E357" t="s">
        <v>370</v>
      </c>
      <c r="F357" s="3" t="s">
        <v>666</v>
      </c>
      <c r="G357" t="s">
        <v>1041</v>
      </c>
      <c r="H357" s="4">
        <v>7400000</v>
      </c>
      <c r="I357" s="4">
        <v>7137.345679012346</v>
      </c>
      <c r="J357" s="5">
        <v>14.05</v>
      </c>
      <c r="K357" s="5">
        <v>17.89</v>
      </c>
      <c r="L357" s="4">
        <v>264.33</v>
      </c>
      <c r="M357">
        <v>508</v>
      </c>
      <c r="N357">
        <v>399</v>
      </c>
      <c r="O357">
        <v>27</v>
      </c>
      <c r="P357" s="6">
        <v>100</v>
      </c>
      <c r="Q357" t="s">
        <v>1162</v>
      </c>
      <c r="R357" t="s">
        <v>1164</v>
      </c>
      <c r="S357" s="2">
        <f>HYPERLINK("https://yandex.ru/maps/?&amp;text=59.427169, 56.683856", "59.427169, 56.683856")</f>
        <v>0</v>
      </c>
      <c r="T357" s="2">
        <f>HYPERLINK("D:\torgi_project\venv_torgi\cache\objs_in_district/59.427169_56.683856.json", "59.427169_56.683856.json")</f>
        <v>0</v>
      </c>
      <c r="U357" t="s">
        <v>1508</v>
      </c>
      <c r="V357" s="7" t="s">
        <v>1628</v>
      </c>
    </row>
    <row r="358" spans="1:22">
      <c r="A358" s="8">
        <v>356</v>
      </c>
      <c r="B358">
        <v>59</v>
      </c>
      <c r="C358" s="1">
        <v>78.90000000000001</v>
      </c>
      <c r="D358" s="2">
        <f>HYPERLINK("https://torgi.gov.ru/new/public/lots/lot/21000012310000000013_2/(lotInfo:info)", "21000012310000000013_2")</f>
        <v>0</v>
      </c>
      <c r="E358" t="s">
        <v>371</v>
      </c>
      <c r="F358" s="3" t="s">
        <v>580</v>
      </c>
      <c r="G358" t="s">
        <v>1042</v>
      </c>
      <c r="H358" s="4">
        <v>850000</v>
      </c>
      <c r="I358" s="4">
        <v>10773.13054499366</v>
      </c>
      <c r="J358" s="5">
        <v>3.57</v>
      </c>
      <c r="K358" s="5">
        <v>2.08</v>
      </c>
      <c r="L358" s="4">
        <v>828.6900000000001</v>
      </c>
      <c r="M358">
        <v>3014</v>
      </c>
      <c r="N358">
        <v>5173</v>
      </c>
      <c r="O358">
        <v>13</v>
      </c>
      <c r="P358" s="6">
        <v>200</v>
      </c>
      <c r="Q358" t="s">
        <v>1161</v>
      </c>
      <c r="R358" t="s">
        <v>1164</v>
      </c>
      <c r="S358" s="2">
        <f>HYPERLINK("https://yandex.ru/maps/?&amp;text=57.960743, 56.221799", "57.960743, 56.221799")</f>
        <v>0</v>
      </c>
      <c r="T358" s="2">
        <f>HYPERLINK("D:\torgi_project\venv_torgi\cache\objs_in_district/57.960743_56.221799.json", "57.960743_56.221799.json")</f>
        <v>0</v>
      </c>
      <c r="U358" t="s">
        <v>1509</v>
      </c>
      <c r="V358" s="7" t="s">
        <v>1629</v>
      </c>
    </row>
    <row r="359" spans="1:22">
      <c r="A359" s="8">
        <v>357</v>
      </c>
      <c r="B359">
        <v>59</v>
      </c>
      <c r="C359" s="1">
        <v>69.5</v>
      </c>
      <c r="D359" s="2">
        <f>HYPERLINK("https://torgi.gov.ru/new/public/lots/lot/21000020210000000040_2/(lotInfo:info)", "21000020210000000040_2")</f>
        <v>0</v>
      </c>
      <c r="E359" t="s">
        <v>372</v>
      </c>
      <c r="F359" s="3" t="s">
        <v>667</v>
      </c>
      <c r="G359" t="s">
        <v>1043</v>
      </c>
      <c r="H359" s="4">
        <v>750000</v>
      </c>
      <c r="I359" s="4">
        <v>10791.36690647482</v>
      </c>
      <c r="J359" s="5">
        <v>133.22</v>
      </c>
      <c r="K359" s="5">
        <v>17.81</v>
      </c>
      <c r="M359">
        <v>81</v>
      </c>
      <c r="N359">
        <v>606</v>
      </c>
      <c r="O359">
        <v>0</v>
      </c>
      <c r="P359" s="6">
        <v>900</v>
      </c>
      <c r="Q359" t="s">
        <v>1161</v>
      </c>
      <c r="R359" t="s">
        <v>1164</v>
      </c>
      <c r="S359" s="2">
        <f>HYPERLINK("https://yandex.ru/maps/?&amp;text=59.467821, 56.584125", "59.467821, 56.584125")</f>
        <v>0</v>
      </c>
      <c r="U359" t="s">
        <v>1510</v>
      </c>
      <c r="V359" s="7" t="s">
        <v>1628</v>
      </c>
    </row>
    <row r="360" spans="1:22">
      <c r="A360" s="8">
        <v>358</v>
      </c>
      <c r="B360">
        <v>59</v>
      </c>
      <c r="C360" s="1">
        <v>279.3</v>
      </c>
      <c r="D360" s="2">
        <f>HYPERLINK("https://torgi.gov.ru/new/public/lots/lot/21000023740000000007_1/(lotInfo:info)", "21000023740000000007_1")</f>
        <v>0</v>
      </c>
      <c r="E360" t="s">
        <v>373</v>
      </c>
      <c r="F360" s="3" t="s">
        <v>665</v>
      </c>
      <c r="G360" t="s">
        <v>1044</v>
      </c>
      <c r="H360" s="4">
        <v>3200000</v>
      </c>
      <c r="I360" s="4">
        <v>11457.21446473326</v>
      </c>
      <c r="J360" s="5">
        <v>15.76</v>
      </c>
      <c r="K360" s="5">
        <v>2.31</v>
      </c>
      <c r="L360" s="4">
        <v>440.65</v>
      </c>
      <c r="M360">
        <v>727</v>
      </c>
      <c r="N360">
        <v>4950</v>
      </c>
      <c r="O360">
        <v>26</v>
      </c>
      <c r="P360" s="6">
        <v>500</v>
      </c>
      <c r="Q360" t="s">
        <v>1161</v>
      </c>
      <c r="R360" t="s">
        <v>1164</v>
      </c>
      <c r="S360" s="2">
        <f>HYPERLINK("https://yandex.ru/maps/?&amp;text=58.466439, 56.396844", "58.466439, 56.396844")</f>
        <v>0</v>
      </c>
      <c r="T360" s="2">
        <f>HYPERLINK("D:\torgi_project\venv_torgi\cache\objs_in_district/58.466439_56.396844.json", "58.466439_56.396844.json")</f>
        <v>0</v>
      </c>
      <c r="U360" t="s">
        <v>1511</v>
      </c>
      <c r="V360" s="7" t="s">
        <v>1628</v>
      </c>
    </row>
    <row r="361" spans="1:22">
      <c r="A361" s="8">
        <v>359</v>
      </c>
      <c r="B361">
        <v>59</v>
      </c>
      <c r="C361" s="1">
        <v>279.1</v>
      </c>
      <c r="D361" s="2">
        <f>HYPERLINK("https://torgi.gov.ru/new/public/lots/lot/21000020210000000040_1/(lotInfo:info)", "21000020210000000040_1")</f>
        <v>0</v>
      </c>
      <c r="E361" t="s">
        <v>374</v>
      </c>
      <c r="F361" s="3" t="s">
        <v>667</v>
      </c>
      <c r="G361" t="s">
        <v>1045</v>
      </c>
      <c r="H361" s="4">
        <v>4200000</v>
      </c>
      <c r="I361" s="4">
        <v>15048.36975994267</v>
      </c>
      <c r="J361" s="5">
        <v>40.89</v>
      </c>
      <c r="K361" s="5">
        <v>31.75</v>
      </c>
      <c r="L361" s="4">
        <v>2149.71</v>
      </c>
      <c r="M361">
        <v>368</v>
      </c>
      <c r="N361">
        <v>474</v>
      </c>
      <c r="O361">
        <v>7</v>
      </c>
      <c r="P361" s="6">
        <v>300</v>
      </c>
      <c r="Q361" t="s">
        <v>1161</v>
      </c>
      <c r="R361" t="s">
        <v>1164</v>
      </c>
      <c r="S361" s="2">
        <f>HYPERLINK("https://yandex.ru/maps/?&amp;text=59.426977, 56.688069", "59.426977, 56.688069")</f>
        <v>0</v>
      </c>
      <c r="T361" s="2">
        <f>HYPERLINK("D:\torgi_project\venv_torgi\cache\objs_in_district/59.426977_56.688069.json", "59.426977_56.688069.json")</f>
        <v>0</v>
      </c>
      <c r="U361" t="s">
        <v>1512</v>
      </c>
      <c r="V361" s="7" t="s">
        <v>1628</v>
      </c>
    </row>
    <row r="362" spans="1:22">
      <c r="A362" s="8">
        <v>360</v>
      </c>
      <c r="B362">
        <v>59</v>
      </c>
      <c r="C362" s="1">
        <v>179.1</v>
      </c>
      <c r="D362" s="2">
        <f>HYPERLINK("https://torgi.gov.ru/new/public/lots/lot/21000020210000000043_15/(lotInfo:info)", "21000020210000000043_15")</f>
        <v>0</v>
      </c>
      <c r="E362" t="s">
        <v>375</v>
      </c>
      <c r="F362" s="3" t="s">
        <v>666</v>
      </c>
      <c r="G362" t="s">
        <v>1046</v>
      </c>
      <c r="H362" s="4">
        <v>3000000</v>
      </c>
      <c r="I362" s="4">
        <v>16750.41876046901</v>
      </c>
      <c r="J362" s="5">
        <v>6.56</v>
      </c>
      <c r="K362" s="5">
        <v>5.07</v>
      </c>
      <c r="L362" s="4">
        <v>761.36</v>
      </c>
      <c r="M362">
        <v>2555</v>
      </c>
      <c r="N362">
        <v>3306</v>
      </c>
      <c r="O362">
        <v>22</v>
      </c>
      <c r="P362" s="6">
        <v>500</v>
      </c>
      <c r="Q362" t="s">
        <v>1162</v>
      </c>
      <c r="R362" t="s">
        <v>1164</v>
      </c>
      <c r="S362" s="2">
        <f>HYPERLINK("https://yandex.ru/maps/?&amp;text=59.411452, 56.782779", "59.411452, 56.782779")</f>
        <v>0</v>
      </c>
      <c r="T362" s="2">
        <f>HYPERLINK("D:\torgi_project\venv_torgi\cache\objs_in_district/59.411452_56.782779.json", "59.411452_56.782779.json")</f>
        <v>0</v>
      </c>
      <c r="U362" t="s">
        <v>1513</v>
      </c>
      <c r="V362" s="7" t="s">
        <v>1628</v>
      </c>
    </row>
    <row r="363" spans="1:22">
      <c r="A363" s="8">
        <v>361</v>
      </c>
      <c r="B363">
        <v>59</v>
      </c>
      <c r="C363" s="1">
        <v>111.1</v>
      </c>
      <c r="D363" s="2">
        <f>HYPERLINK("https://torgi.gov.ru/new/public/lots/lot/21000020210000000043_14/(lotInfo:info)", "21000020210000000043_14")</f>
        <v>0</v>
      </c>
      <c r="E363" t="s">
        <v>376</v>
      </c>
      <c r="F363" s="3" t="s">
        <v>666</v>
      </c>
      <c r="G363" t="s">
        <v>1046</v>
      </c>
      <c r="H363" s="4">
        <v>2000000</v>
      </c>
      <c r="I363" s="4">
        <v>18001.800180018</v>
      </c>
      <c r="J363" s="5">
        <v>7.05</v>
      </c>
      <c r="K363" s="5">
        <v>5.44</v>
      </c>
      <c r="L363" s="4">
        <v>818.23</v>
      </c>
      <c r="M363">
        <v>2555</v>
      </c>
      <c r="N363">
        <v>3306</v>
      </c>
      <c r="O363">
        <v>22</v>
      </c>
      <c r="P363" s="6">
        <v>500</v>
      </c>
      <c r="Q363" t="s">
        <v>1162</v>
      </c>
      <c r="R363" t="s">
        <v>1164</v>
      </c>
      <c r="S363" s="2">
        <f>HYPERLINK("https://yandex.ru/maps/?&amp;text=59.411452, 56.782779", "59.411452, 56.782779")</f>
        <v>0</v>
      </c>
      <c r="T363" s="2">
        <f>HYPERLINK("D:\torgi_project\venv_torgi\cache\objs_in_district/59.411452_56.782779.json", "59.411452_56.782779.json")</f>
        <v>0</v>
      </c>
      <c r="U363" t="s">
        <v>1514</v>
      </c>
      <c r="V363" s="7" t="s">
        <v>1628</v>
      </c>
    </row>
    <row r="364" spans="1:22">
      <c r="A364" s="8">
        <v>362</v>
      </c>
      <c r="B364">
        <v>59</v>
      </c>
      <c r="C364" s="1">
        <v>129.8</v>
      </c>
      <c r="D364" s="2">
        <f>HYPERLINK("https://torgi.gov.ru/new/public/lots/lot/21000020210000000043_7/(lotInfo:info)", "21000020210000000043_7")</f>
        <v>0</v>
      </c>
      <c r="E364" t="s">
        <v>377</v>
      </c>
      <c r="F364" s="3" t="s">
        <v>666</v>
      </c>
      <c r="G364" t="s">
        <v>1041</v>
      </c>
      <c r="H364" s="4">
        <v>3000000</v>
      </c>
      <c r="I364" s="4">
        <v>23112.48073959938</v>
      </c>
      <c r="J364" s="5">
        <v>45.5</v>
      </c>
      <c r="K364" s="5">
        <v>57.92</v>
      </c>
      <c r="L364" s="4">
        <v>856</v>
      </c>
      <c r="M364">
        <v>508</v>
      </c>
      <c r="N364">
        <v>399</v>
      </c>
      <c r="O364">
        <v>27</v>
      </c>
      <c r="P364" s="6">
        <v>100</v>
      </c>
      <c r="Q364" t="s">
        <v>1162</v>
      </c>
      <c r="R364" t="s">
        <v>1164</v>
      </c>
      <c r="S364" s="2">
        <f>HYPERLINK("https://yandex.ru/maps/?&amp;text=59.427169, 56.683856", "59.427169, 56.683856")</f>
        <v>0</v>
      </c>
      <c r="T364" s="2">
        <f>HYPERLINK("D:\torgi_project\venv_torgi\cache\objs_in_district/59.427169_56.683856.json", "59.427169_56.683856.json")</f>
        <v>0</v>
      </c>
      <c r="U364" t="s">
        <v>1515</v>
      </c>
      <c r="V364" s="7" t="s">
        <v>1628</v>
      </c>
    </row>
    <row r="365" spans="1:22">
      <c r="A365" s="8">
        <v>363</v>
      </c>
      <c r="B365">
        <v>59</v>
      </c>
      <c r="C365" s="1">
        <v>188.6</v>
      </c>
      <c r="D365" s="2">
        <f>HYPERLINK("https://torgi.gov.ru/new/public/lots/lot/21000020210000000043_8/(lotInfo:info)", "21000020210000000043_8")</f>
        <v>0</v>
      </c>
      <c r="E365" t="s">
        <v>378</v>
      </c>
      <c r="F365" s="3" t="s">
        <v>666</v>
      </c>
      <c r="G365" t="s">
        <v>1047</v>
      </c>
      <c r="H365" s="4">
        <v>4700000</v>
      </c>
      <c r="I365" s="4">
        <v>24920.46659597031</v>
      </c>
      <c r="J365" s="5">
        <v>12.91</v>
      </c>
      <c r="K365" s="5">
        <v>5.15</v>
      </c>
      <c r="L365" s="4">
        <v>922.96</v>
      </c>
      <c r="M365">
        <v>1931</v>
      </c>
      <c r="N365">
        <v>4839</v>
      </c>
      <c r="O365">
        <v>27</v>
      </c>
      <c r="P365" s="6">
        <v>200</v>
      </c>
      <c r="Q365" t="s">
        <v>1162</v>
      </c>
      <c r="R365" t="s">
        <v>1164</v>
      </c>
      <c r="S365" s="2">
        <f>HYPERLINK("https://yandex.ru/maps/?&amp;text=59.393259, 56.846227", "59.393259, 56.846227")</f>
        <v>0</v>
      </c>
      <c r="T365" s="2">
        <f>HYPERLINK("D:\torgi_project\venv_torgi\cache\objs_in_district/59.393259_56.846227.json", "59.393259_56.846227.json")</f>
        <v>0</v>
      </c>
      <c r="U365" t="s">
        <v>1516</v>
      </c>
      <c r="V365" s="7" t="s">
        <v>1628</v>
      </c>
    </row>
    <row r="366" spans="1:22">
      <c r="A366" s="8">
        <v>364</v>
      </c>
      <c r="B366">
        <v>59</v>
      </c>
      <c r="C366" s="1">
        <v>175.5</v>
      </c>
      <c r="D366" s="2">
        <f>HYPERLINK("https://torgi.gov.ru/new/public/lots/lot/21000020210000000043_9/(lotInfo:info)", "21000020210000000043_9")</f>
        <v>0</v>
      </c>
      <c r="E366" t="s">
        <v>379</v>
      </c>
      <c r="F366" s="3" t="s">
        <v>666</v>
      </c>
      <c r="G366" t="s">
        <v>1048</v>
      </c>
      <c r="H366" s="4">
        <v>4500000</v>
      </c>
      <c r="I366" s="4">
        <v>25641.02564102564</v>
      </c>
      <c r="J366" s="5">
        <v>11.04</v>
      </c>
      <c r="K366" s="5">
        <v>4.65</v>
      </c>
      <c r="L366" s="4">
        <v>569.8</v>
      </c>
      <c r="M366">
        <v>2322</v>
      </c>
      <c r="N366">
        <v>5520</v>
      </c>
      <c r="O366">
        <v>45</v>
      </c>
      <c r="P366" s="6">
        <v>900</v>
      </c>
      <c r="Q366" t="s">
        <v>1162</v>
      </c>
      <c r="R366" t="s">
        <v>1164</v>
      </c>
      <c r="S366" s="2">
        <f>HYPERLINK("https://yandex.ru/maps/?&amp;text=59.407633, 56.842822", "59.407633, 56.842822")</f>
        <v>0</v>
      </c>
      <c r="T366" s="2">
        <f>HYPERLINK("D:\torgi_project\venv_torgi\cache\objs_in_district/59.407633_56.842822.json", "59.407633_56.842822.json")</f>
        <v>0</v>
      </c>
      <c r="U366" t="s">
        <v>1517</v>
      </c>
      <c r="V366" s="7" t="s">
        <v>1628</v>
      </c>
    </row>
    <row r="367" spans="1:22">
      <c r="A367" s="8">
        <v>365</v>
      </c>
      <c r="B367">
        <v>59</v>
      </c>
      <c r="C367" s="1">
        <v>115.6</v>
      </c>
      <c r="D367" s="2">
        <f>HYPERLINK("https://torgi.gov.ru/new/public/lots/lot/21000020210000000043_10/(lotInfo:info)", "21000020210000000043_10")</f>
        <v>0</v>
      </c>
      <c r="E367" t="s">
        <v>380</v>
      </c>
      <c r="F367" s="3" t="s">
        <v>666</v>
      </c>
      <c r="G367" t="s">
        <v>1049</v>
      </c>
      <c r="H367" s="4">
        <v>3000000</v>
      </c>
      <c r="I367" s="4">
        <v>25951.55709342561</v>
      </c>
      <c r="J367" s="5">
        <v>35.75</v>
      </c>
      <c r="K367" s="5">
        <v>8.210000000000001</v>
      </c>
      <c r="L367" s="4">
        <v>2595.1</v>
      </c>
      <c r="M367">
        <v>726</v>
      </c>
      <c r="N367">
        <v>3159</v>
      </c>
      <c r="O367">
        <v>10</v>
      </c>
      <c r="P367" s="6">
        <v>1100</v>
      </c>
      <c r="Q367" t="s">
        <v>1162</v>
      </c>
      <c r="R367" t="s">
        <v>1164</v>
      </c>
      <c r="S367" s="2">
        <f>HYPERLINK("https://yandex.ru/maps/?&amp;text=59.398715, 56.857959", "59.398715, 56.857959")</f>
        <v>0</v>
      </c>
      <c r="T367" s="2">
        <f>HYPERLINK("D:\torgi_project\venv_torgi\cache\objs_in_district/59.398715_56.857959.json", "59.398715_56.857959.json")</f>
        <v>0</v>
      </c>
      <c r="U367" t="s">
        <v>1518</v>
      </c>
    </row>
    <row r="368" spans="1:22">
      <c r="A368" s="8">
        <v>366</v>
      </c>
      <c r="B368">
        <v>59</v>
      </c>
      <c r="C368" s="1">
        <v>30.5</v>
      </c>
      <c r="D368" s="2">
        <f>HYPERLINK("https://torgi.gov.ru/new/public/lots/lot/21000020210000000043_4/(lotInfo:info)", "21000020210000000043_4")</f>
        <v>0</v>
      </c>
      <c r="E368" t="s">
        <v>381</v>
      </c>
      <c r="F368" s="3" t="s">
        <v>666</v>
      </c>
      <c r="G368" t="s">
        <v>1050</v>
      </c>
      <c r="H368" s="4">
        <v>800000</v>
      </c>
      <c r="I368" s="4">
        <v>26229.50819672131</v>
      </c>
      <c r="J368" s="5">
        <v>11.3</v>
      </c>
      <c r="K368" s="5">
        <v>4.75</v>
      </c>
      <c r="L368" s="4">
        <v>582.87</v>
      </c>
      <c r="M368">
        <v>2322</v>
      </c>
      <c r="N368">
        <v>5520</v>
      </c>
      <c r="O368">
        <v>45</v>
      </c>
      <c r="P368" s="6">
        <v>900</v>
      </c>
      <c r="Q368" t="s">
        <v>1162</v>
      </c>
      <c r="R368" t="s">
        <v>1164</v>
      </c>
      <c r="S368" s="2">
        <f>HYPERLINK("https://yandex.ru/maps/?&amp;text=59.407633, 56.842822", "59.407633, 56.842822")</f>
        <v>0</v>
      </c>
      <c r="T368" s="2">
        <f>HYPERLINK("D:\torgi_project\venv_torgi\cache\objs_in_district/59.407633_56.842822.json", "59.407633_56.842822.json")</f>
        <v>0</v>
      </c>
      <c r="U368" t="s">
        <v>1519</v>
      </c>
      <c r="V368" s="7" t="s">
        <v>1628</v>
      </c>
    </row>
    <row r="369" spans="1:22">
      <c r="A369" s="8">
        <v>367</v>
      </c>
      <c r="B369">
        <v>59</v>
      </c>
      <c r="C369" s="1">
        <v>33.8</v>
      </c>
      <c r="D369" s="2">
        <f>HYPERLINK("https://torgi.gov.ru/new/public/lots/lot/21000020210000000043_2/(lotInfo:info)", "21000020210000000043_2")</f>
        <v>0</v>
      </c>
      <c r="E369" t="s">
        <v>382</v>
      </c>
      <c r="F369" s="3" t="s">
        <v>666</v>
      </c>
      <c r="G369" t="s">
        <v>1051</v>
      </c>
      <c r="H369" s="4">
        <v>1000000</v>
      </c>
      <c r="I369" s="4">
        <v>29585.79881656805</v>
      </c>
      <c r="J369" s="5">
        <v>12.74</v>
      </c>
      <c r="K369" s="5">
        <v>4.34</v>
      </c>
      <c r="L369" s="4">
        <v>469.6</v>
      </c>
      <c r="M369">
        <v>2322</v>
      </c>
      <c r="N369">
        <v>6822</v>
      </c>
      <c r="O369">
        <v>63</v>
      </c>
      <c r="P369" s="6">
        <v>400</v>
      </c>
      <c r="Q369" t="s">
        <v>1162</v>
      </c>
      <c r="R369" t="s">
        <v>1164</v>
      </c>
      <c r="S369" s="2">
        <f>HYPERLINK("https://yandex.ru/maps/?&amp;text=59.4084686, 56.8472427", "59.4084686, 56.8472427")</f>
        <v>0</v>
      </c>
      <c r="T369" s="2">
        <f>HYPERLINK("D:\torgi_project\venv_torgi\cache\objs_in_district/59.4084686_56.8472427.json", "59.4084686_56.8472427.json")</f>
        <v>0</v>
      </c>
      <c r="U369" t="s">
        <v>1520</v>
      </c>
      <c r="V369" s="7" t="s">
        <v>1628</v>
      </c>
    </row>
    <row r="370" spans="1:22">
      <c r="A370" s="8">
        <v>368</v>
      </c>
      <c r="B370">
        <v>59</v>
      </c>
      <c r="C370" s="1">
        <v>55.7</v>
      </c>
      <c r="D370" s="2">
        <f>HYPERLINK("https://torgi.gov.ru/new/public/lots/lot/21000020210000000043_11/(lotInfo:info)", "21000020210000000043_11")</f>
        <v>0</v>
      </c>
      <c r="E370" t="s">
        <v>383</v>
      </c>
      <c r="F370" s="3" t="s">
        <v>666</v>
      </c>
      <c r="G370" t="s">
        <v>1052</v>
      </c>
      <c r="H370" s="4">
        <v>1700000</v>
      </c>
      <c r="I370" s="4">
        <v>30520.64631956912</v>
      </c>
      <c r="J370" s="5">
        <v>16.48</v>
      </c>
      <c r="K370" s="5">
        <v>4.72</v>
      </c>
      <c r="L370" s="4">
        <v>1090</v>
      </c>
      <c r="M370">
        <v>1852</v>
      </c>
      <c r="N370">
        <v>6465</v>
      </c>
      <c r="O370">
        <v>28</v>
      </c>
      <c r="P370" s="6">
        <v>400</v>
      </c>
      <c r="Q370" t="s">
        <v>1162</v>
      </c>
      <c r="R370" t="s">
        <v>1164</v>
      </c>
      <c r="S370" s="2">
        <f>HYPERLINK("https://yandex.ru/maps/?&amp;text=59.399659, 56.845481", "59.399659, 56.845481")</f>
        <v>0</v>
      </c>
      <c r="T370" s="2">
        <f>HYPERLINK("D:\torgi_project\venv_torgi\cache\objs_in_district/59.399659_56.845481.json", "59.399659_56.845481.json")</f>
        <v>0</v>
      </c>
      <c r="U370" t="s">
        <v>1521</v>
      </c>
      <c r="V370" s="7" t="s">
        <v>1628</v>
      </c>
    </row>
    <row r="371" spans="1:22">
      <c r="A371" s="8">
        <v>369</v>
      </c>
      <c r="B371">
        <v>59</v>
      </c>
      <c r="C371" s="1">
        <v>99.59999999999999</v>
      </c>
      <c r="D371" s="2">
        <f>HYPERLINK("https://torgi.gov.ru/new/public/lots/lot/22000007330000000028_1/(lotInfo:info)", "22000007330000000028_1")</f>
        <v>0</v>
      </c>
      <c r="E371" t="s">
        <v>384</v>
      </c>
      <c r="F371" s="3" t="s">
        <v>668</v>
      </c>
      <c r="G371" t="s">
        <v>1053</v>
      </c>
      <c r="H371" s="4">
        <v>3810000</v>
      </c>
      <c r="I371" s="4">
        <v>38253.01204819277</v>
      </c>
      <c r="J371" s="5">
        <v>8.17</v>
      </c>
      <c r="K371" s="5">
        <v>4.31</v>
      </c>
      <c r="L371" s="4">
        <v>406.95</v>
      </c>
      <c r="M371">
        <v>4681</v>
      </c>
      <c r="N371">
        <v>8877</v>
      </c>
      <c r="O371">
        <v>94</v>
      </c>
      <c r="P371" s="6">
        <v>700</v>
      </c>
      <c r="Q371" t="s">
        <v>1161</v>
      </c>
      <c r="R371" t="s">
        <v>1165</v>
      </c>
      <c r="S371" s="2">
        <f>HYPERLINK("https://yandex.ru/maps/?&amp;text=58.005386, 56.240582", "58.005386, 56.240582")</f>
        <v>0</v>
      </c>
      <c r="T371" s="2">
        <f>HYPERLINK("D:\torgi_project\venv_torgi\cache\objs_in_district/58.005386_56.240582.json", "58.005386_56.240582.json")</f>
        <v>0</v>
      </c>
    </row>
    <row r="372" spans="1:22">
      <c r="A372" s="8">
        <v>370</v>
      </c>
      <c r="B372">
        <v>59</v>
      </c>
      <c r="C372" s="1">
        <v>205.8</v>
      </c>
      <c r="D372" s="2">
        <f>HYPERLINK("https://torgi.gov.ru/new/public/lots/lot/21000020210000000043_1/(lotInfo:info)", "21000020210000000043_1")</f>
        <v>0</v>
      </c>
      <c r="E372" t="s">
        <v>385</v>
      </c>
      <c r="F372" s="3" t="s">
        <v>666</v>
      </c>
      <c r="G372" t="s">
        <v>1054</v>
      </c>
      <c r="H372" s="4">
        <v>8000000</v>
      </c>
      <c r="I372" s="4">
        <v>38872.69193391642</v>
      </c>
      <c r="J372" s="5">
        <v>15.56</v>
      </c>
      <c r="K372" s="5">
        <v>6.3</v>
      </c>
      <c r="L372" s="4">
        <v>904</v>
      </c>
      <c r="M372">
        <v>2498</v>
      </c>
      <c r="N372">
        <v>6174</v>
      </c>
      <c r="O372">
        <v>43</v>
      </c>
      <c r="P372" s="6">
        <v>600</v>
      </c>
      <c r="Q372" t="s">
        <v>1162</v>
      </c>
      <c r="R372" t="s">
        <v>1164</v>
      </c>
      <c r="S372" s="2">
        <f>HYPERLINK("https://yandex.ru/maps/?&amp;text=59.404262, 56.812648", "59.404262, 56.812648")</f>
        <v>0</v>
      </c>
      <c r="T372" s="2">
        <f>HYPERLINK("D:\torgi_project\venv_torgi\cache\objs_in_district/59.404262_56.812648.json", "59.404262_56.812648.json")</f>
        <v>0</v>
      </c>
      <c r="U372" t="s">
        <v>1522</v>
      </c>
      <c r="V372" s="7" t="s">
        <v>1628</v>
      </c>
    </row>
    <row r="373" spans="1:22">
      <c r="A373" s="8">
        <v>371</v>
      </c>
      <c r="B373">
        <v>59</v>
      </c>
      <c r="C373" s="1">
        <v>38.5</v>
      </c>
      <c r="D373" s="2">
        <f>HYPERLINK("https://torgi.gov.ru/new/public/lots/lot/22000007330000000021_10/(lotInfo:info)", "22000007330000000021_10")</f>
        <v>0</v>
      </c>
      <c r="E373" t="s">
        <v>386</v>
      </c>
      <c r="F373" s="3" t="s">
        <v>669</v>
      </c>
      <c r="G373" t="s">
        <v>1055</v>
      </c>
      <c r="H373" s="4">
        <v>1619000</v>
      </c>
      <c r="I373" s="4">
        <v>42051.94805194805</v>
      </c>
      <c r="J373" s="5">
        <v>21.41</v>
      </c>
      <c r="K373" s="5">
        <v>19.33</v>
      </c>
      <c r="L373" s="4">
        <v>764.5599999999999</v>
      </c>
      <c r="M373">
        <v>1964</v>
      </c>
      <c r="N373">
        <v>2175</v>
      </c>
      <c r="O373">
        <v>55</v>
      </c>
      <c r="P373" s="6">
        <v>500</v>
      </c>
      <c r="Q373" t="s">
        <v>1161</v>
      </c>
      <c r="R373" t="s">
        <v>1165</v>
      </c>
      <c r="S373" s="2">
        <f>HYPERLINK("https://yandex.ru/maps/?&amp;text=58.084439, 55.751387", "58.084439, 55.751387")</f>
        <v>0</v>
      </c>
      <c r="T373" s="2">
        <f>HYPERLINK("D:\torgi_project\venv_torgi\cache\objs_in_district/58.084439_55.751387.json", "58.084439_55.751387.json")</f>
        <v>0</v>
      </c>
      <c r="U373" t="s">
        <v>1523</v>
      </c>
    </row>
    <row r="374" spans="1:22">
      <c r="A374" s="8">
        <v>372</v>
      </c>
      <c r="B374">
        <v>59</v>
      </c>
      <c r="C374" s="1">
        <v>45.9</v>
      </c>
      <c r="D374" s="2">
        <f>HYPERLINK("https://torgi.gov.ru/new/public/lots/lot/21000020210000000043_23/(lotInfo:info)", "21000020210000000043_23")</f>
        <v>0</v>
      </c>
      <c r="E374" t="s">
        <v>387</v>
      </c>
      <c r="F374" s="3" t="s">
        <v>666</v>
      </c>
      <c r="G374" t="s">
        <v>1054</v>
      </c>
      <c r="H374" s="4">
        <v>3000000</v>
      </c>
      <c r="I374" s="4">
        <v>65359.47712418301</v>
      </c>
      <c r="J374" s="5">
        <v>26.16</v>
      </c>
      <c r="K374" s="5">
        <v>10.59</v>
      </c>
      <c r="L374" s="4">
        <v>1519.98</v>
      </c>
      <c r="M374">
        <v>2498</v>
      </c>
      <c r="N374">
        <v>6174</v>
      </c>
      <c r="O374">
        <v>43</v>
      </c>
      <c r="P374" s="6">
        <v>600</v>
      </c>
      <c r="Q374" t="s">
        <v>1162</v>
      </c>
      <c r="R374" t="s">
        <v>1164</v>
      </c>
      <c r="S374" s="2">
        <f>HYPERLINK("https://yandex.ru/maps/?&amp;text=59.404262, 56.812648", "59.404262, 56.812648")</f>
        <v>0</v>
      </c>
      <c r="T374" s="2">
        <f>HYPERLINK("D:\torgi_project\venv_torgi\cache\objs_in_district/59.404262_56.812648.json", "59.404262_56.812648.json")</f>
        <v>0</v>
      </c>
      <c r="U374" t="s">
        <v>1524</v>
      </c>
      <c r="V374" s="7" t="s">
        <v>1629</v>
      </c>
    </row>
    <row r="375" spans="1:22">
      <c r="A375" s="8">
        <v>373</v>
      </c>
      <c r="B375">
        <v>59</v>
      </c>
      <c r="C375" s="1">
        <v>29.6</v>
      </c>
      <c r="D375" s="2">
        <f>HYPERLINK("https://torgi.gov.ru/new/public/lots/lot/21000020210000000043_22/(lotInfo:info)", "21000020210000000043_22")</f>
        <v>0</v>
      </c>
      <c r="E375" t="s">
        <v>388</v>
      </c>
      <c r="F375" s="3" t="s">
        <v>666</v>
      </c>
      <c r="G375" t="s">
        <v>1054</v>
      </c>
      <c r="H375" s="4">
        <v>2000000</v>
      </c>
      <c r="I375" s="4">
        <v>67567.56756756756</v>
      </c>
      <c r="J375" s="5">
        <v>27.05</v>
      </c>
      <c r="K375" s="5">
        <v>10.94</v>
      </c>
      <c r="L375" s="4">
        <v>1571.33</v>
      </c>
      <c r="M375">
        <v>2498</v>
      </c>
      <c r="N375">
        <v>6174</v>
      </c>
      <c r="O375">
        <v>43</v>
      </c>
      <c r="P375" s="6">
        <v>600</v>
      </c>
      <c r="Q375" t="s">
        <v>1162</v>
      </c>
      <c r="R375" t="s">
        <v>1164</v>
      </c>
      <c r="S375" s="2">
        <f>HYPERLINK("https://yandex.ru/maps/?&amp;text=59.404262, 56.812648", "59.404262, 56.812648")</f>
        <v>0</v>
      </c>
      <c r="T375" s="2">
        <f>HYPERLINK("D:\torgi_project\venv_torgi\cache\objs_in_district/59.404262_56.812648.json", "59.404262_56.812648.json")</f>
        <v>0</v>
      </c>
      <c r="U375" t="s">
        <v>1525</v>
      </c>
    </row>
    <row r="376" spans="1:22">
      <c r="A376" s="8">
        <v>374</v>
      </c>
      <c r="B376">
        <v>59</v>
      </c>
      <c r="C376" s="1">
        <v>68.3</v>
      </c>
      <c r="D376" s="2">
        <f>HYPERLINK("https://torgi.gov.ru/new/public/lots/lot/21000020210000000043_21/(lotInfo:info)", "21000020210000000043_21")</f>
        <v>0</v>
      </c>
      <c r="E376" t="s">
        <v>389</v>
      </c>
      <c r="F376" s="3" t="s">
        <v>666</v>
      </c>
      <c r="G376" t="s">
        <v>1056</v>
      </c>
      <c r="H376" s="4">
        <v>5000000</v>
      </c>
      <c r="I376" s="4">
        <v>73206.4421669107</v>
      </c>
      <c r="J376" s="5">
        <v>26.68</v>
      </c>
      <c r="K376" s="5">
        <v>18.83</v>
      </c>
      <c r="L376" s="4">
        <v>2815.62</v>
      </c>
      <c r="M376">
        <v>2744</v>
      </c>
      <c r="N376">
        <v>3888</v>
      </c>
      <c r="O376">
        <v>26</v>
      </c>
      <c r="P376" s="6">
        <v>1400</v>
      </c>
      <c r="Q376" t="s">
        <v>1162</v>
      </c>
      <c r="R376" t="s">
        <v>1164</v>
      </c>
      <c r="S376" s="2">
        <f>HYPERLINK("https://yandex.ru/maps/?&amp;text=59.401554, 56.800457", "59.401554, 56.800457")</f>
        <v>0</v>
      </c>
      <c r="T376" s="2">
        <f>HYPERLINK("D:\torgi_project\venv_torgi\cache\objs_in_district/59.401554_56.800457.json", "59.401554_56.800457.json")</f>
        <v>0</v>
      </c>
      <c r="U376" t="s">
        <v>1526</v>
      </c>
      <c r="V376" s="7" t="s">
        <v>1628</v>
      </c>
    </row>
    <row r="377" spans="1:22">
      <c r="A377" s="8">
        <v>375</v>
      </c>
      <c r="B377">
        <v>60</v>
      </c>
      <c r="C377" s="1">
        <v>34</v>
      </c>
      <c r="D377" s="2">
        <f>HYPERLINK("https://torgi.gov.ru/new/public/lots/lot/21000004510000000027_1/(lotInfo:info)", "21000004510000000027_1")</f>
        <v>0</v>
      </c>
      <c r="E377" t="s">
        <v>390</v>
      </c>
      <c r="F377" s="3" t="s">
        <v>670</v>
      </c>
      <c r="G377" t="s">
        <v>1057</v>
      </c>
      <c r="H377" s="4">
        <v>652000</v>
      </c>
      <c r="I377" s="4">
        <v>19176.47058823529</v>
      </c>
      <c r="J377" s="5">
        <v>204</v>
      </c>
      <c r="K377" s="5">
        <v>9.970000000000001</v>
      </c>
      <c r="L377" s="4">
        <v>249.04</v>
      </c>
      <c r="M377">
        <v>94</v>
      </c>
      <c r="N377">
        <v>1923</v>
      </c>
      <c r="O377">
        <v>77</v>
      </c>
      <c r="P377" s="6">
        <v>800</v>
      </c>
      <c r="Q377" t="s">
        <v>1161</v>
      </c>
      <c r="R377" t="s">
        <v>1164</v>
      </c>
      <c r="S377" s="2">
        <f>HYPERLINK("https://yandex.ru/maps/?&amp;text=57.811028, 28.334715", "57.811028, 28.334715")</f>
        <v>0</v>
      </c>
      <c r="T377" s="2">
        <f>HYPERLINK("D:\torgi_project\venv_torgi\cache\objs_in_district/57.811028_28.334715.json", "57.811028_28.334715.json")</f>
        <v>0</v>
      </c>
      <c r="U377" t="s">
        <v>1527</v>
      </c>
      <c r="V377" s="7" t="s">
        <v>1629</v>
      </c>
    </row>
    <row r="378" spans="1:22">
      <c r="A378" s="8">
        <v>376</v>
      </c>
      <c r="B378">
        <v>60</v>
      </c>
      <c r="C378" s="1">
        <v>116.8</v>
      </c>
      <c r="D378" s="2">
        <f>HYPERLINK("https://torgi.gov.ru/new/public/lots/lot/21000004510000000028_1/(lotInfo:info)", "21000004510000000028_1")</f>
        <v>0</v>
      </c>
      <c r="E378" t="s">
        <v>391</v>
      </c>
      <c r="F378" s="3" t="s">
        <v>670</v>
      </c>
      <c r="G378" t="s">
        <v>1058</v>
      </c>
      <c r="H378" s="4">
        <v>2524000</v>
      </c>
      <c r="I378" s="4">
        <v>21609.58904109589</v>
      </c>
      <c r="J378" s="5">
        <v>113.14</v>
      </c>
      <c r="K378" s="5">
        <v>4.89</v>
      </c>
      <c r="L378" s="4">
        <v>654.8200000000001</v>
      </c>
      <c r="M378">
        <v>191</v>
      </c>
      <c r="N378">
        <v>4419</v>
      </c>
      <c r="O378">
        <v>33</v>
      </c>
      <c r="P378" s="6">
        <v>300</v>
      </c>
      <c r="Q378" t="s">
        <v>1161</v>
      </c>
      <c r="R378" t="s">
        <v>1164</v>
      </c>
      <c r="S378" s="2">
        <f>HYPERLINK("https://yandex.ru/maps/?&amp;text=57.836933, 28.291775", "57.836933, 28.291775")</f>
        <v>0</v>
      </c>
      <c r="T378" s="2">
        <f>HYPERLINK("D:\torgi_project\venv_torgi\cache\objs_in_district/57.836933_28.291775.json", "57.836933_28.291775.json")</f>
        <v>0</v>
      </c>
      <c r="U378" t="s">
        <v>1527</v>
      </c>
      <c r="V378" s="7" t="s">
        <v>1628</v>
      </c>
    </row>
    <row r="379" spans="1:22">
      <c r="A379" s="8">
        <v>377</v>
      </c>
      <c r="B379">
        <v>61</v>
      </c>
      <c r="C379" s="1">
        <v>72</v>
      </c>
      <c r="D379" s="2">
        <f>HYPERLINK("https://torgi.gov.ru/new/public/lots/lot/21000021890000000006_4/(lotInfo:info)", "21000021890000000006_4")</f>
        <v>0</v>
      </c>
      <c r="E379" t="s">
        <v>392</v>
      </c>
      <c r="F379" s="3" t="s">
        <v>637</v>
      </c>
      <c r="G379" t="s">
        <v>1059</v>
      </c>
      <c r="H379" s="4">
        <v>593928</v>
      </c>
      <c r="I379" s="4">
        <v>8249</v>
      </c>
      <c r="J379" s="5">
        <v>2.45</v>
      </c>
      <c r="K379" s="5">
        <v>1.22</v>
      </c>
      <c r="L379" s="4">
        <v>137.48</v>
      </c>
      <c r="M379">
        <v>3372</v>
      </c>
      <c r="N379">
        <v>6771</v>
      </c>
      <c r="O379">
        <v>60</v>
      </c>
      <c r="P379" s="6">
        <v>300</v>
      </c>
      <c r="Q379" t="s">
        <v>1161</v>
      </c>
      <c r="R379" t="s">
        <v>1164</v>
      </c>
      <c r="S379" s="2">
        <f>HYPERLINK("https://yandex.ru/maps/?&amp;text=47.215425, 38.931107", "47.215425, 38.931107")</f>
        <v>0</v>
      </c>
      <c r="T379" s="2">
        <f>HYPERLINK("D:\torgi_project\venv_torgi\cache\objs_in_district/47.215425_38.931107.json", "47.215425_38.931107.json")</f>
        <v>0</v>
      </c>
      <c r="U379" t="s">
        <v>1528</v>
      </c>
    </row>
    <row r="380" spans="1:22">
      <c r="A380" s="8">
        <v>378</v>
      </c>
      <c r="B380">
        <v>61</v>
      </c>
      <c r="C380" s="1">
        <v>52.1</v>
      </c>
      <c r="D380" s="2">
        <f>HYPERLINK("https://torgi.gov.ru/new/public/lots/lot/21000027130000000003_3/(lotInfo:info)", "21000027130000000003_3")</f>
        <v>0</v>
      </c>
      <c r="E380" t="s">
        <v>393</v>
      </c>
      <c r="F380" s="3" t="s">
        <v>545</v>
      </c>
      <c r="G380" t="s">
        <v>1060</v>
      </c>
      <c r="H380" s="4">
        <v>660000</v>
      </c>
      <c r="I380" s="4">
        <v>12667.9462571977</v>
      </c>
      <c r="J380" s="5">
        <v>5.41</v>
      </c>
      <c r="K380" s="5">
        <v>2.44</v>
      </c>
      <c r="L380" s="4">
        <v>603.1900000000001</v>
      </c>
      <c r="M380">
        <v>2341</v>
      </c>
      <c r="N380">
        <v>5187</v>
      </c>
      <c r="O380">
        <v>21</v>
      </c>
      <c r="P380" s="6">
        <v>200</v>
      </c>
      <c r="Q380" t="s">
        <v>1161</v>
      </c>
      <c r="R380" t="s">
        <v>1164</v>
      </c>
      <c r="S380" s="2">
        <f>HYPERLINK("https://yandex.ru/maps/?&amp;text=47.487873, 40.093599", "47.487873, 40.093599")</f>
        <v>0</v>
      </c>
      <c r="T380" s="2">
        <f>HYPERLINK("D:\torgi_project\venv_torgi\cache\objs_in_district/47.487873_40.093599.json", "47.487873_40.093599.json")</f>
        <v>0</v>
      </c>
      <c r="U380" t="s">
        <v>1529</v>
      </c>
      <c r="V380" s="7" t="s">
        <v>1628</v>
      </c>
    </row>
    <row r="381" spans="1:22">
      <c r="A381" s="8">
        <v>379</v>
      </c>
      <c r="B381">
        <v>61</v>
      </c>
      <c r="C381" s="1">
        <v>35.7</v>
      </c>
      <c r="D381" s="2">
        <f>HYPERLINK("https://torgi.gov.ru/new/public/lots/lot/21000022720000000002_1/(lotInfo:info)", "21000022720000000002_1")</f>
        <v>0</v>
      </c>
      <c r="E381" t="s">
        <v>394</v>
      </c>
      <c r="F381" s="3" t="s">
        <v>671</v>
      </c>
      <c r="G381" t="s">
        <v>1061</v>
      </c>
      <c r="H381" s="4">
        <v>544237</v>
      </c>
      <c r="I381" s="4">
        <v>15244.73389355742</v>
      </c>
      <c r="J381" s="5">
        <v>11.83</v>
      </c>
      <c r="K381" s="5">
        <v>9.77</v>
      </c>
      <c r="L381" s="4">
        <v>2540.67</v>
      </c>
      <c r="M381">
        <v>1289</v>
      </c>
      <c r="N381">
        <v>1560</v>
      </c>
      <c r="O381">
        <v>6</v>
      </c>
      <c r="P381" s="6">
        <v>400</v>
      </c>
      <c r="Q381" t="s">
        <v>1161</v>
      </c>
      <c r="R381" t="s">
        <v>1164</v>
      </c>
      <c r="S381" s="2">
        <f>HYPERLINK("https://yandex.ru/maps/?&amp;text=47.646378, 42.089799", "47.646378, 42.089799")</f>
        <v>0</v>
      </c>
      <c r="T381" s="2">
        <f>HYPERLINK("D:\torgi_project\venv_torgi\cache\objs_in_district/47.646378_42.089799.json", "47.646378_42.089799.json")</f>
        <v>0</v>
      </c>
      <c r="U381" t="s">
        <v>1530</v>
      </c>
      <c r="V381" s="7" t="s">
        <v>1628</v>
      </c>
    </row>
    <row r="382" spans="1:22">
      <c r="A382" s="8">
        <v>380</v>
      </c>
      <c r="B382">
        <v>61</v>
      </c>
      <c r="C382" s="1">
        <v>60.2</v>
      </c>
      <c r="D382" s="2">
        <f>HYPERLINK("https://torgi.gov.ru/new/public/lots/lot/21000030790000000018_1/(lotInfo:info)", "21000030790000000018_1")</f>
        <v>0</v>
      </c>
      <c r="E382" t="s">
        <v>395</v>
      </c>
      <c r="F382" s="3" t="s">
        <v>672</v>
      </c>
      <c r="G382" t="s">
        <v>1062</v>
      </c>
      <c r="H382" s="4">
        <v>3095424</v>
      </c>
      <c r="I382" s="4">
        <v>51419.00332225914</v>
      </c>
      <c r="J382" s="5">
        <v>9.800000000000001</v>
      </c>
      <c r="K382" s="5">
        <v>13.16</v>
      </c>
      <c r="L382" s="4">
        <v>364.67</v>
      </c>
      <c r="M382">
        <v>5246</v>
      </c>
      <c r="N382">
        <v>3906</v>
      </c>
      <c r="O382">
        <v>141</v>
      </c>
      <c r="Q382" t="s">
        <v>1163</v>
      </c>
      <c r="R382" t="s">
        <v>1164</v>
      </c>
      <c r="S382" s="2">
        <f>HYPERLINK("https://yandex.ru/maps/?&amp;text=47.224673, 39.723169", "47.224673, 39.723169")</f>
        <v>0</v>
      </c>
      <c r="T382" s="2">
        <f>HYPERLINK("D:\torgi_project\venv_torgi\cache\objs_in_district/47.224673_39.723169.json", "47.224673_39.723169.json")</f>
        <v>0</v>
      </c>
      <c r="U382" t="s">
        <v>1531</v>
      </c>
      <c r="V382" s="7" t="s">
        <v>1628</v>
      </c>
    </row>
    <row r="383" spans="1:22">
      <c r="A383" s="8">
        <v>381</v>
      </c>
      <c r="B383">
        <v>61</v>
      </c>
      <c r="C383" s="1">
        <v>23.1</v>
      </c>
      <c r="D383" s="2">
        <f>HYPERLINK("https://torgi.gov.ru/new/public/lots/lot/21000030790000000017_4/(lotInfo:info)", "21000030790000000017_4")</f>
        <v>0</v>
      </c>
      <c r="E383" t="s">
        <v>396</v>
      </c>
      <c r="F383" s="3" t="s">
        <v>633</v>
      </c>
      <c r="G383" t="s">
        <v>1063</v>
      </c>
      <c r="H383" s="4">
        <v>1279186</v>
      </c>
      <c r="I383" s="4">
        <v>55376.01731601731</v>
      </c>
      <c r="J383" s="5">
        <v>21.81</v>
      </c>
      <c r="K383" s="5">
        <v>20.74</v>
      </c>
      <c r="L383" s="4">
        <v>3955.43</v>
      </c>
      <c r="M383">
        <v>2539</v>
      </c>
      <c r="N383">
        <v>2670</v>
      </c>
      <c r="O383">
        <v>14</v>
      </c>
      <c r="P383" s="6">
        <v>600</v>
      </c>
      <c r="Q383" t="s">
        <v>1161</v>
      </c>
      <c r="R383" t="s">
        <v>1164</v>
      </c>
      <c r="S383" s="2">
        <f>HYPERLINK("https://yandex.ru/maps/?&amp;text=47.25621, 39.800398", "47.25621, 39.800398")</f>
        <v>0</v>
      </c>
      <c r="T383" s="2">
        <f>HYPERLINK("D:\torgi_project\venv_torgi\cache\objs_in_district/47.25621_39.800398.json", "47.25621_39.800398.json")</f>
        <v>0</v>
      </c>
      <c r="U383" t="s">
        <v>1532</v>
      </c>
      <c r="V383" s="7" t="s">
        <v>1628</v>
      </c>
    </row>
    <row r="384" spans="1:22">
      <c r="A384" s="8">
        <v>382</v>
      </c>
      <c r="B384">
        <v>62</v>
      </c>
      <c r="C384" s="1">
        <v>289.4</v>
      </c>
      <c r="D384" s="2">
        <f>HYPERLINK("https://torgi.gov.ru/new/public/lots/lot/21000001570000000043_3/(lotInfo:info)", "21000001570000000043_3")</f>
        <v>0</v>
      </c>
      <c r="E384" t="s">
        <v>397</v>
      </c>
      <c r="F384" s="3" t="s">
        <v>673</v>
      </c>
      <c r="G384" t="s">
        <v>1064</v>
      </c>
      <c r="H384" s="4">
        <v>3056643</v>
      </c>
      <c r="I384" s="4">
        <v>10562.000691085</v>
      </c>
      <c r="J384" s="5">
        <v>2.27</v>
      </c>
      <c r="K384" s="5">
        <v>1.93</v>
      </c>
      <c r="L384" s="4">
        <v>251.48</v>
      </c>
      <c r="M384">
        <v>4650</v>
      </c>
      <c r="N384">
        <v>5461</v>
      </c>
      <c r="O384">
        <v>42</v>
      </c>
      <c r="P384" s="6">
        <v>300</v>
      </c>
      <c r="Q384" t="s">
        <v>1161</v>
      </c>
      <c r="R384" t="s">
        <v>1164</v>
      </c>
      <c r="S384" s="2">
        <f>HYPERLINK("https://yandex.ru/maps/?&amp;text=54.6303, 39.72591", "54.6303, 39.72591")</f>
        <v>0</v>
      </c>
      <c r="T384" s="2">
        <f>HYPERLINK("D:\torgi_project\venv_torgi\cache\objs_in_district/54.6303_39.72591.json", "54.6303_39.72591.json")</f>
        <v>0</v>
      </c>
      <c r="U384" t="s">
        <v>1533</v>
      </c>
      <c r="V384" s="7" t="s">
        <v>1631</v>
      </c>
    </row>
    <row r="385" spans="1:22">
      <c r="A385" s="8">
        <v>383</v>
      </c>
      <c r="B385">
        <v>62</v>
      </c>
      <c r="C385" s="1">
        <v>99</v>
      </c>
      <c r="D385" s="2">
        <f>HYPERLINK("https://torgi.gov.ru/new/public/lots/lot/21000001570000000042_1/(lotInfo:info)", "21000001570000000042_1")</f>
        <v>0</v>
      </c>
      <c r="E385" t="s">
        <v>398</v>
      </c>
      <c r="F385" s="3" t="s">
        <v>674</v>
      </c>
      <c r="G385" t="s">
        <v>1065</v>
      </c>
      <c r="H385" s="4">
        <v>1288782</v>
      </c>
      <c r="I385" s="4">
        <v>13018</v>
      </c>
      <c r="J385" s="5">
        <v>2.44</v>
      </c>
      <c r="K385" s="5">
        <v>3.26</v>
      </c>
      <c r="L385" s="4">
        <v>241.07</v>
      </c>
      <c r="M385">
        <v>5343</v>
      </c>
      <c r="N385">
        <v>3993</v>
      </c>
      <c r="O385">
        <v>54</v>
      </c>
      <c r="P385" s="6">
        <v>300</v>
      </c>
      <c r="Q385" t="s">
        <v>1163</v>
      </c>
      <c r="R385" t="s">
        <v>1164</v>
      </c>
      <c r="S385" s="2">
        <f>HYPERLINK("https://yandex.ru/maps/?&amp;text=54.62937, 39.745853", "54.62937, 39.745853")</f>
        <v>0</v>
      </c>
      <c r="T385" s="2">
        <f>HYPERLINK("D:\torgi_project\venv_torgi\cache\objs_in_district/54.62937_39.745853.json", "54.62937_39.745853.json")</f>
        <v>0</v>
      </c>
      <c r="U385" t="s">
        <v>1534</v>
      </c>
      <c r="V385" s="7" t="s">
        <v>1631</v>
      </c>
    </row>
    <row r="386" spans="1:22">
      <c r="A386" s="8">
        <v>384</v>
      </c>
      <c r="B386">
        <v>62</v>
      </c>
      <c r="C386" s="1">
        <v>34.4</v>
      </c>
      <c r="D386" s="2">
        <f>HYPERLINK("https://torgi.gov.ru/new/public/lots/lot/21000001570000000043_1/(lotInfo:info)", "21000001570000000043_1")</f>
        <v>0</v>
      </c>
      <c r="E386" t="s">
        <v>399</v>
      </c>
      <c r="F386" s="3" t="s">
        <v>673</v>
      </c>
      <c r="G386" t="s">
        <v>1066</v>
      </c>
      <c r="H386" s="4">
        <v>983358</v>
      </c>
      <c r="I386" s="4">
        <v>28585.98837209302</v>
      </c>
      <c r="J386" s="5">
        <v>7.68</v>
      </c>
      <c r="K386" s="5">
        <v>4.44</v>
      </c>
      <c r="L386" s="4">
        <v>649.66</v>
      </c>
      <c r="M386">
        <v>3724</v>
      </c>
      <c r="N386">
        <v>6438</v>
      </c>
      <c r="O386">
        <v>44</v>
      </c>
      <c r="P386" s="6">
        <v>600</v>
      </c>
      <c r="Q386" t="s">
        <v>1161</v>
      </c>
      <c r="R386" t="s">
        <v>1164</v>
      </c>
      <c r="S386" s="2">
        <f>HYPERLINK("https://yandex.ru/maps/?&amp;text=54.63918, 39.650887", "54.63918, 39.650887")</f>
        <v>0</v>
      </c>
      <c r="T386" s="2">
        <f>HYPERLINK("D:\torgi_project\venv_torgi\cache\objs_in_district/54.63918_39.650887.json", "54.63918_39.650887.json")</f>
        <v>0</v>
      </c>
      <c r="U386" t="s">
        <v>1535</v>
      </c>
      <c r="V386" s="7" t="s">
        <v>1628</v>
      </c>
    </row>
    <row r="387" spans="1:22">
      <c r="A387" s="8">
        <v>385</v>
      </c>
      <c r="B387">
        <v>63</v>
      </c>
      <c r="C387" s="1">
        <v>573.3</v>
      </c>
      <c r="D387" s="2">
        <f>HYPERLINK("https://torgi.gov.ru/new/public/lots/lot/21000005400000000098_1/(lotInfo:info)", "21000005400000000098_1")</f>
        <v>0</v>
      </c>
      <c r="E387" t="s">
        <v>400</v>
      </c>
      <c r="F387" s="3" t="s">
        <v>675</v>
      </c>
      <c r="G387" t="s">
        <v>1067</v>
      </c>
      <c r="H387" s="4">
        <v>1968542</v>
      </c>
      <c r="I387" s="4">
        <v>3433.703122274551</v>
      </c>
      <c r="J387" s="5">
        <v>0.92</v>
      </c>
      <c r="K387" s="5">
        <v>11.44</v>
      </c>
      <c r="L387" s="4">
        <v>343.3</v>
      </c>
      <c r="M387">
        <v>3729</v>
      </c>
      <c r="N387">
        <v>300</v>
      </c>
      <c r="O387">
        <v>10</v>
      </c>
      <c r="P387" s="6">
        <v>100</v>
      </c>
      <c r="Q387" t="s">
        <v>1161</v>
      </c>
      <c r="R387" t="s">
        <v>1164</v>
      </c>
      <c r="S387" s="2">
        <f>HYPERLINK("https://yandex.ru/maps/?&amp;text=53.485703, 49.48154", "53.485703, 49.48154")</f>
        <v>0</v>
      </c>
      <c r="T387" s="2">
        <f>HYPERLINK("D:\torgi_project\venv_torgi\cache\objs_in_district/53.485703_49.48154.json", "53.485703_49.48154.json")</f>
        <v>0</v>
      </c>
      <c r="U387" t="s">
        <v>1536</v>
      </c>
      <c r="V387" s="7" t="s">
        <v>1628</v>
      </c>
    </row>
    <row r="388" spans="1:22">
      <c r="A388" s="8">
        <v>386</v>
      </c>
      <c r="B388">
        <v>63</v>
      </c>
      <c r="C388" s="1">
        <v>489</v>
      </c>
      <c r="D388" s="2">
        <f>HYPERLINK("https://torgi.gov.ru/new/public/lots/lot/21000005400000000091_1/(lotInfo:info)", "21000005400000000091_1")</f>
        <v>0</v>
      </c>
      <c r="E388" t="s">
        <v>401</v>
      </c>
      <c r="F388" s="3" t="s">
        <v>676</v>
      </c>
      <c r="G388" t="s">
        <v>1068</v>
      </c>
      <c r="H388" s="4">
        <v>1962646</v>
      </c>
      <c r="I388" s="4">
        <v>4013.59100204499</v>
      </c>
      <c r="J388" s="5">
        <v>0.84</v>
      </c>
      <c r="K388" s="5">
        <v>0.93</v>
      </c>
      <c r="L388" s="4">
        <v>236.06</v>
      </c>
      <c r="M388">
        <v>4762</v>
      </c>
      <c r="N388">
        <v>4326</v>
      </c>
      <c r="O388">
        <v>17</v>
      </c>
      <c r="P388" s="6">
        <v>300</v>
      </c>
      <c r="Q388" t="s">
        <v>1161</v>
      </c>
      <c r="R388" t="s">
        <v>1164</v>
      </c>
      <c r="S388" s="2">
        <f>HYPERLINK("https://yandex.ru/maps/?&amp;text=53.475365, 49.46731", "53.475365, 49.46731")</f>
        <v>0</v>
      </c>
      <c r="T388" s="2">
        <f>HYPERLINK("D:\torgi_project\venv_torgi\cache\objs_in_district/53.475365_49.46731.json", "53.475365_49.46731.json")</f>
        <v>0</v>
      </c>
      <c r="U388" t="s">
        <v>1537</v>
      </c>
      <c r="V388" s="7" t="s">
        <v>1628</v>
      </c>
    </row>
    <row r="389" spans="1:22">
      <c r="A389" s="8">
        <v>387</v>
      </c>
      <c r="B389">
        <v>63</v>
      </c>
      <c r="C389" s="1">
        <v>339.6</v>
      </c>
      <c r="D389" s="2">
        <f>HYPERLINK("https://torgi.gov.ru/new/public/lots/lot/21000005400000000095_1/(lotInfo:info)", "21000005400000000095_1")</f>
        <v>0</v>
      </c>
      <c r="E389" t="s">
        <v>402</v>
      </c>
      <c r="F389" s="3" t="s">
        <v>624</v>
      </c>
      <c r="G389" t="s">
        <v>1069</v>
      </c>
      <c r="H389" s="4">
        <v>1398710</v>
      </c>
      <c r="I389" s="4">
        <v>4118.698468786808</v>
      </c>
      <c r="J389" s="5">
        <v>1</v>
      </c>
      <c r="K389" s="5">
        <v>17.6</v>
      </c>
      <c r="L389" s="4">
        <v>316.77</v>
      </c>
      <c r="M389">
        <v>4106</v>
      </c>
      <c r="N389">
        <v>234</v>
      </c>
      <c r="O389">
        <v>13</v>
      </c>
      <c r="P389" s="6">
        <v>500</v>
      </c>
      <c r="Q389" t="s">
        <v>1161</v>
      </c>
      <c r="R389" t="s">
        <v>1164</v>
      </c>
      <c r="S389" s="2">
        <f>HYPERLINK("https://yandex.ru/maps/?&amp;text=53.48615, 49.475918", "53.48615, 49.475918")</f>
        <v>0</v>
      </c>
      <c r="T389" s="2">
        <f>HYPERLINK("D:\torgi_project\venv_torgi\cache\objs_in_district/53.48615_49.475918.json", "53.48615_49.475918.json")</f>
        <v>0</v>
      </c>
      <c r="U389" t="s">
        <v>1538</v>
      </c>
      <c r="V389" s="7" t="s">
        <v>1628</v>
      </c>
    </row>
    <row r="390" spans="1:22">
      <c r="A390" s="8">
        <v>388</v>
      </c>
      <c r="B390">
        <v>63</v>
      </c>
      <c r="C390" s="1">
        <v>433.3</v>
      </c>
      <c r="D390" s="2">
        <f>HYPERLINK("https://torgi.gov.ru/new/public/lots/lot/21000005400000000096_1/(lotInfo:info)", "21000005400000000096_1")</f>
        <v>0</v>
      </c>
      <c r="E390" t="s">
        <v>403</v>
      </c>
      <c r="F390" s="3" t="s">
        <v>675</v>
      </c>
      <c r="G390" t="s">
        <v>1070</v>
      </c>
      <c r="H390" s="4">
        <v>2192287</v>
      </c>
      <c r="I390" s="4">
        <v>5059.513039464574</v>
      </c>
      <c r="J390" s="5">
        <v>0.83</v>
      </c>
      <c r="K390" s="5">
        <v>1.02</v>
      </c>
      <c r="L390" s="4">
        <v>107.64</v>
      </c>
      <c r="M390">
        <v>6086</v>
      </c>
      <c r="N390">
        <v>4975</v>
      </c>
      <c r="O390">
        <v>47</v>
      </c>
      <c r="P390" s="6">
        <v>100</v>
      </c>
      <c r="Q390" t="s">
        <v>1161</v>
      </c>
      <c r="R390" t="s">
        <v>1164</v>
      </c>
      <c r="S390" s="2">
        <f>HYPERLINK("https://yandex.ru/maps/?&amp;text=53.51761, 49.404285", "53.51761, 49.404285")</f>
        <v>0</v>
      </c>
      <c r="T390" s="2">
        <f>HYPERLINK("D:\torgi_project\venv_torgi\cache\objs_in_district/53.51761_49.404285.json", "53.51761_49.404285.json")</f>
        <v>0</v>
      </c>
      <c r="U390" t="s">
        <v>1539</v>
      </c>
      <c r="V390" s="7" t="s">
        <v>1628</v>
      </c>
    </row>
    <row r="391" spans="1:22">
      <c r="A391" s="8">
        <v>389</v>
      </c>
      <c r="B391">
        <v>63</v>
      </c>
      <c r="C391" s="1">
        <v>323.5</v>
      </c>
      <c r="D391" s="2">
        <f>HYPERLINK("https://torgi.gov.ru/new/public/lots/lot/21000005400000000094_1/(lotInfo:info)", "21000005400000000094_1")</f>
        <v>0</v>
      </c>
      <c r="E391" t="s">
        <v>404</v>
      </c>
      <c r="F391" s="3" t="s">
        <v>624</v>
      </c>
      <c r="G391" t="s">
        <v>1071</v>
      </c>
      <c r="H391" s="4">
        <v>1715885</v>
      </c>
      <c r="I391" s="4">
        <v>5304.126738794436</v>
      </c>
      <c r="J391" s="5">
        <v>1.19</v>
      </c>
      <c r="K391" s="5">
        <v>2.33</v>
      </c>
      <c r="L391" s="4">
        <v>241.09</v>
      </c>
      <c r="M391">
        <v>4471</v>
      </c>
      <c r="N391">
        <v>2274</v>
      </c>
      <c r="O391">
        <v>22</v>
      </c>
      <c r="P391" s="6">
        <v>500</v>
      </c>
      <c r="Q391" t="s">
        <v>1161</v>
      </c>
      <c r="R391" t="s">
        <v>1164</v>
      </c>
      <c r="S391" s="2">
        <f>HYPERLINK("https://yandex.ru/maps/?&amp;text=53.4653, 49.53047", "53.4653, 49.53047")</f>
        <v>0</v>
      </c>
      <c r="T391" s="2">
        <f>HYPERLINK("D:\torgi_project\venv_torgi\cache\objs_in_district/53.4653_49.53047.json", "53.4653_49.53047.json")</f>
        <v>0</v>
      </c>
      <c r="U391" t="s">
        <v>1540</v>
      </c>
    </row>
    <row r="392" spans="1:22">
      <c r="A392" s="8">
        <v>390</v>
      </c>
      <c r="B392">
        <v>63</v>
      </c>
      <c r="C392" s="1">
        <v>200.9</v>
      </c>
      <c r="D392" s="2">
        <f>HYPERLINK("https://torgi.gov.ru/new/public/lots/lot/21000005400000000092_1/(lotInfo:info)", "21000005400000000092_1")</f>
        <v>0</v>
      </c>
      <c r="E392" t="s">
        <v>405</v>
      </c>
      <c r="F392" s="3" t="s">
        <v>676</v>
      </c>
      <c r="G392" t="s">
        <v>1072</v>
      </c>
      <c r="H392" s="4">
        <v>1711312</v>
      </c>
      <c r="I392" s="4">
        <v>8518.227974116475</v>
      </c>
      <c r="J392" s="5">
        <v>1.96</v>
      </c>
      <c r="K392" s="5">
        <v>1.41</v>
      </c>
      <c r="L392" s="4">
        <v>170.36</v>
      </c>
      <c r="M392">
        <v>4338</v>
      </c>
      <c r="N392">
        <v>6059</v>
      </c>
      <c r="O392">
        <v>50</v>
      </c>
      <c r="P392" s="6">
        <v>200</v>
      </c>
      <c r="Q392" t="s">
        <v>1161</v>
      </c>
      <c r="R392" t="s">
        <v>1164</v>
      </c>
      <c r="S392" s="2">
        <f>HYPERLINK("https://yandex.ru/maps/?&amp;text=53.50692, 49.40048", "53.50692, 49.40048")</f>
        <v>0</v>
      </c>
      <c r="T392" s="2">
        <f>HYPERLINK("D:\torgi_project\venv_torgi\cache\objs_in_district/53.50692_49.40048.json", "53.50692_49.40048.json")</f>
        <v>0</v>
      </c>
      <c r="U392" t="s">
        <v>1541</v>
      </c>
      <c r="V392" s="7" t="s">
        <v>1628</v>
      </c>
    </row>
    <row r="393" spans="1:22">
      <c r="A393" s="8">
        <v>391</v>
      </c>
      <c r="B393">
        <v>63</v>
      </c>
      <c r="C393" s="1">
        <v>754.3</v>
      </c>
      <c r="D393" s="2">
        <f>HYPERLINK("https://torgi.gov.ru/new/public/lots/lot/21000005400000000099_1/(lotInfo:info)", "21000005400000000099_1")</f>
        <v>0</v>
      </c>
      <c r="E393" t="s">
        <v>406</v>
      </c>
      <c r="F393" s="3" t="s">
        <v>677</v>
      </c>
      <c r="G393" t="s">
        <v>1073</v>
      </c>
      <c r="H393" s="4">
        <v>7704202</v>
      </c>
      <c r="I393" s="4">
        <v>10213.71072517566</v>
      </c>
      <c r="J393" s="5">
        <v>1.76</v>
      </c>
      <c r="K393" s="5">
        <v>2.35</v>
      </c>
      <c r="L393" s="4">
        <v>352.17</v>
      </c>
      <c r="M393">
        <v>5797</v>
      </c>
      <c r="N393">
        <v>4338</v>
      </c>
      <c r="O393">
        <v>29</v>
      </c>
      <c r="P393" s="6">
        <v>100</v>
      </c>
      <c r="Q393" t="s">
        <v>1161</v>
      </c>
      <c r="R393" t="s">
        <v>1164</v>
      </c>
      <c r="S393" s="2">
        <f>HYPERLINK("https://yandex.ru/maps/?&amp;text=53.52138, 49.429665", "53.52138, 49.429665")</f>
        <v>0</v>
      </c>
      <c r="T393" s="2">
        <f>HYPERLINK("D:\torgi_project\venv_torgi\cache\objs_in_district/53.52138_49.429665.json", "53.52138_49.429665.json")</f>
        <v>0</v>
      </c>
      <c r="U393" t="s">
        <v>1542</v>
      </c>
      <c r="V393" s="7" t="s">
        <v>1628</v>
      </c>
    </row>
    <row r="394" spans="1:22">
      <c r="A394" s="8">
        <v>392</v>
      </c>
      <c r="B394">
        <v>63</v>
      </c>
      <c r="C394" s="1">
        <v>95.3</v>
      </c>
      <c r="D394" s="2">
        <f>HYPERLINK("https://torgi.gov.ru/new/public/lots/lot/21000005400000000101_1/(lotInfo:info)", "21000005400000000101_1")</f>
        <v>0</v>
      </c>
      <c r="E394" t="s">
        <v>407</v>
      </c>
      <c r="F394" s="3" t="s">
        <v>678</v>
      </c>
      <c r="G394" t="s">
        <v>1074</v>
      </c>
      <c r="H394" s="4">
        <v>1146603</v>
      </c>
      <c r="I394" s="4">
        <v>12031.51101783841</v>
      </c>
      <c r="J394" s="5">
        <v>3.41</v>
      </c>
      <c r="K394" s="5">
        <v>5.65</v>
      </c>
      <c r="L394" s="4">
        <v>572.9</v>
      </c>
      <c r="M394">
        <v>3523</v>
      </c>
      <c r="N394">
        <v>2130</v>
      </c>
      <c r="O394">
        <v>21</v>
      </c>
      <c r="P394" s="6">
        <v>500</v>
      </c>
      <c r="Q394" t="s">
        <v>1163</v>
      </c>
      <c r="R394" t="s">
        <v>1164</v>
      </c>
      <c r="S394" s="2">
        <f>HYPERLINK("https://yandex.ru/maps/?&amp;text=53.464523, 49.530527", "53.464523, 49.530527")</f>
        <v>0</v>
      </c>
      <c r="T394" s="2">
        <f>HYPERLINK("D:\torgi_project\venv_torgi\cache\objs_in_district/53.464523_49.530527.json", "53.464523_49.530527.json")</f>
        <v>0</v>
      </c>
      <c r="U394" t="s">
        <v>1543</v>
      </c>
      <c r="V394" s="7" t="s">
        <v>1628</v>
      </c>
    </row>
    <row r="395" spans="1:22">
      <c r="A395" s="8">
        <v>393</v>
      </c>
      <c r="B395">
        <v>63</v>
      </c>
      <c r="C395" s="1">
        <v>89.90000000000001</v>
      </c>
      <c r="D395" s="2">
        <f>HYPERLINK("https://torgi.gov.ru/new/public/lots/lot/21000005400000000100_1/(lotInfo:info)", "21000005400000000100_1")</f>
        <v>0</v>
      </c>
      <c r="E395" t="s">
        <v>408</v>
      </c>
      <c r="F395" s="3" t="s">
        <v>678</v>
      </c>
      <c r="G395" t="s">
        <v>1075</v>
      </c>
      <c r="H395" s="4">
        <v>1162535</v>
      </c>
      <c r="I395" s="4">
        <v>12931.42380422692</v>
      </c>
      <c r="J395" s="5">
        <v>3.67</v>
      </c>
      <c r="K395" s="5">
        <v>4.09</v>
      </c>
      <c r="L395" s="4">
        <v>497.35</v>
      </c>
      <c r="M395">
        <v>3523</v>
      </c>
      <c r="N395">
        <v>3165</v>
      </c>
      <c r="O395">
        <v>26</v>
      </c>
      <c r="P395" s="6">
        <v>400</v>
      </c>
      <c r="Q395" t="s">
        <v>1163</v>
      </c>
      <c r="R395" t="s">
        <v>1164</v>
      </c>
      <c r="S395" s="2">
        <f>HYPERLINK("https://yandex.ru/maps/?&amp;text=53.464818, 49.531443", "53.464818, 49.531443")</f>
        <v>0</v>
      </c>
      <c r="T395" s="2">
        <f>HYPERLINK("D:\torgi_project\venv_torgi\cache\objs_in_district/53.464818_49.531443.json", "53.464818_49.531443.json")</f>
        <v>0</v>
      </c>
      <c r="U395" t="s">
        <v>1544</v>
      </c>
      <c r="V395" s="7" t="s">
        <v>1628</v>
      </c>
    </row>
    <row r="396" spans="1:22">
      <c r="A396" s="8">
        <v>394</v>
      </c>
      <c r="B396">
        <v>63</v>
      </c>
      <c r="C396" s="1">
        <v>91.09999999999999</v>
      </c>
      <c r="D396" s="2">
        <f>HYPERLINK("https://torgi.gov.ru/new/public/lots/lot/21000002520000000006_3/(lotInfo:info)", "21000002520000000006_3")</f>
        <v>0</v>
      </c>
      <c r="E396" t="s">
        <v>409</v>
      </c>
      <c r="F396" s="3" t="s">
        <v>679</v>
      </c>
      <c r="G396" t="s">
        <v>1076</v>
      </c>
      <c r="H396" s="4">
        <v>2080000</v>
      </c>
      <c r="I396" s="4">
        <v>22832.05268935236</v>
      </c>
      <c r="J396" s="5">
        <v>15.08</v>
      </c>
      <c r="K396" s="5">
        <v>8.949999999999999</v>
      </c>
      <c r="L396" s="4">
        <v>7610.67</v>
      </c>
      <c r="M396">
        <v>1514</v>
      </c>
      <c r="N396">
        <v>2550</v>
      </c>
      <c r="O396">
        <v>3</v>
      </c>
      <c r="P396" s="6">
        <v>900</v>
      </c>
      <c r="Q396" t="s">
        <v>1162</v>
      </c>
      <c r="R396" t="s">
        <v>1164</v>
      </c>
      <c r="S396" s="2">
        <f>HYPERLINK("https://yandex.ru/maps/?&amp;text=53.394547, 50.176065", "53.394547, 50.176065")</f>
        <v>0</v>
      </c>
      <c r="T396" s="2">
        <f>HYPERLINK("D:\torgi_project\venv_torgi\cache\objs_in_district/53.394547_50.176065.json", "53.394547_50.176065.json")</f>
        <v>0</v>
      </c>
      <c r="U396" t="s">
        <v>1545</v>
      </c>
      <c r="V396" s="7" t="s">
        <v>1630</v>
      </c>
    </row>
    <row r="397" spans="1:22">
      <c r="A397" s="8">
        <v>395</v>
      </c>
      <c r="B397">
        <v>64</v>
      </c>
      <c r="C397" s="1">
        <v>841.8</v>
      </c>
      <c r="D397" s="2">
        <f>HYPERLINK("https://torgi.gov.ru/new/public/lots/lot/21000016920000000004_3/(lotInfo:info)", "21000016920000000004_3")</f>
        <v>0</v>
      </c>
      <c r="E397" t="s">
        <v>410</v>
      </c>
      <c r="F397" s="3" t="s">
        <v>680</v>
      </c>
      <c r="G397" t="s">
        <v>1077</v>
      </c>
      <c r="H397" s="4">
        <v>7912154</v>
      </c>
      <c r="I397" s="4">
        <v>9399.090045141364</v>
      </c>
      <c r="J397" s="5">
        <v>103.29</v>
      </c>
      <c r="K397" s="5">
        <v>108.03</v>
      </c>
      <c r="M397">
        <v>91</v>
      </c>
      <c r="N397">
        <v>87</v>
      </c>
      <c r="O397">
        <v>0</v>
      </c>
      <c r="P397" s="6">
        <v>500</v>
      </c>
      <c r="Q397" t="s">
        <v>1161</v>
      </c>
      <c r="R397" t="s">
        <v>1164</v>
      </c>
      <c r="S397" s="2">
        <f>HYPERLINK("https://yandex.ru/maps/?&amp;text=51.566549, 42.655324", "51.566549, 42.655324")</f>
        <v>0</v>
      </c>
      <c r="U397" t="s">
        <v>1546</v>
      </c>
      <c r="V397" s="7" t="s">
        <v>1628</v>
      </c>
    </row>
    <row r="398" spans="1:22">
      <c r="A398" s="8">
        <v>396</v>
      </c>
      <c r="B398">
        <v>64</v>
      </c>
      <c r="C398" s="1">
        <v>423.9</v>
      </c>
      <c r="D398" s="2">
        <f>HYPERLINK("https://torgi.gov.ru/new/public/lots/lot/21000020750000000027_1/(lotInfo:info)", "21000020750000000027_1")</f>
        <v>0</v>
      </c>
      <c r="E398" t="s">
        <v>411</v>
      </c>
      <c r="F398" s="3" t="s">
        <v>545</v>
      </c>
      <c r="G398" t="s">
        <v>1078</v>
      </c>
      <c r="H398" s="4">
        <v>4574000</v>
      </c>
      <c r="I398" s="4">
        <v>10790.28072658646</v>
      </c>
      <c r="J398" s="5">
        <v>7.77</v>
      </c>
      <c r="K398" s="5">
        <v>2.67</v>
      </c>
      <c r="L398" s="4">
        <v>415</v>
      </c>
      <c r="M398">
        <v>1389</v>
      </c>
      <c r="N398">
        <v>4035</v>
      </c>
      <c r="O398">
        <v>26</v>
      </c>
      <c r="P398" s="6">
        <v>400</v>
      </c>
      <c r="Q398" t="s">
        <v>1161</v>
      </c>
      <c r="R398" t="s">
        <v>1164</v>
      </c>
      <c r="S398" s="2">
        <f>HYPERLINK("https://yandex.ru/maps/?&amp;text=52.04082, 47.391026", "52.04082, 47.391026")</f>
        <v>0</v>
      </c>
      <c r="T398" s="2">
        <f>HYPERLINK("D:\torgi_project\venv_torgi\cache\objs_in_district/52.04082_47.391026.json", "52.04082_47.391026.json")</f>
        <v>0</v>
      </c>
      <c r="U398" t="s">
        <v>1547</v>
      </c>
      <c r="V398" s="7" t="s">
        <v>1630</v>
      </c>
    </row>
    <row r="399" spans="1:22">
      <c r="A399" s="8">
        <v>397</v>
      </c>
      <c r="B399">
        <v>64</v>
      </c>
      <c r="C399" s="1">
        <v>85.5</v>
      </c>
      <c r="D399" s="2">
        <f>HYPERLINK("https://torgi.gov.ru/new/public/lots/lot/21000018640000000015_3/(lotInfo:info)", "21000018640000000015_3")</f>
        <v>0</v>
      </c>
      <c r="E399" t="s">
        <v>412</v>
      </c>
      <c r="F399" s="3" t="s">
        <v>681</v>
      </c>
      <c r="G399" t="s">
        <v>1079</v>
      </c>
      <c r="H399" s="4">
        <v>2238000</v>
      </c>
      <c r="I399" s="4">
        <v>26175.43859649123</v>
      </c>
      <c r="J399" s="5">
        <v>7.2</v>
      </c>
      <c r="K399" s="5">
        <v>2.97</v>
      </c>
      <c r="L399" s="4">
        <v>227.61</v>
      </c>
      <c r="M399">
        <v>3636</v>
      </c>
      <c r="N399">
        <v>8811</v>
      </c>
      <c r="O399">
        <v>115</v>
      </c>
      <c r="P399" s="6">
        <v>500</v>
      </c>
      <c r="Q399" t="s">
        <v>1161</v>
      </c>
      <c r="R399" t="s">
        <v>1164</v>
      </c>
      <c r="S399" s="2">
        <f>HYPERLINK("https://yandex.ru/maps/?&amp;text=52.03235, 47.781464", "52.03235, 47.781464")</f>
        <v>0</v>
      </c>
      <c r="T399" s="2">
        <f>HYPERLINK("D:\torgi_project\venv_torgi\cache\objs_in_district/52.03235_47.781464.json", "52.03235_47.781464.json")</f>
        <v>0</v>
      </c>
      <c r="U399" t="s">
        <v>1548</v>
      </c>
      <c r="V399" s="7" t="s">
        <v>1630</v>
      </c>
    </row>
    <row r="400" spans="1:22">
      <c r="A400" s="8">
        <v>398</v>
      </c>
      <c r="B400">
        <v>66</v>
      </c>
      <c r="C400" s="1">
        <v>52.6</v>
      </c>
      <c r="D400" s="2">
        <f>HYPERLINK("https://torgi.gov.ru/new/public/lots/lot/21000028680000000002_5/(lotInfo:info)", "21000028680000000002_5")</f>
        <v>0</v>
      </c>
      <c r="E400" t="s">
        <v>413</v>
      </c>
      <c r="F400" s="3" t="s">
        <v>682</v>
      </c>
      <c r="G400" t="s">
        <v>1080</v>
      </c>
      <c r="H400" s="4">
        <v>769000</v>
      </c>
      <c r="I400" s="4">
        <v>14619.77186311787</v>
      </c>
      <c r="J400" s="5">
        <v>121.83</v>
      </c>
      <c r="M400">
        <v>120</v>
      </c>
      <c r="P400" s="6">
        <v>400</v>
      </c>
      <c r="Q400" t="s">
        <v>1162</v>
      </c>
      <c r="R400" t="s">
        <v>1164</v>
      </c>
      <c r="S400" s="2">
        <f>HYPERLINK("https://yandex.ru/maps/?&amp;text=56.991155, 63.155912", "56.991155, 63.155912")</f>
        <v>0</v>
      </c>
      <c r="U400" t="s">
        <v>1549</v>
      </c>
    </row>
    <row r="401" spans="1:22">
      <c r="A401" s="8">
        <v>399</v>
      </c>
      <c r="B401">
        <v>66</v>
      </c>
      <c r="C401" s="1">
        <v>43.2</v>
      </c>
      <c r="D401" s="2">
        <f>HYPERLINK("https://torgi.gov.ru/new/public/lots/lot/21000028680000000002_2/(lotInfo:info)", "21000028680000000002_2")</f>
        <v>0</v>
      </c>
      <c r="E401" t="s">
        <v>414</v>
      </c>
      <c r="F401" s="3" t="s">
        <v>682</v>
      </c>
      <c r="G401" t="s">
        <v>1081</v>
      </c>
      <c r="H401" s="4">
        <v>632000</v>
      </c>
      <c r="I401" s="4">
        <v>14629.62962962963</v>
      </c>
      <c r="J401" s="5">
        <v>27.09</v>
      </c>
      <c r="K401" s="5">
        <v>4876.33</v>
      </c>
      <c r="L401" s="4">
        <v>14629</v>
      </c>
      <c r="M401">
        <v>540</v>
      </c>
      <c r="N401">
        <v>3</v>
      </c>
      <c r="O401">
        <v>1</v>
      </c>
      <c r="P401" s="6">
        <v>200</v>
      </c>
      <c r="Q401" t="s">
        <v>1162</v>
      </c>
      <c r="R401" t="s">
        <v>1164</v>
      </c>
      <c r="S401" s="2">
        <f>HYPERLINK("https://yandex.ru/maps/?&amp;text=56.816365, 63.179295", "56.816365, 63.179295")</f>
        <v>0</v>
      </c>
      <c r="T401" s="2">
        <f>HYPERLINK("D:\torgi_project\venv_torgi\cache\objs_in_district/56.816365_63.179295.json", "56.816365_63.179295.json")</f>
        <v>0</v>
      </c>
      <c r="U401" t="s">
        <v>1550</v>
      </c>
    </row>
    <row r="402" spans="1:22">
      <c r="A402" s="8">
        <v>400</v>
      </c>
      <c r="B402">
        <v>66</v>
      </c>
      <c r="C402" s="1">
        <v>191.6</v>
      </c>
      <c r="D402" s="2">
        <f>HYPERLINK("https://torgi.gov.ru/new/public/lots/lot/21000000900000000007_2/(lotInfo:info)", "21000000900000000007_2")</f>
        <v>0</v>
      </c>
      <c r="E402" t="s">
        <v>415</v>
      </c>
      <c r="F402" s="3" t="s">
        <v>558</v>
      </c>
      <c r="G402" t="s">
        <v>1082</v>
      </c>
      <c r="H402" s="4">
        <v>2939910</v>
      </c>
      <c r="I402" s="4">
        <v>15343.99791231733</v>
      </c>
      <c r="J402" s="5">
        <v>5.43</v>
      </c>
      <c r="K402" s="5">
        <v>53.84</v>
      </c>
      <c r="L402" s="4">
        <v>494.94</v>
      </c>
      <c r="M402">
        <v>2823</v>
      </c>
      <c r="N402">
        <v>285</v>
      </c>
      <c r="O402">
        <v>31</v>
      </c>
      <c r="P402" s="6">
        <v>600</v>
      </c>
      <c r="Q402" t="s">
        <v>1162</v>
      </c>
      <c r="R402" t="s">
        <v>1164</v>
      </c>
      <c r="S402" s="2">
        <f>HYPERLINK("https://yandex.ru/maps/?&amp;text=57.245277, 60.076218", "57.245277, 60.076218")</f>
        <v>0</v>
      </c>
      <c r="T402" s="2">
        <f>HYPERLINK("D:\torgi_project\venv_torgi\cache\objs_in_district/57.245277_60.076218.json", "57.245277_60.076218.json")</f>
        <v>0</v>
      </c>
      <c r="U402" t="s">
        <v>1551</v>
      </c>
      <c r="V402" s="7" t="s">
        <v>1632</v>
      </c>
    </row>
    <row r="403" spans="1:22">
      <c r="A403" s="8">
        <v>401</v>
      </c>
      <c r="B403">
        <v>66</v>
      </c>
      <c r="C403" s="1">
        <v>152.5</v>
      </c>
      <c r="D403" s="2">
        <f>HYPERLINK("https://torgi.gov.ru/new/public/lots/lot/21000033030000000002_2/(lotInfo:info)", "21000033030000000002_2")</f>
        <v>0</v>
      </c>
      <c r="E403" t="s">
        <v>416</v>
      </c>
      <c r="F403" s="3" t="s">
        <v>552</v>
      </c>
      <c r="G403" t="s">
        <v>1083</v>
      </c>
      <c r="H403" s="4">
        <v>2397605</v>
      </c>
      <c r="I403" s="4">
        <v>15722</v>
      </c>
      <c r="J403" s="5">
        <v>8.16</v>
      </c>
      <c r="K403" s="5">
        <v>23.71</v>
      </c>
      <c r="L403" s="4">
        <v>982.62</v>
      </c>
      <c r="M403">
        <v>1926</v>
      </c>
      <c r="N403">
        <v>663</v>
      </c>
      <c r="O403">
        <v>16</v>
      </c>
      <c r="P403" s="6">
        <v>1000</v>
      </c>
      <c r="Q403" t="s">
        <v>1161</v>
      </c>
      <c r="R403" t="s">
        <v>1164</v>
      </c>
      <c r="S403" s="2">
        <f>HYPERLINK("https://yandex.ru/maps/?&amp;text=58.053188, 60.545516", "58.053188, 60.545516")</f>
        <v>0</v>
      </c>
      <c r="T403" s="2">
        <f>HYPERLINK("D:\torgi_project\venv_torgi\cache\objs_in_district/58.053188_60.545516.json", "58.053188_60.545516.json")</f>
        <v>0</v>
      </c>
      <c r="U403" t="s">
        <v>1552</v>
      </c>
    </row>
    <row r="404" spans="1:22">
      <c r="A404" s="8">
        <v>402</v>
      </c>
      <c r="B404">
        <v>66</v>
      </c>
      <c r="C404" s="1">
        <v>140.1</v>
      </c>
      <c r="D404" s="2">
        <f>HYPERLINK("https://torgi.gov.ru/new/public/lots/lot/21000033030000000002_1/(lotInfo:info)", "21000033030000000002_1")</f>
        <v>0</v>
      </c>
      <c r="E404" t="s">
        <v>417</v>
      </c>
      <c r="F404" s="3" t="s">
        <v>552</v>
      </c>
      <c r="G404" t="s">
        <v>1083</v>
      </c>
      <c r="H404" s="4">
        <v>2232914</v>
      </c>
      <c r="I404" s="4">
        <v>15938.00142755175</v>
      </c>
      <c r="J404" s="5">
        <v>8.279999999999999</v>
      </c>
      <c r="K404" s="5">
        <v>24.04</v>
      </c>
      <c r="L404" s="4">
        <v>996.12</v>
      </c>
      <c r="M404">
        <v>1926</v>
      </c>
      <c r="N404">
        <v>663</v>
      </c>
      <c r="O404">
        <v>16</v>
      </c>
      <c r="P404" s="6">
        <v>1000</v>
      </c>
      <c r="Q404" t="s">
        <v>1161</v>
      </c>
      <c r="R404" t="s">
        <v>1164</v>
      </c>
      <c r="S404" s="2">
        <f>HYPERLINK("https://yandex.ru/maps/?&amp;text=58.053188, 60.545516", "58.053188, 60.545516")</f>
        <v>0</v>
      </c>
      <c r="T404" s="2">
        <f>HYPERLINK("D:\torgi_project\venv_torgi\cache\objs_in_district/58.053188_60.545516.json", "58.053188_60.545516.json")</f>
        <v>0</v>
      </c>
      <c r="U404" t="s">
        <v>1553</v>
      </c>
    </row>
    <row r="405" spans="1:22">
      <c r="A405" s="8">
        <v>403</v>
      </c>
      <c r="B405">
        <v>66</v>
      </c>
      <c r="C405" s="1">
        <v>85.40000000000001</v>
      </c>
      <c r="D405" s="2">
        <f>HYPERLINK("https://torgi.gov.ru/new/public/lots/lot/21000000900000000007_4/(lotInfo:info)", "21000000900000000007_4")</f>
        <v>0</v>
      </c>
      <c r="E405" t="s">
        <v>418</v>
      </c>
      <c r="F405" s="3" t="s">
        <v>558</v>
      </c>
      <c r="G405" t="s">
        <v>1084</v>
      </c>
      <c r="H405" s="4">
        <v>1434464.4</v>
      </c>
      <c r="I405" s="4">
        <v>16797.00702576112</v>
      </c>
      <c r="J405" s="5">
        <v>9.66</v>
      </c>
      <c r="K405" s="5">
        <v>10.02</v>
      </c>
      <c r="L405" s="4">
        <v>1527</v>
      </c>
      <c r="M405">
        <v>1739</v>
      </c>
      <c r="N405">
        <v>1677</v>
      </c>
      <c r="O405">
        <v>11</v>
      </c>
      <c r="P405" s="6">
        <v>800</v>
      </c>
      <c r="Q405" t="s">
        <v>1162</v>
      </c>
      <c r="R405" t="s">
        <v>1164</v>
      </c>
      <c r="S405" s="2">
        <f>HYPERLINK("https://yandex.ru/maps/?&amp;text=57.230167, 60.086647", "57.230167, 60.086647")</f>
        <v>0</v>
      </c>
      <c r="T405" s="2">
        <f>HYPERLINK("D:\torgi_project\venv_torgi\cache\objs_in_district/57.230167_60.086647.json", "57.230167_60.086647.json")</f>
        <v>0</v>
      </c>
      <c r="U405" t="s">
        <v>1554</v>
      </c>
      <c r="V405" s="7" t="s">
        <v>1628</v>
      </c>
    </row>
    <row r="406" spans="1:22">
      <c r="A406" s="8">
        <v>404</v>
      </c>
      <c r="B406">
        <v>66</v>
      </c>
      <c r="C406" s="1">
        <v>300.1</v>
      </c>
      <c r="D406" s="2">
        <f>HYPERLINK("https://torgi.gov.ru/new/public/lots/lot/22000034760000000026_1/(lotInfo:info)", "22000034760000000026_1")</f>
        <v>0</v>
      </c>
      <c r="E406" t="s">
        <v>419</v>
      </c>
      <c r="F406" s="3" t="s">
        <v>683</v>
      </c>
      <c r="G406" t="s">
        <v>1085</v>
      </c>
      <c r="H406" s="4">
        <v>5189000</v>
      </c>
      <c r="I406" s="4">
        <v>17290.90303232256</v>
      </c>
      <c r="J406" s="5">
        <v>4.04</v>
      </c>
      <c r="K406" s="5">
        <v>1.7</v>
      </c>
      <c r="L406" s="4">
        <v>82.33</v>
      </c>
      <c r="M406">
        <v>4275</v>
      </c>
      <c r="N406">
        <v>10182</v>
      </c>
      <c r="O406">
        <v>210</v>
      </c>
      <c r="P406" s="6">
        <v>200</v>
      </c>
      <c r="Q406" t="s">
        <v>1163</v>
      </c>
      <c r="R406" t="s">
        <v>1164</v>
      </c>
      <c r="S406" s="2">
        <f>HYPERLINK("https://yandex.ru/maps/?&amp;text=56.841709, 60.622385", "56.841709, 60.622385")</f>
        <v>0</v>
      </c>
      <c r="T406" s="2">
        <f>HYPERLINK("D:\torgi_project\venv_torgi\cache\objs_in_district/56.841709_60.622385.json", "56.841709_60.622385.json")</f>
        <v>0</v>
      </c>
      <c r="U406" t="s">
        <v>1555</v>
      </c>
    </row>
    <row r="407" spans="1:22">
      <c r="A407" s="8">
        <v>405</v>
      </c>
      <c r="B407">
        <v>66</v>
      </c>
      <c r="C407" s="1">
        <v>135.4</v>
      </c>
      <c r="D407" s="2">
        <f>HYPERLINK("https://torgi.gov.ru/new/public/lots/lot/22000034760000000028_1/(lotInfo:info)", "22000034760000000028_1")</f>
        <v>0</v>
      </c>
      <c r="E407" t="s">
        <v>419</v>
      </c>
      <c r="F407" s="3" t="s">
        <v>683</v>
      </c>
      <c r="G407" t="s">
        <v>1086</v>
      </c>
      <c r="H407" s="4">
        <v>2560000</v>
      </c>
      <c r="I407" s="4">
        <v>18906.9423929099</v>
      </c>
      <c r="J407" s="5">
        <v>4.42</v>
      </c>
      <c r="K407" s="5">
        <v>1.75</v>
      </c>
      <c r="L407" s="4">
        <v>89.59999999999999</v>
      </c>
      <c r="M407">
        <v>4275</v>
      </c>
      <c r="N407">
        <v>10833</v>
      </c>
      <c r="O407">
        <v>211</v>
      </c>
      <c r="P407" s="6">
        <v>200</v>
      </c>
      <c r="Q407" t="s">
        <v>1163</v>
      </c>
      <c r="R407" t="s">
        <v>1164</v>
      </c>
      <c r="S407" s="2">
        <f>HYPERLINK("https://yandex.ru/maps/?&amp;text=56.840237, 60.62578", "56.840237, 60.62578")</f>
        <v>0</v>
      </c>
      <c r="T407" s="2">
        <f>HYPERLINK("D:\torgi_project\venv_torgi\cache\objs_in_district/56.840237_60.62578.json", "56.840237_60.62578.json")</f>
        <v>0</v>
      </c>
      <c r="U407" t="s">
        <v>1556</v>
      </c>
    </row>
    <row r="408" spans="1:22">
      <c r="A408" s="8">
        <v>406</v>
      </c>
      <c r="B408">
        <v>66</v>
      </c>
      <c r="C408" s="1">
        <v>352.2</v>
      </c>
      <c r="D408" s="2">
        <f>HYPERLINK("https://torgi.gov.ru/new/public/lots/lot/22000034760000000029_1/(lotInfo:info)", "22000034760000000029_1")</f>
        <v>0</v>
      </c>
      <c r="E408" t="s">
        <v>419</v>
      </c>
      <c r="F408" s="3" t="s">
        <v>683</v>
      </c>
      <c r="G408" t="s">
        <v>1087</v>
      </c>
      <c r="H408" s="4">
        <v>6700000</v>
      </c>
      <c r="I408" s="4">
        <v>19023.28222600795</v>
      </c>
      <c r="J408" s="5">
        <v>4.23</v>
      </c>
      <c r="K408" s="5">
        <v>1.83</v>
      </c>
      <c r="L408" s="4">
        <v>101.73</v>
      </c>
      <c r="M408">
        <v>4492</v>
      </c>
      <c r="N408">
        <v>10403</v>
      </c>
      <c r="O408">
        <v>187</v>
      </c>
      <c r="P408" s="6">
        <v>400</v>
      </c>
      <c r="Q408" t="s">
        <v>1163</v>
      </c>
      <c r="R408" t="s">
        <v>1164</v>
      </c>
      <c r="S408" s="2">
        <f>HYPERLINK("https://yandex.ru/maps/?&amp;text=56.8425755, 60.6199242", "56.8425755, 60.6199242")</f>
        <v>0</v>
      </c>
      <c r="T408" s="2">
        <f>HYPERLINK("D:\torgi_project\venv_torgi\cache\objs_in_district/56.8425755_60.6199242.json", "56.8425755_60.6199242.json")</f>
        <v>0</v>
      </c>
      <c r="U408" t="s">
        <v>1557</v>
      </c>
    </row>
    <row r="409" spans="1:22">
      <c r="A409" s="8">
        <v>407</v>
      </c>
      <c r="B409">
        <v>66</v>
      </c>
      <c r="C409" s="1">
        <v>57.7</v>
      </c>
      <c r="D409" s="2">
        <f>HYPERLINK("https://torgi.gov.ru/new/public/lots/lot/21000017510000000010_1/(lotInfo:info)", "21000017510000000010_1")</f>
        <v>0</v>
      </c>
      <c r="E409" t="s">
        <v>420</v>
      </c>
      <c r="F409" s="3" t="s">
        <v>684</v>
      </c>
      <c r="G409" t="s">
        <v>1088</v>
      </c>
      <c r="H409" s="4">
        <v>1255838</v>
      </c>
      <c r="I409" s="4">
        <v>21764.95667244367</v>
      </c>
      <c r="J409" s="5">
        <v>21.57</v>
      </c>
      <c r="K409" s="5">
        <v>17.23</v>
      </c>
      <c r="L409" s="4">
        <v>1280.24</v>
      </c>
      <c r="M409">
        <v>1009</v>
      </c>
      <c r="N409">
        <v>1263</v>
      </c>
      <c r="O409">
        <v>17</v>
      </c>
      <c r="P409" s="6">
        <v>1300</v>
      </c>
      <c r="Q409" t="s">
        <v>1161</v>
      </c>
      <c r="R409" t="s">
        <v>1164</v>
      </c>
      <c r="S409" s="2">
        <f>HYPERLINK("https://yandex.ru/maps/?&amp;text=57.849317, 61.685379", "57.849317, 61.685379")</f>
        <v>0</v>
      </c>
      <c r="T409" s="2">
        <f>HYPERLINK("D:\torgi_project\venv_torgi\cache\objs_in_district/57.849317_61.685379.json", "57.849317_61.685379.json")</f>
        <v>0</v>
      </c>
      <c r="U409" t="s">
        <v>1558</v>
      </c>
      <c r="V409" s="7" t="s">
        <v>1628</v>
      </c>
    </row>
    <row r="410" spans="1:22">
      <c r="A410" s="8">
        <v>408</v>
      </c>
      <c r="B410">
        <v>66</v>
      </c>
      <c r="C410" s="1">
        <v>50.3</v>
      </c>
      <c r="D410" s="2">
        <f>HYPERLINK("https://torgi.gov.ru/new/public/lots/lot/21000017510000000011_2/(lotInfo:info)", "21000017510000000011_2")</f>
        <v>0</v>
      </c>
      <c r="E410" t="s">
        <v>421</v>
      </c>
      <c r="F410" s="3" t="s">
        <v>685</v>
      </c>
      <c r="G410" t="s">
        <v>1089</v>
      </c>
      <c r="H410" s="4">
        <v>1640415</v>
      </c>
      <c r="I410" s="4">
        <v>32612.62425447316</v>
      </c>
      <c r="J410" s="5">
        <v>34.77</v>
      </c>
      <c r="K410" s="5">
        <v>13.11</v>
      </c>
      <c r="L410" s="4">
        <v>562.28</v>
      </c>
      <c r="M410">
        <v>938</v>
      </c>
      <c r="N410">
        <v>2487</v>
      </c>
      <c r="O410">
        <v>58</v>
      </c>
      <c r="P410" s="6">
        <v>200</v>
      </c>
      <c r="Q410" t="s">
        <v>1162</v>
      </c>
      <c r="R410" t="s">
        <v>1164</v>
      </c>
      <c r="S410" s="2">
        <f>HYPERLINK("https://yandex.ru/maps/?&amp;text=57.852776, 61.703506", "57.852776, 61.703506")</f>
        <v>0</v>
      </c>
      <c r="T410" s="2">
        <f>HYPERLINK("D:\torgi_project\venv_torgi\cache\objs_in_district/57.852776_61.703506.json", "57.852776_61.703506.json")</f>
        <v>0</v>
      </c>
      <c r="U410" t="s">
        <v>1559</v>
      </c>
      <c r="V410" s="7" t="s">
        <v>1628</v>
      </c>
    </row>
    <row r="411" spans="1:22">
      <c r="A411" s="8">
        <v>409</v>
      </c>
      <c r="B411">
        <v>68</v>
      </c>
      <c r="C411" s="1">
        <v>192.3</v>
      </c>
      <c r="D411" s="2">
        <f>HYPERLINK("https://torgi.gov.ru/new/public/lots/lot/21000015740000000008_1/(lotInfo:info)", "21000015740000000008_1")</f>
        <v>0</v>
      </c>
      <c r="E411" t="s">
        <v>422</v>
      </c>
      <c r="F411" s="3" t="s">
        <v>686</v>
      </c>
      <c r="G411" t="s">
        <v>1090</v>
      </c>
      <c r="H411" s="4">
        <v>555338.4</v>
      </c>
      <c r="I411" s="4">
        <v>2887.8751950078</v>
      </c>
      <c r="J411" s="5">
        <v>0.57</v>
      </c>
      <c r="K411" s="5">
        <v>0.68</v>
      </c>
      <c r="L411" s="4">
        <v>43.09</v>
      </c>
      <c r="M411">
        <v>5063</v>
      </c>
      <c r="N411">
        <v>4245</v>
      </c>
      <c r="O411">
        <v>67</v>
      </c>
      <c r="P411" s="6">
        <v>100</v>
      </c>
      <c r="Q411" t="s">
        <v>1161</v>
      </c>
      <c r="R411" t="s">
        <v>1164</v>
      </c>
      <c r="S411" s="2">
        <f>HYPERLINK("https://yandex.ru/maps/?&amp;text=52.717537, 41.4549", "52.717537, 41.4549")</f>
        <v>0</v>
      </c>
      <c r="T411" s="2">
        <f>HYPERLINK("D:\torgi_project\venv_torgi\cache\objs_in_district/52.717537_41.4549.json", "52.717537_41.4549.json")</f>
        <v>0</v>
      </c>
      <c r="V411" s="7" t="s">
        <v>1628</v>
      </c>
    </row>
    <row r="412" spans="1:22">
      <c r="A412" s="8">
        <v>410</v>
      </c>
      <c r="B412">
        <v>68</v>
      </c>
      <c r="C412" s="1">
        <v>164.1</v>
      </c>
      <c r="D412" s="2">
        <f>HYPERLINK("https://torgi.gov.ru/new/public/lots/lot/22000032990000000023_1/(lotInfo:info)", "22000032990000000023_1")</f>
        <v>0</v>
      </c>
      <c r="E412" t="s">
        <v>423</v>
      </c>
      <c r="F412" s="3" t="s">
        <v>545</v>
      </c>
      <c r="G412" t="s">
        <v>1091</v>
      </c>
      <c r="H412" s="4">
        <v>1316000</v>
      </c>
      <c r="I412" s="4">
        <v>8019.500304692261</v>
      </c>
      <c r="J412" s="5">
        <v>3.44</v>
      </c>
      <c r="K412" s="5">
        <v>5.94</v>
      </c>
      <c r="L412" s="4">
        <v>119.69</v>
      </c>
      <c r="M412">
        <v>2334</v>
      </c>
      <c r="N412">
        <v>1349</v>
      </c>
      <c r="O412">
        <v>67</v>
      </c>
      <c r="P412" s="6">
        <v>200</v>
      </c>
      <c r="Q412" t="s">
        <v>1162</v>
      </c>
      <c r="R412" t="s">
        <v>1164</v>
      </c>
      <c r="S412" s="2">
        <f>HYPERLINK("https://yandex.ru/maps/?&amp;text=53.441868, 41.809552", "53.441868, 41.809552")</f>
        <v>0</v>
      </c>
      <c r="T412" s="2">
        <f>HYPERLINK("D:\torgi_project\venv_torgi\cache\objs_in_district/53.441868_41.809552.json", "53.441868_41.809552.json")</f>
        <v>0</v>
      </c>
      <c r="U412" t="s">
        <v>1560</v>
      </c>
      <c r="V412" s="7" t="s">
        <v>1630</v>
      </c>
    </row>
    <row r="413" spans="1:22">
      <c r="A413" s="8">
        <v>411</v>
      </c>
      <c r="B413">
        <v>68</v>
      </c>
      <c r="C413" s="1">
        <v>114.1</v>
      </c>
      <c r="D413" s="2">
        <f>HYPERLINK("https://torgi.gov.ru/new/public/lots/lot/21000015740000000006_1/(lotInfo:info)", "21000015740000000006_1")</f>
        <v>0</v>
      </c>
      <c r="E413" t="s">
        <v>424</v>
      </c>
      <c r="F413" s="3" t="s">
        <v>686</v>
      </c>
      <c r="G413" t="s">
        <v>1092</v>
      </c>
      <c r="H413" s="4">
        <v>1346628</v>
      </c>
      <c r="I413" s="4">
        <v>11802.17353198948</v>
      </c>
      <c r="J413" s="5">
        <v>2.4</v>
      </c>
      <c r="K413" s="5">
        <v>1.92</v>
      </c>
      <c r="L413" s="4">
        <v>41.7</v>
      </c>
      <c r="M413">
        <v>4921</v>
      </c>
      <c r="N413">
        <v>6162</v>
      </c>
      <c r="O413">
        <v>283</v>
      </c>
      <c r="P413" s="6">
        <v>100</v>
      </c>
      <c r="Q413" t="s">
        <v>1161</v>
      </c>
      <c r="R413" t="s">
        <v>1164</v>
      </c>
      <c r="S413" s="2">
        <f>HYPERLINK("https://yandex.ru/maps/?&amp;text=52.722347, 41.446175", "52.722347, 41.446175")</f>
        <v>0</v>
      </c>
      <c r="T413" s="2">
        <f>HYPERLINK("D:\torgi_project\venv_torgi\cache\objs_in_district/52.722347_41.446175.json", "52.722347_41.446175.json")</f>
        <v>0</v>
      </c>
      <c r="U413" t="s">
        <v>1561</v>
      </c>
      <c r="V413" s="7" t="s">
        <v>1628</v>
      </c>
    </row>
    <row r="414" spans="1:22">
      <c r="A414" s="8">
        <v>412</v>
      </c>
      <c r="B414">
        <v>68</v>
      </c>
      <c r="C414" s="1">
        <v>176.9</v>
      </c>
      <c r="D414" s="2">
        <f>HYPERLINK("https://torgi.gov.ru/new/public/lots/lot/21000015740000000014_1/(lotInfo:info)", "21000015740000000014_1")</f>
        <v>0</v>
      </c>
      <c r="E414" t="s">
        <v>425</v>
      </c>
      <c r="F414" s="3" t="s">
        <v>687</v>
      </c>
      <c r="G414" t="s">
        <v>1093</v>
      </c>
      <c r="H414" s="4">
        <v>2846000</v>
      </c>
      <c r="I414" s="4">
        <v>16088.18541548898</v>
      </c>
      <c r="J414" s="5">
        <v>3.18</v>
      </c>
      <c r="K414" s="5">
        <v>6.19</v>
      </c>
      <c r="L414" s="4">
        <v>1462.55</v>
      </c>
      <c r="M414">
        <v>5063</v>
      </c>
      <c r="N414">
        <v>2601</v>
      </c>
      <c r="O414">
        <v>11</v>
      </c>
      <c r="P414" s="6">
        <v>300</v>
      </c>
      <c r="Q414" t="s">
        <v>1163</v>
      </c>
      <c r="R414" t="s">
        <v>1164</v>
      </c>
      <c r="S414" s="2">
        <f>HYPERLINK("https://yandex.ru/maps/?&amp;text=52.715071, 41.452651", "52.715071, 41.452651")</f>
        <v>0</v>
      </c>
      <c r="T414" s="2">
        <f>HYPERLINK("D:\torgi_project\venv_torgi\cache\objs_in_district/52.715071_41.452651.json", "52.715071_41.452651.json")</f>
        <v>0</v>
      </c>
      <c r="U414" t="s">
        <v>1562</v>
      </c>
      <c r="V414" s="7" t="s">
        <v>1628</v>
      </c>
    </row>
    <row r="415" spans="1:22">
      <c r="A415" s="8">
        <v>413</v>
      </c>
      <c r="B415">
        <v>68</v>
      </c>
      <c r="C415" s="1">
        <v>245.2</v>
      </c>
      <c r="D415" s="2">
        <f>HYPERLINK("https://torgi.gov.ru/new/public/lots/lot/21000015740000000015_1/(lotInfo:info)", "21000015740000000015_1")</f>
        <v>0</v>
      </c>
      <c r="E415" t="s">
        <v>426</v>
      </c>
      <c r="F415" s="3" t="s">
        <v>687</v>
      </c>
      <c r="G415" t="s">
        <v>1094</v>
      </c>
      <c r="H415" s="4">
        <v>4638000</v>
      </c>
      <c r="I415" s="4">
        <v>18915.17128874388</v>
      </c>
      <c r="J415" s="5">
        <v>6.49</v>
      </c>
      <c r="K415" s="5">
        <v>3.28</v>
      </c>
      <c r="L415" s="4">
        <v>259.11</v>
      </c>
      <c r="M415">
        <v>2914</v>
      </c>
      <c r="N415">
        <v>5775</v>
      </c>
      <c r="O415">
        <v>73</v>
      </c>
      <c r="P415" s="6">
        <v>300</v>
      </c>
      <c r="Q415" t="s">
        <v>1163</v>
      </c>
      <c r="R415" t="s">
        <v>1164</v>
      </c>
      <c r="S415" s="2">
        <f>HYPERLINK("https://yandex.ru/maps/?&amp;text=52.7183838, 41.4580091", "52.7183838, 41.4580091")</f>
        <v>0</v>
      </c>
      <c r="T415" s="2">
        <f>HYPERLINK("D:\torgi_project\venv_torgi\cache\objs_in_district/52.7183838_41.4580091.json", "52.7183838_41.4580091.json")</f>
        <v>0</v>
      </c>
      <c r="U415" t="s">
        <v>1563</v>
      </c>
      <c r="V415" s="7" t="s">
        <v>1630</v>
      </c>
    </row>
    <row r="416" spans="1:22">
      <c r="A416" s="8">
        <v>414</v>
      </c>
      <c r="B416">
        <v>68</v>
      </c>
      <c r="C416" s="1">
        <v>328.2</v>
      </c>
      <c r="D416" s="2">
        <f>HYPERLINK("https://torgi.gov.ru/new/public/lots/lot/21000015740000000013_1/(lotInfo:info)", "21000015740000000013_1")</f>
        <v>0</v>
      </c>
      <c r="E416" t="s">
        <v>427</v>
      </c>
      <c r="F416" s="3" t="s">
        <v>687</v>
      </c>
      <c r="G416" t="s">
        <v>1095</v>
      </c>
      <c r="H416" s="4">
        <v>6846000</v>
      </c>
      <c r="I416" s="4">
        <v>20859.23217550274</v>
      </c>
      <c r="J416" s="5">
        <v>4.15</v>
      </c>
      <c r="K416" s="5">
        <v>3.01</v>
      </c>
      <c r="L416" s="4">
        <v>264.04</v>
      </c>
      <c r="M416">
        <v>5028</v>
      </c>
      <c r="N416">
        <v>6921</v>
      </c>
      <c r="O416">
        <v>79</v>
      </c>
      <c r="Q416" t="s">
        <v>1163</v>
      </c>
      <c r="R416" t="s">
        <v>1164</v>
      </c>
      <c r="S416" s="2">
        <f>HYPERLINK("https://yandex.ru/maps/?&amp;text=52.741183, 41.451097", "52.741183, 41.451097")</f>
        <v>0</v>
      </c>
      <c r="T416" s="2">
        <f>HYPERLINK("D:\torgi_project\venv_torgi\cache\objs_in_district/52.741183_41.451097.json", "52.741183_41.451097.json")</f>
        <v>0</v>
      </c>
      <c r="V416" s="7" t="s">
        <v>1628</v>
      </c>
    </row>
    <row r="417" spans="1:22">
      <c r="A417" s="8">
        <v>415</v>
      </c>
      <c r="B417">
        <v>68</v>
      </c>
      <c r="C417" s="1">
        <v>107.9</v>
      </c>
      <c r="D417" s="2">
        <f>HYPERLINK("https://torgi.gov.ru/new/public/lots/lot/21000001140000000047_3/(lotInfo:info)", "21000001140000000047_3")</f>
        <v>0</v>
      </c>
      <c r="E417" t="s">
        <v>428</v>
      </c>
      <c r="F417" s="3" t="s">
        <v>617</v>
      </c>
      <c r="G417" t="s">
        <v>1096</v>
      </c>
      <c r="H417" s="4">
        <v>4553380</v>
      </c>
      <c r="I417" s="4">
        <v>42200</v>
      </c>
      <c r="J417" s="5">
        <v>10.39</v>
      </c>
      <c r="K417" s="5">
        <v>17.97</v>
      </c>
      <c r="L417" s="4">
        <v>1241.18</v>
      </c>
      <c r="M417">
        <v>4060</v>
      </c>
      <c r="N417">
        <v>2349</v>
      </c>
      <c r="O417">
        <v>34</v>
      </c>
      <c r="P417" s="6">
        <v>500</v>
      </c>
      <c r="Q417" t="s">
        <v>1161</v>
      </c>
      <c r="R417" t="s">
        <v>1165</v>
      </c>
      <c r="S417" s="2">
        <f>HYPERLINK("https://yandex.ru/maps/?&amp;text=52.720997, 41.385277", "52.720997, 41.385277")</f>
        <v>0</v>
      </c>
      <c r="T417" s="2">
        <f>HYPERLINK("D:\torgi_project\venv_torgi\cache\objs_in_district/52.720997_41.385277.json", "52.720997_41.385277.json")</f>
        <v>0</v>
      </c>
      <c r="U417" t="s">
        <v>1564</v>
      </c>
    </row>
    <row r="418" spans="1:22">
      <c r="A418" s="8">
        <v>416</v>
      </c>
      <c r="B418">
        <v>69</v>
      </c>
      <c r="C418" s="1">
        <v>224.8</v>
      </c>
      <c r="D418" s="2">
        <f>HYPERLINK("https://torgi.gov.ru/new/public/lots/lot/22000003200000000011_1/(lotInfo:info)", "22000003200000000011_1")</f>
        <v>0</v>
      </c>
      <c r="E418" t="s">
        <v>429</v>
      </c>
      <c r="F418" s="3" t="s">
        <v>545</v>
      </c>
      <c r="G418" t="s">
        <v>1097</v>
      </c>
      <c r="H418" s="4">
        <v>1857000</v>
      </c>
      <c r="I418" s="4">
        <v>8260.67615658363</v>
      </c>
      <c r="J418" s="5">
        <v>45.38</v>
      </c>
      <c r="K418" s="5">
        <v>4.63</v>
      </c>
      <c r="L418" s="4">
        <v>1032.5</v>
      </c>
      <c r="M418">
        <v>182</v>
      </c>
      <c r="N418">
        <v>1784</v>
      </c>
      <c r="O418">
        <v>8</v>
      </c>
      <c r="Q418" t="s">
        <v>1162</v>
      </c>
      <c r="R418" t="s">
        <v>1164</v>
      </c>
      <c r="S418" s="2">
        <f>HYPERLINK("https://yandex.ru/maps/?&amp;text=56.858661, 35.749211", "56.858661, 35.749211")</f>
        <v>0</v>
      </c>
      <c r="T418" s="2">
        <f>HYPERLINK("D:\torgi_project\venv_torgi\cache\objs_in_district/56.858661_35.749211.json", "56.858661_35.749211.json")</f>
        <v>0</v>
      </c>
      <c r="U418" t="s">
        <v>1565</v>
      </c>
      <c r="V418" s="7" t="s">
        <v>1628</v>
      </c>
    </row>
    <row r="419" spans="1:22">
      <c r="A419" s="8">
        <v>417</v>
      </c>
      <c r="B419">
        <v>69</v>
      </c>
      <c r="C419" s="1">
        <v>37.5</v>
      </c>
      <c r="D419" s="2">
        <f>HYPERLINK("https://torgi.gov.ru/new/public/lots/lot/22000038240000000009_2/(lotInfo:info)", "22000038240000000009_2")</f>
        <v>0</v>
      </c>
      <c r="E419" t="s">
        <v>430</v>
      </c>
      <c r="F419" s="3" t="s">
        <v>688</v>
      </c>
      <c r="G419" t="s">
        <v>1098</v>
      </c>
      <c r="H419" s="4">
        <v>621000</v>
      </c>
      <c r="I419" s="4">
        <v>16560</v>
      </c>
      <c r="J419" s="5">
        <v>53.25</v>
      </c>
      <c r="K419" s="5">
        <v>6.65</v>
      </c>
      <c r="L419" s="4">
        <v>571.03</v>
      </c>
      <c r="M419">
        <v>311</v>
      </c>
      <c r="N419">
        <v>2490</v>
      </c>
      <c r="O419">
        <v>29</v>
      </c>
      <c r="P419" s="6">
        <v>600</v>
      </c>
      <c r="Q419" t="s">
        <v>1161</v>
      </c>
      <c r="R419" t="s">
        <v>1164</v>
      </c>
      <c r="S419" s="2">
        <f>HYPERLINK("https://yandex.ru/maps/?&amp;text=57.124472, 35.459963", "57.124472, 35.459963")</f>
        <v>0</v>
      </c>
      <c r="T419" s="2">
        <f>HYPERLINK("D:\torgi_project\venv_torgi\cache\objs_in_district/57.124472_35.459963.json", "57.124472_35.459963.json")</f>
        <v>0</v>
      </c>
      <c r="U419" t="s">
        <v>1566</v>
      </c>
      <c r="V419" s="7" t="s">
        <v>1628</v>
      </c>
    </row>
    <row r="420" spans="1:22">
      <c r="A420" s="8">
        <v>418</v>
      </c>
      <c r="B420">
        <v>69</v>
      </c>
      <c r="C420" s="1">
        <v>56.6</v>
      </c>
      <c r="D420" s="2">
        <f>HYPERLINK("https://torgi.gov.ru/new/public/lots/lot/21000014400000000014_3/(lotInfo:info)", "21000014400000000014_3")</f>
        <v>0</v>
      </c>
      <c r="E420" t="s">
        <v>431</v>
      </c>
      <c r="F420" s="3" t="s">
        <v>689</v>
      </c>
      <c r="G420" t="s">
        <v>1099</v>
      </c>
      <c r="H420" s="4">
        <v>993443</v>
      </c>
      <c r="I420" s="4">
        <v>17551.99646643109</v>
      </c>
      <c r="J420" s="5">
        <v>8</v>
      </c>
      <c r="K420" s="5">
        <v>7.06</v>
      </c>
      <c r="L420" s="4">
        <v>1595.55</v>
      </c>
      <c r="M420">
        <v>2195</v>
      </c>
      <c r="N420">
        <v>2487</v>
      </c>
      <c r="O420">
        <v>11</v>
      </c>
      <c r="P420" s="6">
        <v>400</v>
      </c>
      <c r="Q420" t="s">
        <v>1161</v>
      </c>
      <c r="R420" t="s">
        <v>1164</v>
      </c>
      <c r="S420" s="2">
        <f>HYPERLINK("https://yandex.ru/maps/?&amp;text=56.866952, 35.956444", "56.866952, 35.956444")</f>
        <v>0</v>
      </c>
      <c r="T420" s="2">
        <f>HYPERLINK("D:\torgi_project\venv_torgi\cache\objs_in_district/56.866952_35.956444.json", "56.866952_35.956444.json")</f>
        <v>0</v>
      </c>
      <c r="U420" t="s">
        <v>1567</v>
      </c>
      <c r="V420" s="7" t="s">
        <v>1628</v>
      </c>
    </row>
    <row r="421" spans="1:22">
      <c r="A421" s="8">
        <v>419</v>
      </c>
      <c r="B421">
        <v>69</v>
      </c>
      <c r="C421" s="1">
        <v>355.8</v>
      </c>
      <c r="D421" s="2">
        <f>HYPERLINK("https://torgi.gov.ru/new/public/lots/lot/21000000410000000007_2/(lotInfo:info)", "21000000410000000007_2")</f>
        <v>0</v>
      </c>
      <c r="E421" t="s">
        <v>432</v>
      </c>
      <c r="F421" s="3" t="s">
        <v>545</v>
      </c>
      <c r="G421" t="s">
        <v>1100</v>
      </c>
      <c r="H421" s="4">
        <v>8580000</v>
      </c>
      <c r="I421" s="4">
        <v>24114.67116357504</v>
      </c>
      <c r="J421" s="5">
        <v>13.52</v>
      </c>
      <c r="K421" s="5">
        <v>9.890000000000001</v>
      </c>
      <c r="L421" s="4">
        <v>274.02</v>
      </c>
      <c r="M421">
        <v>1783</v>
      </c>
      <c r="N421">
        <v>2439</v>
      </c>
      <c r="O421">
        <v>88</v>
      </c>
      <c r="P421" s="6">
        <v>700</v>
      </c>
      <c r="Q421" t="s">
        <v>1161</v>
      </c>
      <c r="R421" t="s">
        <v>1164</v>
      </c>
      <c r="S421" s="2">
        <f>HYPERLINK("https://yandex.ru/maps/?&amp;text=57.582825, 34.562122", "57.582825, 34.562122")</f>
        <v>0</v>
      </c>
      <c r="T421" s="2">
        <f>HYPERLINK("D:\torgi_project\venv_torgi\cache\objs_in_district/57.582825_34.562122.json", "57.582825_34.562122.json")</f>
        <v>0</v>
      </c>
      <c r="U421" t="s">
        <v>1568</v>
      </c>
      <c r="V421" s="7" t="s">
        <v>1628</v>
      </c>
    </row>
    <row r="422" spans="1:22">
      <c r="A422" s="8">
        <v>420</v>
      </c>
      <c r="B422">
        <v>69</v>
      </c>
      <c r="C422" s="1">
        <v>16.6</v>
      </c>
      <c r="D422" s="2">
        <f>HYPERLINK("https://torgi.gov.ru/new/public/lots/lot/21000014400000000014_1/(lotInfo:info)", "21000014400000000014_1")</f>
        <v>0</v>
      </c>
      <c r="E422" t="s">
        <v>431</v>
      </c>
      <c r="F422" s="3" t="s">
        <v>689</v>
      </c>
      <c r="G422" t="s">
        <v>1101</v>
      </c>
      <c r="H422" s="4">
        <v>827460</v>
      </c>
      <c r="I422" s="4">
        <v>49846.98795180723</v>
      </c>
      <c r="J422" s="5">
        <v>16.54</v>
      </c>
      <c r="K422" s="5">
        <v>7.69</v>
      </c>
      <c r="L422" s="4">
        <v>445.05</v>
      </c>
      <c r="M422">
        <v>3013</v>
      </c>
      <c r="N422">
        <v>6480</v>
      </c>
      <c r="O422">
        <v>112</v>
      </c>
      <c r="P422" s="6">
        <v>500</v>
      </c>
      <c r="Q422" t="s">
        <v>1161</v>
      </c>
      <c r="R422" t="s">
        <v>1164</v>
      </c>
      <c r="S422" s="2">
        <f>HYPERLINK("https://yandex.ru/maps/?&amp;text=56.84423, 35.91551", "56.84423, 35.91551")</f>
        <v>0</v>
      </c>
      <c r="T422" s="2">
        <f>HYPERLINK("D:\torgi_project\venv_torgi\cache\objs_in_district/56.84423_35.91551.json", "56.84423_35.91551.json")</f>
        <v>0</v>
      </c>
      <c r="U422" t="s">
        <v>1569</v>
      </c>
      <c r="V422" s="7" t="s">
        <v>1628</v>
      </c>
    </row>
    <row r="423" spans="1:22">
      <c r="A423" s="8">
        <v>421</v>
      </c>
      <c r="B423">
        <v>70</v>
      </c>
      <c r="C423" s="1">
        <v>348.7</v>
      </c>
      <c r="D423" s="2">
        <f>HYPERLINK("https://torgi.gov.ru/new/public/lots/lot/21000022460000000006_1/(lotInfo:info)", "21000022460000000006_1")</f>
        <v>0</v>
      </c>
      <c r="E423" t="s">
        <v>433</v>
      </c>
      <c r="F423" s="3" t="s">
        <v>690</v>
      </c>
      <c r="G423" t="s">
        <v>1102</v>
      </c>
      <c r="H423" s="4">
        <v>1431000</v>
      </c>
      <c r="I423" s="4">
        <v>4103.814166905649</v>
      </c>
      <c r="P423" s="6">
        <v>2400</v>
      </c>
      <c r="Q423" t="s">
        <v>1161</v>
      </c>
      <c r="R423" t="s">
        <v>1164</v>
      </c>
      <c r="S423" s="2">
        <f>HYPERLINK("https://yandex.ru/maps/?&amp;text=56.975416, 86.121127", "56.975416, 86.121127")</f>
        <v>0</v>
      </c>
      <c r="U423" t="s">
        <v>1570</v>
      </c>
      <c r="V423" s="7" t="s">
        <v>1628</v>
      </c>
    </row>
    <row r="424" spans="1:22">
      <c r="A424" s="8">
        <v>422</v>
      </c>
      <c r="B424">
        <v>70</v>
      </c>
      <c r="C424" s="1">
        <v>92.09999999999999</v>
      </c>
      <c r="D424" s="2">
        <f>HYPERLINK("https://torgi.gov.ru/new/public/lots/lot/21000022460000000005_1/(lotInfo:info)", "21000022460000000005_1")</f>
        <v>0</v>
      </c>
      <c r="E424" t="s">
        <v>434</v>
      </c>
      <c r="F424" s="3" t="s">
        <v>690</v>
      </c>
      <c r="G424" t="s">
        <v>1103</v>
      </c>
      <c r="H424" s="4">
        <v>615000</v>
      </c>
      <c r="I424" s="4">
        <v>6677.524429967427</v>
      </c>
      <c r="J424" s="5">
        <v>21.89</v>
      </c>
      <c r="K424" s="5">
        <v>15.35</v>
      </c>
      <c r="L424" s="4">
        <v>6677</v>
      </c>
      <c r="M424">
        <v>305</v>
      </c>
      <c r="N424">
        <v>435</v>
      </c>
      <c r="O424">
        <v>1</v>
      </c>
      <c r="P424" s="6">
        <v>3600</v>
      </c>
      <c r="Q424" t="s">
        <v>1161</v>
      </c>
      <c r="R424" t="s">
        <v>1164</v>
      </c>
      <c r="S424" s="2">
        <f>HYPERLINK("https://yandex.ru/maps/?&amp;text=56.379337, 84.878164", "56.379337, 84.878164")</f>
        <v>0</v>
      </c>
      <c r="T424" s="2">
        <f>HYPERLINK("D:\torgi_project\venv_torgi\cache\objs_in_district/56.379337_84.878164.json", "56.379337_84.878164.json")</f>
        <v>0</v>
      </c>
      <c r="U424" t="s">
        <v>1571</v>
      </c>
      <c r="V424" s="7" t="s">
        <v>1628</v>
      </c>
    </row>
    <row r="425" spans="1:22">
      <c r="A425" s="8">
        <v>423</v>
      </c>
      <c r="B425">
        <v>70</v>
      </c>
      <c r="C425" s="1">
        <v>285.2</v>
      </c>
      <c r="D425" s="2">
        <f>HYPERLINK("https://torgi.gov.ru/new/public/lots/lot/21000012290000000011_2/(lotInfo:info)", "21000012290000000011_2")</f>
        <v>0</v>
      </c>
      <c r="E425" t="s">
        <v>435</v>
      </c>
      <c r="F425" s="3" t="s">
        <v>691</v>
      </c>
      <c r="G425" t="s">
        <v>1104</v>
      </c>
      <c r="H425" s="4">
        <v>2040000</v>
      </c>
      <c r="I425" s="4">
        <v>7152.875175315568</v>
      </c>
      <c r="J425" s="5">
        <v>2.91</v>
      </c>
      <c r="K425" s="5">
        <v>41.1</v>
      </c>
      <c r="L425" s="4">
        <v>550.15</v>
      </c>
      <c r="M425">
        <v>2458</v>
      </c>
      <c r="N425">
        <v>174</v>
      </c>
      <c r="O425">
        <v>13</v>
      </c>
      <c r="P425" s="6">
        <v>1300</v>
      </c>
      <c r="Q425" t="s">
        <v>1161</v>
      </c>
      <c r="R425" t="s">
        <v>1164</v>
      </c>
      <c r="S425" s="2">
        <f>HYPERLINK("https://yandex.ru/maps/?&amp;text=56.60093, 84.87698", "56.60093, 84.87698")</f>
        <v>0</v>
      </c>
      <c r="T425" s="2">
        <f>HYPERLINK("D:\torgi_project\venv_torgi\cache\objs_in_district/56.60093_84.87698.json", "56.60093_84.87698.json")</f>
        <v>0</v>
      </c>
      <c r="U425" t="s">
        <v>1572</v>
      </c>
    </row>
    <row r="426" spans="1:22">
      <c r="A426" s="8">
        <v>424</v>
      </c>
      <c r="B426">
        <v>70</v>
      </c>
      <c r="C426" s="1">
        <v>85.5</v>
      </c>
      <c r="D426" s="2">
        <f>HYPERLINK("https://torgi.gov.ru/new/public/lots/lot/22000024720000000004_1/(lotInfo:info)", "22000024720000000004_1")</f>
        <v>0</v>
      </c>
      <c r="E426" t="s">
        <v>436</v>
      </c>
      <c r="F426" s="3" t="s">
        <v>692</v>
      </c>
      <c r="G426" t="s">
        <v>1105</v>
      </c>
      <c r="H426" s="4">
        <v>890120</v>
      </c>
      <c r="I426" s="4">
        <v>10410.76023391813</v>
      </c>
      <c r="J426" s="5">
        <v>5.11</v>
      </c>
      <c r="K426" s="5">
        <v>133.46</v>
      </c>
      <c r="L426" s="4">
        <v>10410</v>
      </c>
      <c r="M426">
        <v>2036</v>
      </c>
      <c r="N426">
        <v>78</v>
      </c>
      <c r="O426">
        <v>1</v>
      </c>
      <c r="Q426" t="s">
        <v>1161</v>
      </c>
      <c r="R426" t="s">
        <v>1164</v>
      </c>
      <c r="S426" s="2">
        <f>HYPERLINK("https://yandex.ru/maps/?&amp;text=57.004223, 86.122116", "57.004223, 86.122116")</f>
        <v>0</v>
      </c>
      <c r="T426" s="2">
        <f>HYPERLINK("D:\torgi_project\venv_torgi\cache\objs_in_district/57.004223_86.122116.json", "57.004223_86.122116.json")</f>
        <v>0</v>
      </c>
    </row>
    <row r="427" spans="1:22">
      <c r="A427" s="8">
        <v>425</v>
      </c>
      <c r="B427">
        <v>70</v>
      </c>
      <c r="C427" s="1">
        <v>37.6</v>
      </c>
      <c r="D427" s="2">
        <f>HYPERLINK("https://torgi.gov.ru/new/public/lots/lot/21000022460000000004_1/(lotInfo:info)", "21000022460000000004_1")</f>
        <v>0</v>
      </c>
      <c r="E427" t="s">
        <v>437</v>
      </c>
      <c r="F427" s="3" t="s">
        <v>693</v>
      </c>
      <c r="G427" t="s">
        <v>1106</v>
      </c>
      <c r="H427" s="4">
        <v>693000</v>
      </c>
      <c r="I427" s="4">
        <v>18430.85106382978</v>
      </c>
      <c r="J427" s="5">
        <v>62.47</v>
      </c>
      <c r="K427" s="5">
        <v>91.69</v>
      </c>
      <c r="L427" s="4">
        <v>18430</v>
      </c>
      <c r="M427">
        <v>295</v>
      </c>
      <c r="N427">
        <v>201</v>
      </c>
      <c r="O427">
        <v>1</v>
      </c>
      <c r="Q427" t="s">
        <v>1161</v>
      </c>
      <c r="R427" t="s">
        <v>1164</v>
      </c>
      <c r="S427" s="2">
        <f>HYPERLINK("https://yandex.ru/maps/?&amp;text=56.570266, 84.984048", "56.570266, 84.984048")</f>
        <v>0</v>
      </c>
      <c r="T427" s="2">
        <f>HYPERLINK("D:\torgi_project\venv_torgi\cache\objs_in_district/56.570266_84.984048.json", "56.570266_84.984048.json")</f>
        <v>0</v>
      </c>
      <c r="U427" t="s">
        <v>1573</v>
      </c>
      <c r="V427" s="7" t="s">
        <v>1630</v>
      </c>
    </row>
    <row r="428" spans="1:22">
      <c r="A428" s="8">
        <v>426</v>
      </c>
      <c r="B428">
        <v>70</v>
      </c>
      <c r="C428" s="1">
        <v>133.4</v>
      </c>
      <c r="D428" s="2">
        <f>HYPERLINK("https://torgi.gov.ru/new/public/lots/lot/21000002310000000243_1/(lotInfo:info)", "21000002310000000243_1")</f>
        <v>0</v>
      </c>
      <c r="E428" t="s">
        <v>438</v>
      </c>
      <c r="F428" s="3" t="s">
        <v>621</v>
      </c>
      <c r="G428" t="s">
        <v>1107</v>
      </c>
      <c r="H428" s="4">
        <v>4747901</v>
      </c>
      <c r="I428" s="4">
        <v>35591.46176911544</v>
      </c>
      <c r="J428" s="5">
        <v>6.4</v>
      </c>
      <c r="K428" s="5">
        <v>13.68</v>
      </c>
      <c r="L428" s="4">
        <v>1046.79</v>
      </c>
      <c r="M428">
        <v>5564</v>
      </c>
      <c r="N428">
        <v>2601</v>
      </c>
      <c r="O428">
        <v>34</v>
      </c>
      <c r="P428" s="6">
        <v>900</v>
      </c>
      <c r="Q428" t="s">
        <v>1162</v>
      </c>
      <c r="R428" t="s">
        <v>1164</v>
      </c>
      <c r="S428" s="2">
        <f>HYPERLINK("https://yandex.ru/maps/?&amp;text=56.49556, 84.95887", "56.49556, 84.95887")</f>
        <v>0</v>
      </c>
      <c r="T428" s="2">
        <f>HYPERLINK("D:\torgi_project\venv_torgi\cache\objs_in_district/56.49556_84.95887.json", "56.49556_84.95887.json")</f>
        <v>0</v>
      </c>
      <c r="U428" t="s">
        <v>1574</v>
      </c>
      <c r="V428" s="7" t="s">
        <v>1628</v>
      </c>
    </row>
    <row r="429" spans="1:22">
      <c r="A429" s="8">
        <v>427</v>
      </c>
      <c r="B429">
        <v>70</v>
      </c>
      <c r="C429" s="1">
        <v>37.5</v>
      </c>
      <c r="D429" s="2">
        <f>HYPERLINK("https://torgi.gov.ru/new/public/lots/lot/21000022460000000008_1/(lotInfo:info)", "21000022460000000008_1")</f>
        <v>0</v>
      </c>
      <c r="E429" t="s">
        <v>439</v>
      </c>
      <c r="F429" s="3" t="s">
        <v>693</v>
      </c>
      <c r="G429" t="s">
        <v>1108</v>
      </c>
      <c r="H429" s="4">
        <v>1488000</v>
      </c>
      <c r="I429" s="4">
        <v>39680</v>
      </c>
      <c r="J429" s="5">
        <v>8.859999999999999</v>
      </c>
      <c r="K429" s="5">
        <v>15.83</v>
      </c>
      <c r="L429" s="4">
        <v>298.35</v>
      </c>
      <c r="M429">
        <v>4479</v>
      </c>
      <c r="N429">
        <v>2506</v>
      </c>
      <c r="O429">
        <v>133</v>
      </c>
      <c r="P429" s="6">
        <v>100</v>
      </c>
      <c r="Q429" t="s">
        <v>1161</v>
      </c>
      <c r="R429" t="s">
        <v>1164</v>
      </c>
      <c r="S429" s="2">
        <f>HYPERLINK("https://yandex.ru/maps/?&amp;text=56.484004, 84.94773", "56.484004, 84.94773")</f>
        <v>0</v>
      </c>
      <c r="T429" s="2">
        <f>HYPERLINK("D:\torgi_project\venv_torgi\cache\objs_in_district/56.484004_84.94773.json", "56.484004_84.94773.json")</f>
        <v>0</v>
      </c>
      <c r="U429" t="s">
        <v>1575</v>
      </c>
      <c r="V429" s="7" t="s">
        <v>1633</v>
      </c>
    </row>
    <row r="430" spans="1:22">
      <c r="A430" s="8">
        <v>428</v>
      </c>
      <c r="B430">
        <v>71</v>
      </c>
      <c r="C430" s="1">
        <v>41.3</v>
      </c>
      <c r="D430" s="2">
        <f>HYPERLINK("https://torgi.gov.ru/new/public/lots/lot/22000005610000000002_1/(lotInfo:info)", "22000005610000000002_1")</f>
        <v>0</v>
      </c>
      <c r="E430" t="s">
        <v>440</v>
      </c>
      <c r="F430" s="3" t="s">
        <v>527</v>
      </c>
      <c r="G430" t="s">
        <v>1109</v>
      </c>
      <c r="H430" s="4">
        <v>668317</v>
      </c>
      <c r="I430" s="4">
        <v>16182.00968523002</v>
      </c>
      <c r="J430" s="5">
        <v>18.64</v>
      </c>
      <c r="K430" s="5">
        <v>12.26</v>
      </c>
      <c r="L430" s="4">
        <v>190.38</v>
      </c>
      <c r="M430">
        <v>868</v>
      </c>
      <c r="N430">
        <v>1320</v>
      </c>
      <c r="O430">
        <v>85</v>
      </c>
      <c r="P430" s="6">
        <v>300</v>
      </c>
      <c r="Q430" t="s">
        <v>1161</v>
      </c>
      <c r="R430" t="s">
        <v>1164</v>
      </c>
      <c r="S430" s="2">
        <f>HYPERLINK("https://yandex.ru/maps/?&amp;text=54.350037, 38.263084", "54.350037, 38.263084")</f>
        <v>0</v>
      </c>
      <c r="T430" s="2">
        <f>HYPERLINK("D:\torgi_project\venv_torgi\cache\objs_in_district/54.350037_38.263084.json", "54.350037_38.263084.json")</f>
        <v>0</v>
      </c>
      <c r="U430" t="s">
        <v>1576</v>
      </c>
      <c r="V430" s="7" t="s">
        <v>1630</v>
      </c>
    </row>
    <row r="431" spans="1:22">
      <c r="A431" s="8">
        <v>429</v>
      </c>
      <c r="B431">
        <v>71</v>
      </c>
      <c r="C431" s="1">
        <v>166.4</v>
      </c>
      <c r="D431" s="2">
        <f>HYPERLINK("https://torgi.gov.ru/new/public/lots/lot/21000033950000000035_1/(lotInfo:info)", "21000033950000000035_1")</f>
        <v>0</v>
      </c>
      <c r="E431" t="s">
        <v>441</v>
      </c>
      <c r="F431" s="3" t="s">
        <v>661</v>
      </c>
      <c r="G431" t="s">
        <v>1110</v>
      </c>
      <c r="H431" s="4">
        <v>3269991</v>
      </c>
      <c r="I431" s="4">
        <v>19651.38822115384</v>
      </c>
      <c r="J431" s="5">
        <v>51.17</v>
      </c>
      <c r="K431" s="5">
        <v>16.42</v>
      </c>
      <c r="L431" s="4">
        <v>2183.44</v>
      </c>
      <c r="M431">
        <v>384</v>
      </c>
      <c r="N431">
        <v>1197</v>
      </c>
      <c r="O431">
        <v>9</v>
      </c>
      <c r="P431" s="6">
        <v>600</v>
      </c>
      <c r="Q431" t="s">
        <v>1161</v>
      </c>
      <c r="R431" t="s">
        <v>1164</v>
      </c>
      <c r="S431" s="2">
        <f>HYPERLINK("https://yandex.ru/maps/?&amp;text=53.806733, 36.13608", "53.806733, 36.13608")</f>
        <v>0</v>
      </c>
      <c r="T431" s="2">
        <f>HYPERLINK("D:\torgi_project\venv_torgi\cache\objs_in_district/53.806733_36.13608.json", "53.806733_36.13608.json")</f>
        <v>0</v>
      </c>
      <c r="U431" t="s">
        <v>1577</v>
      </c>
      <c r="V431" s="7" t="s">
        <v>1630</v>
      </c>
    </row>
    <row r="432" spans="1:22">
      <c r="A432" s="8">
        <v>430</v>
      </c>
      <c r="B432">
        <v>71</v>
      </c>
      <c r="C432" s="1">
        <v>35.9</v>
      </c>
      <c r="D432" s="2">
        <f>HYPERLINK("https://torgi.gov.ru/new/public/lots/lot/22000005610000000002_2/(lotInfo:info)", "22000005610000000002_2")</f>
        <v>0</v>
      </c>
      <c r="E432" t="s">
        <v>442</v>
      </c>
      <c r="F432" s="3" t="s">
        <v>527</v>
      </c>
      <c r="G432" t="s">
        <v>1109</v>
      </c>
      <c r="H432" s="4">
        <v>778420</v>
      </c>
      <c r="I432" s="4">
        <v>21683.00835654596</v>
      </c>
      <c r="J432" s="5">
        <v>24.98</v>
      </c>
      <c r="K432" s="5">
        <v>16.43</v>
      </c>
      <c r="L432" s="4">
        <v>255.09</v>
      </c>
      <c r="M432">
        <v>868</v>
      </c>
      <c r="N432">
        <v>1320</v>
      </c>
      <c r="O432">
        <v>85</v>
      </c>
      <c r="P432" s="6">
        <v>300</v>
      </c>
      <c r="Q432" t="s">
        <v>1161</v>
      </c>
      <c r="R432" t="s">
        <v>1164</v>
      </c>
      <c r="S432" s="2">
        <f>HYPERLINK("https://yandex.ru/maps/?&amp;text=54.350037, 38.263084", "54.350037, 38.263084")</f>
        <v>0</v>
      </c>
      <c r="T432" s="2">
        <f>HYPERLINK("D:\torgi_project\venv_torgi\cache\objs_in_district/54.350037_38.263084.json", "54.350037_38.263084.json")</f>
        <v>0</v>
      </c>
      <c r="U432" t="s">
        <v>1578</v>
      </c>
      <c r="V432" s="7" t="s">
        <v>1628</v>
      </c>
    </row>
    <row r="433" spans="1:22">
      <c r="A433" s="8">
        <v>431</v>
      </c>
      <c r="B433">
        <v>71</v>
      </c>
      <c r="C433" s="1">
        <v>256.2</v>
      </c>
      <c r="D433" s="2">
        <f>HYPERLINK("https://torgi.gov.ru/new/public/lots/lot/21000018800000000015_1/(lotInfo:info)", "21000018800000000015_1")</f>
        <v>0</v>
      </c>
      <c r="E433" t="s">
        <v>443</v>
      </c>
      <c r="F433" s="3" t="s">
        <v>694</v>
      </c>
      <c r="G433" t="s">
        <v>1111</v>
      </c>
      <c r="H433" s="4">
        <v>7578164</v>
      </c>
      <c r="I433" s="4">
        <v>29579.09445745511</v>
      </c>
      <c r="J433" s="5">
        <v>11.69</v>
      </c>
      <c r="K433" s="5">
        <v>9.42</v>
      </c>
      <c r="L433" s="4">
        <v>2275.31</v>
      </c>
      <c r="M433">
        <v>2530</v>
      </c>
      <c r="N433">
        <v>3141</v>
      </c>
      <c r="O433">
        <v>13</v>
      </c>
      <c r="P433" s="6">
        <v>1200</v>
      </c>
      <c r="Q433" t="s">
        <v>1161</v>
      </c>
      <c r="R433" t="s">
        <v>1164</v>
      </c>
      <c r="S433" s="2">
        <f>HYPERLINK("https://yandex.ru/maps/?&amp;text=54.120959, 37.538548", "54.120959, 37.538548")</f>
        <v>0</v>
      </c>
      <c r="T433" s="2">
        <f>HYPERLINK("D:\torgi_project\venv_torgi\cache\objs_in_district/54.120959_37.538548.json", "54.120959_37.538548.json")</f>
        <v>0</v>
      </c>
      <c r="U433" t="s">
        <v>1579</v>
      </c>
      <c r="V433" s="7" t="s">
        <v>1628</v>
      </c>
    </row>
    <row r="434" spans="1:22">
      <c r="A434" s="8">
        <v>432</v>
      </c>
      <c r="B434">
        <v>73</v>
      </c>
      <c r="C434" s="1">
        <v>181</v>
      </c>
      <c r="D434" s="2">
        <f>HYPERLINK("https://torgi.gov.ru/new/public/lots/lot/21000013570000000012_1/(lotInfo:info)", "21000013570000000012_1")</f>
        <v>0</v>
      </c>
      <c r="E434" t="s">
        <v>444</v>
      </c>
      <c r="F434" s="3" t="s">
        <v>678</v>
      </c>
      <c r="G434" t="s">
        <v>1112</v>
      </c>
      <c r="H434" s="4">
        <v>2015455.81</v>
      </c>
      <c r="I434" s="4">
        <v>11135.11497237569</v>
      </c>
      <c r="J434" s="5">
        <v>19.4</v>
      </c>
      <c r="K434" s="5">
        <v>5.23</v>
      </c>
      <c r="L434" s="4">
        <v>556.75</v>
      </c>
      <c r="M434">
        <v>574</v>
      </c>
      <c r="N434">
        <v>2130</v>
      </c>
      <c r="O434">
        <v>20</v>
      </c>
      <c r="P434" s="6">
        <v>200</v>
      </c>
      <c r="Q434" t="s">
        <v>1161</v>
      </c>
      <c r="R434" t="s">
        <v>1164</v>
      </c>
      <c r="S434" s="2">
        <f>HYPERLINK("https://yandex.ru/maps/?&amp;text=54.397408, 48.371125", "54.397408, 48.371125")</f>
        <v>0</v>
      </c>
      <c r="T434" s="2">
        <f>HYPERLINK("D:\torgi_project\venv_torgi\cache\objs_in_district/54.397408_48.371125.json", "54.397408_48.371125.json")</f>
        <v>0</v>
      </c>
      <c r="U434" t="s">
        <v>1580</v>
      </c>
    </row>
    <row r="435" spans="1:22">
      <c r="A435" s="8">
        <v>433</v>
      </c>
      <c r="B435">
        <v>73</v>
      </c>
      <c r="C435" s="1">
        <v>158.4</v>
      </c>
      <c r="D435" s="2">
        <f>HYPERLINK("https://torgi.gov.ru/new/public/lots/lot/21000013570000000013_6/(lotInfo:info)", "21000013570000000013_6")</f>
        <v>0</v>
      </c>
      <c r="E435" t="s">
        <v>445</v>
      </c>
      <c r="F435" s="3" t="s">
        <v>678</v>
      </c>
      <c r="G435" t="s">
        <v>1113</v>
      </c>
      <c r="H435" s="4">
        <v>2234640.05</v>
      </c>
      <c r="I435" s="4">
        <v>14107.57607323232</v>
      </c>
      <c r="J435" s="5">
        <v>4.33</v>
      </c>
      <c r="K435" s="5">
        <v>4.19</v>
      </c>
      <c r="L435" s="4">
        <v>414.91</v>
      </c>
      <c r="M435">
        <v>3261</v>
      </c>
      <c r="N435">
        <v>3368</v>
      </c>
      <c r="O435">
        <v>34</v>
      </c>
      <c r="P435" s="6">
        <v>1000</v>
      </c>
      <c r="Q435" t="s">
        <v>1161</v>
      </c>
      <c r="R435" t="s">
        <v>1164</v>
      </c>
      <c r="S435" s="2">
        <f>HYPERLINK("https://yandex.ru/maps/?&amp;text=54.316067, 48.372041", "54.316067, 48.372041")</f>
        <v>0</v>
      </c>
      <c r="T435" s="2">
        <f>HYPERLINK("D:\torgi_project\venv_torgi\cache\objs_in_district/54.316067_48.372041.json", "54.316067_48.372041.json")</f>
        <v>0</v>
      </c>
      <c r="U435" t="s">
        <v>1581</v>
      </c>
    </row>
    <row r="436" spans="1:22">
      <c r="A436" s="8">
        <v>434</v>
      </c>
      <c r="B436">
        <v>73</v>
      </c>
      <c r="C436" s="1">
        <v>31.4</v>
      </c>
      <c r="D436" s="2">
        <f>HYPERLINK("https://torgi.gov.ru/new/public/lots/lot/21000013570000000012_3/(lotInfo:info)", "21000013570000000012_3")</f>
        <v>0</v>
      </c>
      <c r="E436" t="s">
        <v>446</v>
      </c>
      <c r="F436" s="3" t="s">
        <v>678</v>
      </c>
      <c r="G436" t="s">
        <v>1114</v>
      </c>
      <c r="H436" s="4">
        <v>586848.08</v>
      </c>
      <c r="I436" s="4">
        <v>18689.42929936306</v>
      </c>
      <c r="J436" s="5">
        <v>8.01</v>
      </c>
      <c r="K436" s="5">
        <v>6.86</v>
      </c>
      <c r="L436" s="4">
        <v>519.14</v>
      </c>
      <c r="M436">
        <v>2332</v>
      </c>
      <c r="N436">
        <v>2723</v>
      </c>
      <c r="O436">
        <v>36</v>
      </c>
      <c r="P436" s="6">
        <v>400</v>
      </c>
      <c r="Q436" t="s">
        <v>1161</v>
      </c>
      <c r="R436" t="s">
        <v>1164</v>
      </c>
      <c r="S436" s="2">
        <f>HYPERLINK("https://yandex.ru/maps/?&amp;text=54.314869, 48.364684", "54.314869, 48.364684")</f>
        <v>0</v>
      </c>
      <c r="T436" s="2">
        <f>HYPERLINK("D:\torgi_project\venv_torgi\cache\objs_in_district/54.314869_48.364684.json", "54.314869_48.364684.json")</f>
        <v>0</v>
      </c>
      <c r="U436" t="s">
        <v>1582</v>
      </c>
    </row>
    <row r="437" spans="1:22">
      <c r="A437" s="8">
        <v>435</v>
      </c>
      <c r="B437">
        <v>73</v>
      </c>
      <c r="C437" s="1">
        <v>117.5</v>
      </c>
      <c r="D437" s="2">
        <f>HYPERLINK("https://torgi.gov.ru/new/public/lots/lot/21000013570000000013_7/(lotInfo:info)", "21000013570000000013_7")</f>
        <v>0</v>
      </c>
      <c r="E437" t="s">
        <v>447</v>
      </c>
      <c r="F437" s="3" t="s">
        <v>678</v>
      </c>
      <c r="G437" t="s">
        <v>1115</v>
      </c>
      <c r="H437" s="4">
        <v>2890218.98</v>
      </c>
      <c r="I437" s="4">
        <v>24597.60834042553</v>
      </c>
      <c r="J437" s="5">
        <v>8.23</v>
      </c>
      <c r="K437" s="5">
        <v>3.8</v>
      </c>
      <c r="L437" s="4">
        <v>71.70999999999999</v>
      </c>
      <c r="M437">
        <v>2989</v>
      </c>
      <c r="N437">
        <v>6477</v>
      </c>
      <c r="O437">
        <v>343</v>
      </c>
      <c r="P437" s="6">
        <v>300</v>
      </c>
      <c r="Q437" t="s">
        <v>1161</v>
      </c>
      <c r="R437" t="s">
        <v>1164</v>
      </c>
      <c r="S437" s="2">
        <f>HYPERLINK("https://yandex.ru/maps/?&amp;text=54.317936, 48.400123", "54.317936, 48.400123")</f>
        <v>0</v>
      </c>
      <c r="T437" s="2">
        <f>HYPERLINK("D:\torgi_project\venv_torgi\cache\objs_in_district/54.317936_48.400123.json", "54.317936_48.400123.json")</f>
        <v>0</v>
      </c>
      <c r="U437" t="s">
        <v>1583</v>
      </c>
      <c r="V437" s="7" t="s">
        <v>1628</v>
      </c>
    </row>
    <row r="438" spans="1:22">
      <c r="A438" s="8">
        <v>436</v>
      </c>
      <c r="B438">
        <v>74</v>
      </c>
      <c r="C438" s="1">
        <v>337.1</v>
      </c>
      <c r="D438" s="2">
        <f>HYPERLINK("https://torgi.gov.ru/new/public/lots/lot/22000029200000000001_1/(lotInfo:info)", "22000029200000000001_1")</f>
        <v>0</v>
      </c>
      <c r="E438" t="s">
        <v>448</v>
      </c>
      <c r="F438" s="3" t="s">
        <v>695</v>
      </c>
      <c r="G438" t="s">
        <v>1116</v>
      </c>
      <c r="H438" s="4">
        <v>576000</v>
      </c>
      <c r="I438" s="4">
        <v>1708.691782853753</v>
      </c>
      <c r="J438" s="5">
        <v>2.83</v>
      </c>
      <c r="K438" s="5">
        <v>4.31</v>
      </c>
      <c r="L438" s="4">
        <v>1708</v>
      </c>
      <c r="M438">
        <v>603</v>
      </c>
      <c r="N438">
        <v>396</v>
      </c>
      <c r="O438">
        <v>1</v>
      </c>
      <c r="P438" s="6">
        <v>1100</v>
      </c>
      <c r="Q438" t="s">
        <v>1161</v>
      </c>
      <c r="R438" t="s">
        <v>1164</v>
      </c>
      <c r="S438" s="2">
        <f>HYPERLINK("https://yandex.ru/maps/?&amp;text=54.40735, 62.736821", "54.40735, 62.736821")</f>
        <v>0</v>
      </c>
      <c r="T438" s="2">
        <f>HYPERLINK("D:\torgi_project\venv_torgi\cache\objs_in_district/54.40735_62.736821.json", "54.40735_62.736821.json")</f>
        <v>0</v>
      </c>
      <c r="U438" t="s">
        <v>1584</v>
      </c>
      <c r="V438" s="7" t="s">
        <v>1628</v>
      </c>
    </row>
    <row r="439" spans="1:22">
      <c r="A439" s="8">
        <v>437</v>
      </c>
      <c r="B439">
        <v>74</v>
      </c>
      <c r="C439" s="1">
        <v>303.9</v>
      </c>
      <c r="D439" s="2">
        <f>HYPERLINK("https://torgi.gov.ru/new/public/lots/lot/22000072170000000004_1/(lotInfo:info)", "22000072170000000004_1")</f>
        <v>0</v>
      </c>
      <c r="E439" t="s">
        <v>449</v>
      </c>
      <c r="F439" s="3" t="s">
        <v>696</v>
      </c>
      <c r="G439" t="s">
        <v>1117</v>
      </c>
      <c r="H439" s="4">
        <v>526000</v>
      </c>
      <c r="I439" s="4">
        <v>1730.832510694308</v>
      </c>
      <c r="J439" s="5">
        <v>2.55</v>
      </c>
      <c r="K439" s="5">
        <v>1.48</v>
      </c>
      <c r="L439" s="4">
        <v>173</v>
      </c>
      <c r="M439">
        <v>678</v>
      </c>
      <c r="N439">
        <v>1170</v>
      </c>
      <c r="O439">
        <v>10</v>
      </c>
      <c r="P439" s="6">
        <v>100</v>
      </c>
      <c r="Q439" t="s">
        <v>1161</v>
      </c>
      <c r="R439" t="s">
        <v>1164</v>
      </c>
      <c r="S439" s="2">
        <f>HYPERLINK("https://yandex.ru/maps/?&amp;text=53.813682, 60.655128", "53.813682, 60.655128")</f>
        <v>0</v>
      </c>
      <c r="T439" s="2">
        <f>HYPERLINK("D:\torgi_project\venv_torgi\cache\objs_in_district/53.813682_60.655128.json", "53.813682_60.655128.json")</f>
        <v>0</v>
      </c>
      <c r="U439" t="s">
        <v>1585</v>
      </c>
    </row>
    <row r="440" spans="1:22">
      <c r="A440" s="8">
        <v>438</v>
      </c>
      <c r="B440">
        <v>74</v>
      </c>
      <c r="C440" s="1">
        <v>330.1</v>
      </c>
      <c r="D440" s="2">
        <f>HYPERLINK("https://torgi.gov.ru/new/public/lots/lot/22000054880000000003_1/(lotInfo:info)", "22000054880000000003_1")</f>
        <v>0</v>
      </c>
      <c r="E440" t="s">
        <v>450</v>
      </c>
      <c r="F440" s="3" t="s">
        <v>697</v>
      </c>
      <c r="G440" t="s">
        <v>1118</v>
      </c>
      <c r="H440" s="4">
        <v>1407750</v>
      </c>
      <c r="I440" s="4">
        <v>4264.616782793093</v>
      </c>
      <c r="J440" s="5">
        <v>5.57</v>
      </c>
      <c r="K440" s="5">
        <v>5.78</v>
      </c>
      <c r="L440" s="4">
        <v>328</v>
      </c>
      <c r="M440">
        <v>766</v>
      </c>
      <c r="N440">
        <v>738</v>
      </c>
      <c r="O440">
        <v>13</v>
      </c>
      <c r="P440" s="6">
        <v>100</v>
      </c>
      <c r="Q440" t="s">
        <v>1161</v>
      </c>
      <c r="R440" t="s">
        <v>1164</v>
      </c>
      <c r="S440" s="2">
        <f>HYPERLINK("https://yandex.ru/maps/?&amp;text=55.251501, 61.733753", "55.251501, 61.733753")</f>
        <v>0</v>
      </c>
      <c r="T440" s="2">
        <f>HYPERLINK("D:\torgi_project\venv_torgi\cache\objs_in_district/55.251501_61.733753.json", "55.251501_61.733753.json")</f>
        <v>0</v>
      </c>
      <c r="U440" t="s">
        <v>1586</v>
      </c>
      <c r="V440" s="7" t="s">
        <v>1628</v>
      </c>
    </row>
    <row r="441" spans="1:22">
      <c r="A441" s="8">
        <v>439</v>
      </c>
      <c r="B441">
        <v>74</v>
      </c>
      <c r="C441" s="1">
        <v>158.6</v>
      </c>
      <c r="D441" s="2">
        <f>HYPERLINK("https://torgi.gov.ru/new/public/lots/lot/21000027850000000020_1/(lotInfo:info)", "21000027850000000020_1")</f>
        <v>0</v>
      </c>
      <c r="E441" t="s">
        <v>451</v>
      </c>
      <c r="F441" s="3" t="s">
        <v>698</v>
      </c>
      <c r="G441" t="s">
        <v>1119</v>
      </c>
      <c r="H441" s="4">
        <v>849000</v>
      </c>
      <c r="I441" s="4">
        <v>5353.089533417403</v>
      </c>
      <c r="J441" s="5">
        <v>11.34</v>
      </c>
      <c r="K441" s="5">
        <v>1.75</v>
      </c>
      <c r="L441" s="4">
        <v>2676.5</v>
      </c>
      <c r="M441">
        <v>472</v>
      </c>
      <c r="N441">
        <v>3057</v>
      </c>
      <c r="O441">
        <v>2</v>
      </c>
      <c r="P441" s="6">
        <v>900</v>
      </c>
      <c r="Q441" t="s">
        <v>1161</v>
      </c>
      <c r="R441" t="s">
        <v>1164</v>
      </c>
      <c r="S441" s="2">
        <f>HYPERLINK("https://yandex.ru/maps/?&amp;text=54.944412, 58.804546", "54.944412, 58.804546")</f>
        <v>0</v>
      </c>
      <c r="T441" s="2">
        <f>HYPERLINK("D:\torgi_project\venv_torgi\cache\objs_in_district/54.944412_58.804546.json", "54.944412_58.804546.json")</f>
        <v>0</v>
      </c>
      <c r="U441" t="s">
        <v>1587</v>
      </c>
      <c r="V441" s="7" t="s">
        <v>1629</v>
      </c>
    </row>
    <row r="442" spans="1:22">
      <c r="A442" s="8">
        <v>440</v>
      </c>
      <c r="B442">
        <v>74</v>
      </c>
      <c r="C442" s="1">
        <v>335</v>
      </c>
      <c r="D442" s="2">
        <f>HYPERLINK("https://torgi.gov.ru/new/public/lots/lot/21000005950000000005_1/(lotInfo:info)", "21000005950000000005_1")</f>
        <v>0</v>
      </c>
      <c r="E442" t="s">
        <v>452</v>
      </c>
      <c r="F442" s="3" t="s">
        <v>699</v>
      </c>
      <c r="G442" t="s">
        <v>1120</v>
      </c>
      <c r="H442" s="4">
        <v>3085000</v>
      </c>
      <c r="I442" s="4">
        <v>9208.955223880597</v>
      </c>
      <c r="J442" s="5">
        <v>112.29</v>
      </c>
      <c r="K442" s="5">
        <v>2.76</v>
      </c>
      <c r="L442" s="4">
        <v>1534.67</v>
      </c>
      <c r="M442">
        <v>82</v>
      </c>
      <c r="N442">
        <v>3342</v>
      </c>
      <c r="O442">
        <v>6</v>
      </c>
      <c r="Q442" t="s">
        <v>1161</v>
      </c>
      <c r="R442" t="s">
        <v>1164</v>
      </c>
      <c r="S442" s="2">
        <f>HYPERLINK("https://yandex.ru/maps/?&amp;text=54.822407, 61.707136", "54.822407, 61.707136")</f>
        <v>0</v>
      </c>
      <c r="T442" s="2">
        <f>HYPERLINK("D:\torgi_project\venv_torgi\cache\objs_in_district/54.822407_61.707136.json", "54.822407_61.707136.json")</f>
        <v>0</v>
      </c>
      <c r="U442" t="s">
        <v>1588</v>
      </c>
      <c r="V442" s="7" t="s">
        <v>1628</v>
      </c>
    </row>
    <row r="443" spans="1:22">
      <c r="A443" s="8">
        <v>441</v>
      </c>
      <c r="B443">
        <v>74</v>
      </c>
      <c r="C443" s="1">
        <v>178.7</v>
      </c>
      <c r="D443" s="2">
        <f>HYPERLINK("https://torgi.gov.ru/new/public/lots/lot/22000022920000000049_1/(lotInfo:info)", "22000022920000000049_1")</f>
        <v>0</v>
      </c>
      <c r="E443" t="s">
        <v>453</v>
      </c>
      <c r="F443" s="3" t="s">
        <v>700</v>
      </c>
      <c r="G443" t="s">
        <v>1121</v>
      </c>
      <c r="H443" s="4">
        <v>1668000</v>
      </c>
      <c r="I443" s="4">
        <v>9334.079462786794</v>
      </c>
      <c r="J443" s="5">
        <v>3.75</v>
      </c>
      <c r="K443" s="5">
        <v>4.6</v>
      </c>
      <c r="L443" s="4">
        <v>1037.11</v>
      </c>
      <c r="M443">
        <v>2492</v>
      </c>
      <c r="N443">
        <v>2028</v>
      </c>
      <c r="O443">
        <v>9</v>
      </c>
      <c r="P443" s="6">
        <v>400</v>
      </c>
      <c r="Q443" t="s">
        <v>1161</v>
      </c>
      <c r="R443" t="s">
        <v>1164</v>
      </c>
      <c r="S443" s="2">
        <f>HYPERLINK("https://yandex.ru/maps/?&amp;text=53.392828, 59.058705", "53.392828, 59.058705")</f>
        <v>0</v>
      </c>
      <c r="T443" s="2">
        <f>HYPERLINK("D:\torgi_project\venv_torgi\cache\objs_in_district/53.392828_59.058705.json", "53.392828_59.058705.json")</f>
        <v>0</v>
      </c>
      <c r="U443" t="s">
        <v>1589</v>
      </c>
    </row>
    <row r="444" spans="1:22">
      <c r="A444" s="8">
        <v>442</v>
      </c>
      <c r="B444">
        <v>74</v>
      </c>
      <c r="C444" s="1">
        <v>94.90000000000001</v>
      </c>
      <c r="D444" s="2">
        <f>HYPERLINK("https://torgi.gov.ru/new/public/lots/lot/22000022920000000048_1/(lotInfo:info)", "22000022920000000048_1")</f>
        <v>0</v>
      </c>
      <c r="E444" t="s">
        <v>454</v>
      </c>
      <c r="F444" s="3" t="s">
        <v>700</v>
      </c>
      <c r="G444" t="s">
        <v>1122</v>
      </c>
      <c r="H444" s="4">
        <v>1132800</v>
      </c>
      <c r="I444" s="4">
        <v>11936.77555321391</v>
      </c>
      <c r="J444" s="5">
        <v>4.29</v>
      </c>
      <c r="K444" s="5">
        <v>4.07</v>
      </c>
      <c r="L444" s="4">
        <v>1085.09</v>
      </c>
      <c r="M444">
        <v>2782</v>
      </c>
      <c r="N444">
        <v>2931</v>
      </c>
      <c r="O444">
        <v>11</v>
      </c>
      <c r="P444" s="6">
        <v>500</v>
      </c>
      <c r="Q444" t="s">
        <v>1161</v>
      </c>
      <c r="R444" t="s">
        <v>1164</v>
      </c>
      <c r="S444" s="2">
        <f>HYPERLINK("https://yandex.ru/maps/?&amp;text=53.389946, 59.058994", "53.389946, 59.058994")</f>
        <v>0</v>
      </c>
      <c r="T444" s="2">
        <f>HYPERLINK("D:\torgi_project\venv_torgi\cache\objs_in_district/53.389946_59.058994.json", "53.389946_59.058994.json")</f>
        <v>0</v>
      </c>
      <c r="U444" t="s">
        <v>1590</v>
      </c>
    </row>
    <row r="445" spans="1:22">
      <c r="A445" s="8">
        <v>443</v>
      </c>
      <c r="B445">
        <v>74</v>
      </c>
      <c r="C445" s="1">
        <v>251.2</v>
      </c>
      <c r="D445" s="2">
        <f>HYPERLINK("https://torgi.gov.ru/new/public/lots/lot/22000134530000000002_1/(lotInfo:info)", "22000134530000000002_1")</f>
        <v>0</v>
      </c>
      <c r="E445" t="s">
        <v>455</v>
      </c>
      <c r="F445" s="3" t="s">
        <v>658</v>
      </c>
      <c r="G445" t="s">
        <v>1123</v>
      </c>
      <c r="H445" s="4">
        <v>3606000</v>
      </c>
      <c r="I445" s="4">
        <v>14355.09554140128</v>
      </c>
      <c r="J445" s="5">
        <v>4.75</v>
      </c>
      <c r="K445" s="5">
        <v>20.9</v>
      </c>
      <c r="L445" s="4">
        <v>1025.36</v>
      </c>
      <c r="M445">
        <v>3020</v>
      </c>
      <c r="N445">
        <v>687</v>
      </c>
      <c r="O445">
        <v>14</v>
      </c>
      <c r="P445" s="6">
        <v>600</v>
      </c>
      <c r="Q445" t="s">
        <v>1161</v>
      </c>
      <c r="R445" t="s">
        <v>1164</v>
      </c>
      <c r="S445" s="2">
        <f>HYPERLINK("https://yandex.ru/maps/?&amp;text=55.17931, 59.65181", "55.17931, 59.65181")</f>
        <v>0</v>
      </c>
      <c r="T445" s="2">
        <f>HYPERLINK("D:\torgi_project\venv_torgi\cache\objs_in_district/55.17931_59.65181.json", "55.17931_59.65181.json")</f>
        <v>0</v>
      </c>
      <c r="U445" t="s">
        <v>1591</v>
      </c>
      <c r="V445" s="7" t="s">
        <v>1628</v>
      </c>
    </row>
    <row r="446" spans="1:22">
      <c r="A446" s="8">
        <v>444</v>
      </c>
      <c r="B446">
        <v>74</v>
      </c>
      <c r="C446" s="1">
        <v>33.6</v>
      </c>
      <c r="D446" s="2">
        <f>HYPERLINK("https://torgi.gov.ru/new/public/lots/lot/21000018330000000014_1/(lotInfo:info)", "21000018330000000014_1")</f>
        <v>0</v>
      </c>
      <c r="E446" t="s">
        <v>456</v>
      </c>
      <c r="F446" s="3" t="s">
        <v>605</v>
      </c>
      <c r="G446" t="s">
        <v>1124</v>
      </c>
      <c r="H446" s="4">
        <v>504000</v>
      </c>
      <c r="I446" s="4">
        <v>15000</v>
      </c>
      <c r="J446" s="5">
        <v>18.5</v>
      </c>
      <c r="K446" s="5">
        <v>27.17</v>
      </c>
      <c r="L446" s="4">
        <v>3750</v>
      </c>
      <c r="M446">
        <v>811</v>
      </c>
      <c r="N446">
        <v>552</v>
      </c>
      <c r="O446">
        <v>4</v>
      </c>
      <c r="P446" s="6">
        <v>100</v>
      </c>
      <c r="Q446" t="s">
        <v>1161</v>
      </c>
      <c r="R446" t="s">
        <v>1164</v>
      </c>
      <c r="S446" s="2">
        <f>HYPERLINK("https://yandex.ru/maps/?&amp;text=55.22925, 61.715572", "55.22925, 61.715572")</f>
        <v>0</v>
      </c>
      <c r="T446" s="2">
        <f>HYPERLINK("D:\torgi_project\venv_torgi\cache\objs_in_district/55.22925_61.715572.json", "55.22925_61.715572.json")</f>
        <v>0</v>
      </c>
      <c r="U446" t="s">
        <v>1592</v>
      </c>
      <c r="V446" s="7" t="s">
        <v>1628</v>
      </c>
    </row>
    <row r="447" spans="1:22">
      <c r="A447" s="8">
        <v>445</v>
      </c>
      <c r="B447">
        <v>74</v>
      </c>
      <c r="C447" s="1">
        <v>95.2</v>
      </c>
      <c r="D447" s="2">
        <f>HYPERLINK("https://torgi.gov.ru/new/public/lots/lot/22000022920000000046_1/(lotInfo:info)", "22000022920000000046_1")</f>
        <v>0</v>
      </c>
      <c r="E447" t="s">
        <v>457</v>
      </c>
      <c r="F447" s="3" t="s">
        <v>700</v>
      </c>
      <c r="G447" t="s">
        <v>1125</v>
      </c>
      <c r="H447" s="4">
        <v>1607300</v>
      </c>
      <c r="I447" s="4">
        <v>16883.40336134454</v>
      </c>
      <c r="J447" s="5">
        <v>6.42</v>
      </c>
      <c r="K447" s="5">
        <v>4.53</v>
      </c>
      <c r="L447" s="4">
        <v>703.46</v>
      </c>
      <c r="M447">
        <v>2629</v>
      </c>
      <c r="N447">
        <v>3726</v>
      </c>
      <c r="O447">
        <v>24</v>
      </c>
      <c r="P447" s="6">
        <v>400</v>
      </c>
      <c r="Q447" t="s">
        <v>1161</v>
      </c>
      <c r="R447" t="s">
        <v>1164</v>
      </c>
      <c r="S447" s="2">
        <f>HYPERLINK("https://yandex.ru/maps/?&amp;text=53.358695, 58.951878", "53.358695, 58.951878")</f>
        <v>0</v>
      </c>
      <c r="T447" s="2">
        <f>HYPERLINK("D:\torgi_project\venv_torgi\cache\objs_in_district/53.358695_58.951878.json", "53.358695_58.951878.json")</f>
        <v>0</v>
      </c>
      <c r="U447" t="s">
        <v>1593</v>
      </c>
    </row>
    <row r="448" spans="1:22">
      <c r="A448" s="8">
        <v>446</v>
      </c>
      <c r="B448">
        <v>74</v>
      </c>
      <c r="C448" s="1">
        <v>237.7</v>
      </c>
      <c r="D448" s="2">
        <f>HYPERLINK("https://torgi.gov.ru/new/public/lots/lot/21000017550000000045_1/(lotInfo:info)", "21000017550000000045_1")</f>
        <v>0</v>
      </c>
      <c r="E448" t="s">
        <v>458</v>
      </c>
      <c r="F448" s="3" t="s">
        <v>701</v>
      </c>
      <c r="G448" t="s">
        <v>1126</v>
      </c>
      <c r="H448" s="4">
        <v>4157000</v>
      </c>
      <c r="I448" s="4">
        <v>17488.4307951199</v>
      </c>
      <c r="J448" s="5">
        <v>11.12</v>
      </c>
      <c r="K448" s="5">
        <v>74.73999999999999</v>
      </c>
      <c r="M448">
        <v>1572</v>
      </c>
      <c r="N448">
        <v>234</v>
      </c>
      <c r="O448">
        <v>0</v>
      </c>
      <c r="Q448" t="s">
        <v>1161</v>
      </c>
      <c r="R448" t="s">
        <v>1164</v>
      </c>
      <c r="S448" s="2">
        <f>HYPERLINK("https://yandex.ru/maps/?&amp;text=54.935209, 58.161585", "54.935209, 58.161585")</f>
        <v>0</v>
      </c>
      <c r="U448" t="s">
        <v>1594</v>
      </c>
      <c r="V448" s="7" t="s">
        <v>1630</v>
      </c>
    </row>
    <row r="449" spans="1:22">
      <c r="A449" s="8">
        <v>447</v>
      </c>
      <c r="B449">
        <v>74</v>
      </c>
      <c r="C449" s="1">
        <v>62.1</v>
      </c>
      <c r="D449" s="2">
        <f>HYPERLINK("https://torgi.gov.ru/new/public/lots/lot/21000025910000000001_1/(lotInfo:info)", "21000025910000000001_1")</f>
        <v>0</v>
      </c>
      <c r="E449" t="s">
        <v>459</v>
      </c>
      <c r="F449" s="3" t="s">
        <v>702</v>
      </c>
      <c r="G449" t="s">
        <v>1127</v>
      </c>
      <c r="H449" s="4">
        <v>1165800</v>
      </c>
      <c r="I449" s="4">
        <v>18772.94685990338</v>
      </c>
      <c r="J449" s="5">
        <v>9.07</v>
      </c>
      <c r="K449" s="5">
        <v>3.9</v>
      </c>
      <c r="L449" s="4">
        <v>318.17</v>
      </c>
      <c r="M449">
        <v>2069</v>
      </c>
      <c r="N449">
        <v>4813</v>
      </c>
      <c r="O449">
        <v>59</v>
      </c>
      <c r="P449" s="6">
        <v>200</v>
      </c>
      <c r="Q449" t="s">
        <v>1161</v>
      </c>
      <c r="R449" t="s">
        <v>1164</v>
      </c>
      <c r="S449" s="2">
        <f>HYPERLINK("https://yandex.ru/maps/?&amp;text=54.89293, 61.409004", "54.89293, 61.409004")</f>
        <v>0</v>
      </c>
      <c r="T449" s="2">
        <f>HYPERLINK("D:\torgi_project\venv_torgi\cache\objs_in_district/54.89293_61.409004.json", "54.89293_61.409004.json")</f>
        <v>0</v>
      </c>
      <c r="U449" t="s">
        <v>1595</v>
      </c>
    </row>
    <row r="450" spans="1:22">
      <c r="A450" s="8">
        <v>448</v>
      </c>
      <c r="B450">
        <v>74</v>
      </c>
      <c r="C450" s="1">
        <v>130</v>
      </c>
      <c r="D450" s="2">
        <f>HYPERLINK("https://torgi.gov.ru/new/public/lots/lot/22000022920000000047_1/(lotInfo:info)", "22000022920000000047_1")</f>
        <v>0</v>
      </c>
      <c r="E450" t="s">
        <v>460</v>
      </c>
      <c r="F450" s="3" t="s">
        <v>700</v>
      </c>
      <c r="G450" t="s">
        <v>1128</v>
      </c>
      <c r="H450" s="4">
        <v>2597100</v>
      </c>
      <c r="I450" s="4">
        <v>19977.69230769231</v>
      </c>
      <c r="J450" s="5">
        <v>4.12</v>
      </c>
      <c r="K450" s="5">
        <v>5.87</v>
      </c>
      <c r="L450" s="4">
        <v>475.64</v>
      </c>
      <c r="M450">
        <v>4849</v>
      </c>
      <c r="N450">
        <v>3405</v>
      </c>
      <c r="O450">
        <v>42</v>
      </c>
      <c r="P450" s="6">
        <v>500</v>
      </c>
      <c r="Q450" t="s">
        <v>1161</v>
      </c>
      <c r="R450" t="s">
        <v>1164</v>
      </c>
      <c r="S450" s="2">
        <f>HYPERLINK("https://yandex.ru/maps/?&amp;text=53.413776, 58.996641", "53.413776, 58.996641")</f>
        <v>0</v>
      </c>
      <c r="T450" s="2">
        <f>HYPERLINK("D:\torgi_project\venv_torgi\cache\objs_in_district/53.413776_58.996641.json", "53.413776_58.996641.json")</f>
        <v>0</v>
      </c>
      <c r="U450" t="s">
        <v>1596</v>
      </c>
    </row>
    <row r="451" spans="1:22">
      <c r="A451" s="8">
        <v>449</v>
      </c>
      <c r="B451">
        <v>74</v>
      </c>
      <c r="C451" s="1">
        <v>261.2</v>
      </c>
      <c r="D451" s="2">
        <f>HYPERLINK("https://torgi.gov.ru/new/public/lots/lot/22000051040000000012_1/(lotInfo:info)", "22000051040000000012_1")</f>
        <v>0</v>
      </c>
      <c r="E451" t="s">
        <v>461</v>
      </c>
      <c r="F451" s="3" t="s">
        <v>642</v>
      </c>
      <c r="G451" t="s">
        <v>1129</v>
      </c>
      <c r="H451" s="4">
        <v>5800000</v>
      </c>
      <c r="I451" s="4">
        <v>22205.2067381317</v>
      </c>
      <c r="J451" s="5">
        <v>6.72</v>
      </c>
      <c r="K451" s="5">
        <v>6.3</v>
      </c>
      <c r="L451" s="4">
        <v>504.66</v>
      </c>
      <c r="M451">
        <v>3303</v>
      </c>
      <c r="N451">
        <v>3522</v>
      </c>
      <c r="O451">
        <v>44</v>
      </c>
      <c r="P451" s="6">
        <v>300</v>
      </c>
      <c r="Q451" t="s">
        <v>1161</v>
      </c>
      <c r="R451" t="s">
        <v>1164</v>
      </c>
      <c r="S451" s="2">
        <f>HYPERLINK("https://yandex.ru/maps/?&amp;text=54.817137, 58.43417", "54.817137, 58.43417")</f>
        <v>0</v>
      </c>
      <c r="T451" s="2">
        <f>HYPERLINK("D:\torgi_project\venv_torgi\cache\objs_in_district/54.817137_58.43417.json", "54.817137_58.43417.json")</f>
        <v>0</v>
      </c>
      <c r="U451" t="s">
        <v>1597</v>
      </c>
      <c r="V451" s="7" t="s">
        <v>1628</v>
      </c>
    </row>
    <row r="452" spans="1:22">
      <c r="A452" s="8">
        <v>450</v>
      </c>
      <c r="B452">
        <v>74</v>
      </c>
      <c r="C452" s="1">
        <v>20</v>
      </c>
      <c r="D452" s="2">
        <f>HYPERLINK("https://torgi.gov.ru/new/public/lots/lot/22000022920000000050_1/(lotInfo:info)", "22000022920000000050_1")</f>
        <v>0</v>
      </c>
      <c r="E452" t="s">
        <v>462</v>
      </c>
      <c r="F452" s="3" t="s">
        <v>700</v>
      </c>
      <c r="G452" t="s">
        <v>1130</v>
      </c>
      <c r="H452" s="4">
        <v>602000</v>
      </c>
      <c r="I452" s="4">
        <v>30100</v>
      </c>
      <c r="J452" s="5">
        <v>16.04</v>
      </c>
      <c r="K452" s="5">
        <v>3.85</v>
      </c>
      <c r="L452" s="4">
        <v>836.11</v>
      </c>
      <c r="M452">
        <v>1876</v>
      </c>
      <c r="N452">
        <v>7824</v>
      </c>
      <c r="O452">
        <v>36</v>
      </c>
      <c r="P452" s="6">
        <v>900</v>
      </c>
      <c r="Q452" t="s">
        <v>1161</v>
      </c>
      <c r="R452" t="s">
        <v>1164</v>
      </c>
      <c r="S452" s="2">
        <f>HYPERLINK("https://yandex.ru/maps/?&amp;text=53.39358, 58.98825", "53.39358, 58.98825")</f>
        <v>0</v>
      </c>
      <c r="T452" s="2">
        <f>HYPERLINK("D:\torgi_project\venv_torgi\cache\objs_in_district/53.39358_58.98825.json", "53.39358_58.98825.json")</f>
        <v>0</v>
      </c>
      <c r="U452" t="s">
        <v>1598</v>
      </c>
    </row>
    <row r="453" spans="1:22">
      <c r="A453" s="8">
        <v>451</v>
      </c>
      <c r="B453">
        <v>74</v>
      </c>
      <c r="C453" s="1">
        <v>91.09999999999999</v>
      </c>
      <c r="D453" s="2">
        <f>HYPERLINK("https://torgi.gov.ru/new/public/lots/lot/22000110450000000003_1/(lotInfo:info)", "22000110450000000003_1")</f>
        <v>0</v>
      </c>
      <c r="E453" t="s">
        <v>463</v>
      </c>
      <c r="F453" s="3" t="s">
        <v>561</v>
      </c>
      <c r="G453" t="s">
        <v>1131</v>
      </c>
      <c r="H453" s="4">
        <v>3270000</v>
      </c>
      <c r="I453" s="4">
        <v>35894.62129527992</v>
      </c>
      <c r="J453" s="5">
        <v>13.84</v>
      </c>
      <c r="K453" s="5">
        <v>4.18</v>
      </c>
      <c r="L453" s="4">
        <v>1794.7</v>
      </c>
      <c r="M453">
        <v>2593</v>
      </c>
      <c r="N453">
        <v>8586</v>
      </c>
      <c r="O453">
        <v>20</v>
      </c>
      <c r="P453" s="6">
        <v>500</v>
      </c>
      <c r="Q453" t="s">
        <v>1161</v>
      </c>
      <c r="R453" t="s">
        <v>1164</v>
      </c>
      <c r="S453" s="2">
        <f>HYPERLINK("https://yandex.ru/maps/?&amp;text=55.10736, 61.616595", "55.10736, 61.616595")</f>
        <v>0</v>
      </c>
      <c r="T453" s="2">
        <f>HYPERLINK("D:\torgi_project\venv_torgi\cache\objs_in_district/55.10736_61.616595.json", "55.10736_61.616595.json")</f>
        <v>0</v>
      </c>
      <c r="U453" t="s">
        <v>1599</v>
      </c>
      <c r="V453" s="7" t="s">
        <v>1628</v>
      </c>
    </row>
    <row r="454" spans="1:22">
      <c r="A454" s="8">
        <v>452</v>
      </c>
      <c r="B454">
        <v>76</v>
      </c>
      <c r="C454" s="1">
        <v>465.1</v>
      </c>
      <c r="D454" s="2">
        <f>HYPERLINK("https://torgi.gov.ru/new/public/lots/lot/21000020970000000008_1/(lotInfo:info)", "21000020970000000008_1")</f>
        <v>0</v>
      </c>
      <c r="E454" t="s">
        <v>464</v>
      </c>
      <c r="F454" s="3" t="s">
        <v>694</v>
      </c>
      <c r="G454" t="s">
        <v>1132</v>
      </c>
      <c r="H454" s="4">
        <v>775000</v>
      </c>
      <c r="I454" s="4">
        <v>1666.308320791228</v>
      </c>
      <c r="J454" s="5">
        <v>8.09</v>
      </c>
      <c r="K454" s="5">
        <v>2.62</v>
      </c>
      <c r="L454" s="4">
        <v>333.2</v>
      </c>
      <c r="M454">
        <v>206</v>
      </c>
      <c r="N454">
        <v>636</v>
      </c>
      <c r="O454">
        <v>5</v>
      </c>
      <c r="P454" s="6">
        <v>900</v>
      </c>
      <c r="Q454" t="s">
        <v>1161</v>
      </c>
      <c r="R454" t="s">
        <v>1164</v>
      </c>
      <c r="S454" s="2">
        <f>HYPERLINK("https://yandex.ru/maps/?&amp;text=58.011451, 39.195032", "58.011451, 39.195032")</f>
        <v>0</v>
      </c>
      <c r="T454" s="2">
        <f>HYPERLINK("D:\torgi_project\venv_torgi\cache\objs_in_district/58.011451_39.195032.json", "58.011451_39.195032.json")</f>
        <v>0</v>
      </c>
      <c r="U454" t="s">
        <v>1600</v>
      </c>
      <c r="V454" s="7" t="s">
        <v>1630</v>
      </c>
    </row>
    <row r="455" spans="1:22">
      <c r="A455" s="8">
        <v>453</v>
      </c>
      <c r="B455">
        <v>76</v>
      </c>
      <c r="C455" s="1">
        <v>248.5</v>
      </c>
      <c r="D455" s="2">
        <f>HYPERLINK("https://torgi.gov.ru/new/public/lots/lot/21000008680000000050_1/(lotInfo:info)", "21000008680000000050_1")</f>
        <v>0</v>
      </c>
      <c r="E455" t="s">
        <v>465</v>
      </c>
      <c r="F455" s="3" t="s">
        <v>703</v>
      </c>
      <c r="G455" t="s">
        <v>1133</v>
      </c>
      <c r="H455" s="4">
        <v>898044.21</v>
      </c>
      <c r="I455" s="4">
        <v>3613.86</v>
      </c>
      <c r="J455" s="5">
        <v>23.01</v>
      </c>
      <c r="K455" s="5">
        <v>2.92</v>
      </c>
      <c r="L455" s="4">
        <v>903.25</v>
      </c>
      <c r="M455">
        <v>157</v>
      </c>
      <c r="N455">
        <v>1239</v>
      </c>
      <c r="O455">
        <v>4</v>
      </c>
      <c r="P455" s="6">
        <v>300</v>
      </c>
      <c r="Q455" t="s">
        <v>1161</v>
      </c>
      <c r="R455" t="s">
        <v>1164</v>
      </c>
      <c r="S455" s="2">
        <f>HYPERLINK("https://yandex.ru/maps/?&amp;text=58.075473, 38.816473", "58.075473, 38.816473")</f>
        <v>0</v>
      </c>
      <c r="T455" s="2">
        <f>HYPERLINK("D:\torgi_project\venv_torgi\cache\objs_in_district/58.075473_38.816473.json", "58.075473_38.816473.json")</f>
        <v>0</v>
      </c>
      <c r="U455" t="s">
        <v>1601</v>
      </c>
      <c r="V455" s="7" t="s">
        <v>1628</v>
      </c>
    </row>
    <row r="456" spans="1:22">
      <c r="A456" s="8">
        <v>454</v>
      </c>
      <c r="B456">
        <v>76</v>
      </c>
      <c r="C456" s="1">
        <v>156.2</v>
      </c>
      <c r="D456" s="2">
        <f>HYPERLINK("https://torgi.gov.ru/new/public/lots/lot/21000008680000000046_1/(lotInfo:info)", "21000008680000000046_1")</f>
        <v>0</v>
      </c>
      <c r="E456" t="s">
        <v>466</v>
      </c>
      <c r="F456" s="3" t="s">
        <v>703</v>
      </c>
      <c r="G456" t="s">
        <v>1134</v>
      </c>
      <c r="H456" s="4">
        <v>837500.42</v>
      </c>
      <c r="I456" s="4">
        <v>5361.718437900128</v>
      </c>
      <c r="J456" s="5">
        <v>22.43</v>
      </c>
      <c r="K456" s="5">
        <v>10.33</v>
      </c>
      <c r="L456" s="4">
        <v>5361</v>
      </c>
      <c r="M456">
        <v>239</v>
      </c>
      <c r="N456">
        <v>519</v>
      </c>
      <c r="O456">
        <v>1</v>
      </c>
      <c r="P456" s="6">
        <v>1600</v>
      </c>
      <c r="Q456" t="s">
        <v>1161</v>
      </c>
      <c r="R456" t="s">
        <v>1164</v>
      </c>
      <c r="S456" s="2">
        <f>HYPERLINK("https://yandex.ru/maps/?&amp;text=58.055331, 38.881933", "58.055331, 38.881933")</f>
        <v>0</v>
      </c>
      <c r="T456" s="2">
        <f>HYPERLINK("D:\torgi_project\venv_torgi\cache\objs_in_district/58.055331_38.881933.json", "58.055331_38.881933.json")</f>
        <v>0</v>
      </c>
      <c r="U456" t="s">
        <v>1602</v>
      </c>
      <c r="V456" s="7" t="s">
        <v>1628</v>
      </c>
    </row>
    <row r="457" spans="1:22">
      <c r="A457" s="8">
        <v>455</v>
      </c>
      <c r="B457">
        <v>76</v>
      </c>
      <c r="C457" s="1">
        <v>127.8</v>
      </c>
      <c r="D457" s="2">
        <f>HYPERLINK("https://torgi.gov.ru/new/public/lots/lot/21000008680000000034_1/(lotInfo:info)", "21000008680000000034_1")</f>
        <v>0</v>
      </c>
      <c r="E457" t="s">
        <v>467</v>
      </c>
      <c r="F457" s="3" t="s">
        <v>627</v>
      </c>
      <c r="G457" t="s">
        <v>1135</v>
      </c>
      <c r="H457" s="4">
        <v>802226.2</v>
      </c>
      <c r="I457" s="4">
        <v>6277.200312989045</v>
      </c>
      <c r="J457" s="5">
        <v>38.51</v>
      </c>
      <c r="K457" s="5">
        <v>0.85</v>
      </c>
      <c r="L457" s="4">
        <v>66.06999999999999</v>
      </c>
      <c r="M457">
        <v>163</v>
      </c>
      <c r="N457">
        <v>7357</v>
      </c>
      <c r="O457">
        <v>95</v>
      </c>
      <c r="Q457" t="s">
        <v>1161</v>
      </c>
      <c r="R457" t="s">
        <v>1164</v>
      </c>
      <c r="S457" s="2">
        <f>HYPERLINK("https://yandex.ru/maps/?&amp;text=58.048145, 38.8521", "58.048145, 38.8521")</f>
        <v>0</v>
      </c>
      <c r="T457" s="2">
        <f>HYPERLINK("D:\torgi_project\venv_torgi\cache\objs_in_district/58.048145_38.8521.json", "58.048145_38.8521.json")</f>
        <v>0</v>
      </c>
      <c r="V457" s="7" t="s">
        <v>1630</v>
      </c>
    </row>
    <row r="458" spans="1:22">
      <c r="A458" s="8">
        <v>456</v>
      </c>
      <c r="B458">
        <v>76</v>
      </c>
      <c r="C458" s="1">
        <v>573.3</v>
      </c>
      <c r="D458" s="2">
        <f>HYPERLINK("https://torgi.gov.ru/new/public/lots/lot/21000008680000000037_1/(lotInfo:info)", "21000008680000000037_1")</f>
        <v>0</v>
      </c>
      <c r="E458" t="s">
        <v>468</v>
      </c>
      <c r="F458" s="3" t="s">
        <v>694</v>
      </c>
      <c r="G458" t="s">
        <v>1136</v>
      </c>
      <c r="H458" s="4">
        <v>3919650</v>
      </c>
      <c r="I458" s="4">
        <v>6836.996336996338</v>
      </c>
      <c r="J458" s="5">
        <v>36.75</v>
      </c>
      <c r="K458" s="5">
        <v>1.01</v>
      </c>
      <c r="L458" s="4">
        <v>227.87</v>
      </c>
      <c r="M458">
        <v>186</v>
      </c>
      <c r="N458">
        <v>6783</v>
      </c>
      <c r="O458">
        <v>30</v>
      </c>
      <c r="P458" s="6">
        <v>600</v>
      </c>
      <c r="Q458" t="s">
        <v>1161</v>
      </c>
      <c r="R458" t="s">
        <v>1164</v>
      </c>
      <c r="S458" s="2">
        <f>HYPERLINK("https://yandex.ru/maps/?&amp;text=58.050575, 38.78556", "58.050575, 38.78556")</f>
        <v>0</v>
      </c>
      <c r="T458" s="2">
        <f>HYPERLINK("D:\torgi_project\venv_torgi\cache\objs_in_district/58.050575_38.78556.json", "58.050575_38.78556.json")</f>
        <v>0</v>
      </c>
      <c r="U458" t="s">
        <v>1603</v>
      </c>
      <c r="V458" s="7" t="s">
        <v>1629</v>
      </c>
    </row>
    <row r="459" spans="1:22">
      <c r="A459" s="8">
        <v>457</v>
      </c>
      <c r="B459">
        <v>76</v>
      </c>
      <c r="C459" s="1">
        <v>68.8</v>
      </c>
      <c r="D459" s="2">
        <f>HYPERLINK("https://torgi.gov.ru/new/public/lots/lot/21000008680000000035_1/(lotInfo:info)", "21000008680000000035_1")</f>
        <v>0</v>
      </c>
      <c r="E459" t="s">
        <v>469</v>
      </c>
      <c r="F459" s="3" t="s">
        <v>627</v>
      </c>
      <c r="G459" t="s">
        <v>1135</v>
      </c>
      <c r="H459" s="4">
        <v>590695.33</v>
      </c>
      <c r="I459" s="4">
        <v>8585.687936046512</v>
      </c>
      <c r="J459" s="5">
        <v>52.67</v>
      </c>
      <c r="K459" s="5">
        <v>1.17</v>
      </c>
      <c r="L459" s="4">
        <v>90.37</v>
      </c>
      <c r="M459">
        <v>163</v>
      </c>
      <c r="N459">
        <v>7357</v>
      </c>
      <c r="O459">
        <v>95</v>
      </c>
      <c r="Q459" t="s">
        <v>1161</v>
      </c>
      <c r="R459" t="s">
        <v>1164</v>
      </c>
      <c r="S459" s="2">
        <f>HYPERLINK("https://yandex.ru/maps/?&amp;text=58.048145, 38.8521", "58.048145, 38.8521")</f>
        <v>0</v>
      </c>
      <c r="T459" s="2">
        <f>HYPERLINK("D:\torgi_project\venv_torgi\cache\objs_in_district/58.048145_38.8521.json", "58.048145_38.8521.json")</f>
        <v>0</v>
      </c>
      <c r="V459" s="7" t="s">
        <v>1633</v>
      </c>
    </row>
    <row r="460" spans="1:22">
      <c r="A460" s="8">
        <v>458</v>
      </c>
      <c r="B460">
        <v>76</v>
      </c>
      <c r="C460" s="1">
        <v>400.8</v>
      </c>
      <c r="D460" s="2">
        <f>HYPERLINK("https://torgi.gov.ru/new/public/lots/lot/21000008680000000045_1/(lotInfo:info)", "21000008680000000045_1")</f>
        <v>0</v>
      </c>
      <c r="E460" t="s">
        <v>470</v>
      </c>
      <c r="F460" s="3" t="s">
        <v>526</v>
      </c>
      <c r="G460" t="s">
        <v>1137</v>
      </c>
      <c r="H460" s="4">
        <v>3887810.14</v>
      </c>
      <c r="I460" s="4">
        <v>9700.1250998004</v>
      </c>
      <c r="J460" s="5">
        <v>59.51</v>
      </c>
      <c r="K460" s="5">
        <v>1.36</v>
      </c>
      <c r="L460" s="4">
        <v>94.17</v>
      </c>
      <c r="M460">
        <v>163</v>
      </c>
      <c r="N460">
        <v>7150</v>
      </c>
      <c r="O460">
        <v>103</v>
      </c>
      <c r="Q460" t="s">
        <v>1161</v>
      </c>
      <c r="R460" t="s">
        <v>1164</v>
      </c>
      <c r="S460" s="2">
        <f>HYPERLINK("https://yandex.ru/maps/?&amp;text=58.048569, 38.851992", "58.048569, 38.851992")</f>
        <v>0</v>
      </c>
      <c r="T460" s="2">
        <f>HYPERLINK("D:\torgi_project\venv_torgi\cache\objs_in_district/58.048569_38.851992.json", "58.048569_38.851992.json")</f>
        <v>0</v>
      </c>
      <c r="U460" t="s">
        <v>1604</v>
      </c>
      <c r="V460" s="7" t="s">
        <v>1630</v>
      </c>
    </row>
    <row r="461" spans="1:22">
      <c r="A461" s="8">
        <v>459</v>
      </c>
      <c r="B461">
        <v>76</v>
      </c>
      <c r="C461" s="1">
        <v>378.8</v>
      </c>
      <c r="D461" s="2">
        <f>HYPERLINK("https://torgi.gov.ru/new/public/lots/lot/21000008680000000041_1/(lotInfo:info)", "21000008680000000041_1")</f>
        <v>0</v>
      </c>
      <c r="E461" t="s">
        <v>471</v>
      </c>
      <c r="F461" s="3" t="s">
        <v>694</v>
      </c>
      <c r="G461" t="s">
        <v>1138</v>
      </c>
      <c r="H461" s="4">
        <v>4205060</v>
      </c>
      <c r="I461" s="4">
        <v>11101.00316789863</v>
      </c>
      <c r="J461" s="5">
        <v>90.25</v>
      </c>
      <c r="K461" s="5">
        <v>1.19</v>
      </c>
      <c r="L461" s="4">
        <v>109.91</v>
      </c>
      <c r="M461">
        <v>123</v>
      </c>
      <c r="N461">
        <v>9322</v>
      </c>
      <c r="O461">
        <v>101</v>
      </c>
      <c r="P461" s="6">
        <v>400</v>
      </c>
      <c r="Q461" t="s">
        <v>1161</v>
      </c>
      <c r="R461" t="s">
        <v>1164</v>
      </c>
      <c r="S461" s="2">
        <f>HYPERLINK("https://yandex.ru/maps/?&amp;text=58.046997, 38.84874", "58.046997, 38.84874")</f>
        <v>0</v>
      </c>
      <c r="T461" s="2">
        <f>HYPERLINK("D:\torgi_project\venv_torgi\cache\objs_in_district/58.046997_38.84874.json", "58.046997_38.84874.json")</f>
        <v>0</v>
      </c>
      <c r="U461" t="s">
        <v>1605</v>
      </c>
      <c r="V461" s="7" t="s">
        <v>1628</v>
      </c>
    </row>
    <row r="462" spans="1:22">
      <c r="A462" s="8">
        <v>460</v>
      </c>
      <c r="B462">
        <v>76</v>
      </c>
      <c r="C462" s="1">
        <v>351.6</v>
      </c>
      <c r="D462" s="2">
        <f>HYPERLINK("https://torgi.gov.ru/new/public/lots/lot/21000008680000000048_1/(lotInfo:info)", "21000008680000000048_1")</f>
        <v>0</v>
      </c>
      <c r="E462" t="s">
        <v>472</v>
      </c>
      <c r="F462" s="3" t="s">
        <v>703</v>
      </c>
      <c r="G462" t="s">
        <v>1139</v>
      </c>
      <c r="H462" s="4">
        <v>4952758.55</v>
      </c>
      <c r="I462" s="4">
        <v>14086.34399886234</v>
      </c>
      <c r="J462" s="5">
        <v>173.9</v>
      </c>
      <c r="K462" s="5">
        <v>1.76</v>
      </c>
      <c r="L462" s="4">
        <v>454.39</v>
      </c>
      <c r="M462">
        <v>81</v>
      </c>
      <c r="N462">
        <v>8019</v>
      </c>
      <c r="O462">
        <v>31</v>
      </c>
      <c r="P462" s="6">
        <v>300</v>
      </c>
      <c r="Q462" t="s">
        <v>1161</v>
      </c>
      <c r="R462" t="s">
        <v>1164</v>
      </c>
      <c r="S462" s="2">
        <f>HYPERLINK("https://yandex.ru/maps/?&amp;text=58.038826, 38.862144", "58.038826, 38.862144")</f>
        <v>0</v>
      </c>
      <c r="T462" s="2">
        <f>HYPERLINK("D:\torgi_project\venv_torgi\cache\objs_in_district/58.038826_38.862144.json", "58.038826_38.862144.json")</f>
        <v>0</v>
      </c>
      <c r="U462" t="s">
        <v>1606</v>
      </c>
      <c r="V462" s="7" t="s">
        <v>1628</v>
      </c>
    </row>
    <row r="463" spans="1:22">
      <c r="A463" s="8">
        <v>461</v>
      </c>
      <c r="B463">
        <v>76</v>
      </c>
      <c r="C463" s="1">
        <v>389.3</v>
      </c>
      <c r="D463" s="2">
        <f>HYPERLINK("https://torgi.gov.ru/new/public/lots/lot/21000012550000000062_1/(lotInfo:info)", "21000012550000000062_1")</f>
        <v>0</v>
      </c>
      <c r="E463" t="s">
        <v>473</v>
      </c>
      <c r="F463" s="3" t="s">
        <v>530</v>
      </c>
      <c r="G463" t="s">
        <v>1140</v>
      </c>
      <c r="H463" s="4">
        <v>5741000</v>
      </c>
      <c r="I463" s="4">
        <v>14746.98176213717</v>
      </c>
      <c r="J463" s="5">
        <v>8.49</v>
      </c>
      <c r="K463" s="5">
        <v>2.04</v>
      </c>
      <c r="L463" s="4">
        <v>508.48</v>
      </c>
      <c r="M463">
        <v>1736</v>
      </c>
      <c r="N463">
        <v>7213</v>
      </c>
      <c r="O463">
        <v>29</v>
      </c>
      <c r="P463" s="6">
        <v>700</v>
      </c>
      <c r="Q463" t="s">
        <v>1162</v>
      </c>
      <c r="R463" t="s">
        <v>1164</v>
      </c>
      <c r="S463" s="2">
        <f>HYPERLINK("https://yandex.ru/maps/?&amp;text=57.57321, 39.927949", "57.57321, 39.927949")</f>
        <v>0</v>
      </c>
      <c r="T463" s="2">
        <f>HYPERLINK("D:\torgi_project\venv_torgi\cache\objs_in_district/57.57321_39.927949.json", "57.57321_39.927949.json")</f>
        <v>0</v>
      </c>
      <c r="V463" s="7" t="s">
        <v>1628</v>
      </c>
    </row>
    <row r="464" spans="1:22">
      <c r="A464" s="8">
        <v>462</v>
      </c>
      <c r="B464">
        <v>76</v>
      </c>
      <c r="C464" s="1">
        <v>226.3</v>
      </c>
      <c r="D464" s="2">
        <f>HYPERLINK("https://torgi.gov.ru/new/public/lots/lot/21000008680000000043_1/(lotInfo:info)", "21000008680000000043_1")</f>
        <v>0</v>
      </c>
      <c r="E464" t="s">
        <v>474</v>
      </c>
      <c r="F464" s="3" t="s">
        <v>526</v>
      </c>
      <c r="G464" t="s">
        <v>1141</v>
      </c>
      <c r="H464" s="4">
        <v>3466531.3</v>
      </c>
      <c r="I464" s="4">
        <v>15318.30004418913</v>
      </c>
      <c r="J464" s="5">
        <v>212.75</v>
      </c>
      <c r="K464" s="5">
        <v>9.44</v>
      </c>
      <c r="L464" s="4">
        <v>7659</v>
      </c>
      <c r="M464">
        <v>72</v>
      </c>
      <c r="N464">
        <v>1623</v>
      </c>
      <c r="O464">
        <v>2</v>
      </c>
      <c r="P464" s="6">
        <v>2200</v>
      </c>
      <c r="Q464" t="s">
        <v>1161</v>
      </c>
      <c r="R464" t="s">
        <v>1164</v>
      </c>
      <c r="S464" s="2">
        <f>HYPERLINK("https://yandex.ru/maps/?&amp;text=58.083996, 38.774072", "58.083996, 38.774072")</f>
        <v>0</v>
      </c>
      <c r="T464" s="2">
        <f>HYPERLINK("D:\torgi_project\venv_torgi\cache\objs_in_district/58.083996_38.774072.json", "58.083996_38.774072.json")</f>
        <v>0</v>
      </c>
      <c r="U464" t="s">
        <v>1607</v>
      </c>
      <c r="V464" s="7" t="s">
        <v>1628</v>
      </c>
    </row>
    <row r="465" spans="1:22">
      <c r="A465" s="8">
        <v>463</v>
      </c>
      <c r="B465">
        <v>76</v>
      </c>
      <c r="C465" s="1">
        <v>144.6</v>
      </c>
      <c r="D465" s="2">
        <f>HYPERLINK("https://torgi.gov.ru/new/public/lots/lot/21000008680000000049_1/(lotInfo:info)", "21000008680000000049_1")</f>
        <v>0</v>
      </c>
      <c r="E465" t="s">
        <v>475</v>
      </c>
      <c r="F465" s="3" t="s">
        <v>703</v>
      </c>
      <c r="G465" t="s">
        <v>1142</v>
      </c>
      <c r="H465" s="4">
        <v>2504610.2</v>
      </c>
      <c r="I465" s="4">
        <v>17320.95573997234</v>
      </c>
      <c r="J465" s="5">
        <v>91.64</v>
      </c>
      <c r="K465" s="5">
        <v>4.64</v>
      </c>
      <c r="L465" s="4">
        <v>866</v>
      </c>
      <c r="M465">
        <v>189</v>
      </c>
      <c r="N465">
        <v>3735</v>
      </c>
      <c r="O465">
        <v>20</v>
      </c>
      <c r="P465" s="6">
        <v>700</v>
      </c>
      <c r="Q465" t="s">
        <v>1161</v>
      </c>
      <c r="R465" t="s">
        <v>1164</v>
      </c>
      <c r="S465" s="2">
        <f>HYPERLINK("https://yandex.ru/maps/?&amp;text=58.0374907, 38.8471147", "58.0374907, 38.8471147")</f>
        <v>0</v>
      </c>
      <c r="T465" s="2">
        <f>HYPERLINK("D:\torgi_project\venv_torgi\cache\objs_in_district/58.0374907_38.8471147.json", "58.0374907_38.8471147.json")</f>
        <v>0</v>
      </c>
      <c r="U465" t="s">
        <v>1608</v>
      </c>
      <c r="V465" s="7" t="s">
        <v>1628</v>
      </c>
    </row>
    <row r="466" spans="1:22">
      <c r="A466" s="8">
        <v>464</v>
      </c>
      <c r="B466">
        <v>76</v>
      </c>
      <c r="C466" s="1">
        <v>32.6</v>
      </c>
      <c r="D466" s="2">
        <f>HYPERLINK("https://torgi.gov.ru/new/public/lots/lot/21000008680000000039_1/(lotInfo:info)", "21000008680000000039_1")</f>
        <v>0</v>
      </c>
      <c r="E466" t="s">
        <v>476</v>
      </c>
      <c r="F466" s="3" t="s">
        <v>694</v>
      </c>
      <c r="G466" t="s">
        <v>1143</v>
      </c>
      <c r="H466" s="4">
        <v>676740</v>
      </c>
      <c r="I466" s="4">
        <v>20758.89570552147</v>
      </c>
      <c r="J466" s="5">
        <v>126.57</v>
      </c>
      <c r="K466" s="5">
        <v>3.25</v>
      </c>
      <c r="L466" s="4">
        <v>988.48</v>
      </c>
      <c r="M466">
        <v>164</v>
      </c>
      <c r="N466">
        <v>6381</v>
      </c>
      <c r="O466">
        <v>21</v>
      </c>
      <c r="P466" s="6">
        <v>700</v>
      </c>
      <c r="Q466" t="s">
        <v>1161</v>
      </c>
      <c r="R466" t="s">
        <v>1164</v>
      </c>
      <c r="S466" s="2">
        <f>HYPERLINK("https://yandex.ru/maps/?&amp;text=58.0418592, 38.8209493", "58.0418592, 38.8209493")</f>
        <v>0</v>
      </c>
      <c r="T466" s="2">
        <f>HYPERLINK("D:\torgi_project\venv_torgi\cache\objs_in_district/58.0418592_38.8209493.json", "58.0418592_38.8209493.json")</f>
        <v>0</v>
      </c>
      <c r="U466" t="s">
        <v>1609</v>
      </c>
      <c r="V466" s="7" t="s">
        <v>1628</v>
      </c>
    </row>
    <row r="467" spans="1:22">
      <c r="A467" s="8">
        <v>465</v>
      </c>
      <c r="B467">
        <v>76</v>
      </c>
      <c r="C467" s="1">
        <v>321.8</v>
      </c>
      <c r="D467" s="2">
        <f>HYPERLINK("https://torgi.gov.ru/new/public/lots/lot/21000012550000000063_1/(lotInfo:info)", "21000012550000000063_1")</f>
        <v>0</v>
      </c>
      <c r="E467" t="s">
        <v>477</v>
      </c>
      <c r="F467" s="3" t="s">
        <v>680</v>
      </c>
      <c r="G467" t="s">
        <v>1144</v>
      </c>
      <c r="H467" s="4">
        <v>7789000</v>
      </c>
      <c r="I467" s="4">
        <v>24204.47482908639</v>
      </c>
      <c r="J467" s="5">
        <v>25.8</v>
      </c>
      <c r="K467" s="5">
        <v>19.87</v>
      </c>
      <c r="L467" s="4">
        <v>968.16</v>
      </c>
      <c r="M467">
        <v>938</v>
      </c>
      <c r="N467">
        <v>1218</v>
      </c>
      <c r="O467">
        <v>25</v>
      </c>
      <c r="P467" s="6">
        <v>400</v>
      </c>
      <c r="Q467" t="s">
        <v>1162</v>
      </c>
      <c r="R467" t="s">
        <v>1164</v>
      </c>
      <c r="S467" s="2">
        <f>HYPERLINK("https://yandex.ru/maps/?&amp;text=57.60889, 39.94852", "57.60889, 39.94852")</f>
        <v>0</v>
      </c>
      <c r="T467" s="2">
        <f>HYPERLINK("D:\torgi_project\venv_torgi\cache\objs_in_district/57.60889_39.94852.json", "57.60889_39.94852.json")</f>
        <v>0</v>
      </c>
      <c r="V467" s="7" t="s">
        <v>1633</v>
      </c>
    </row>
    <row r="468" spans="1:22">
      <c r="A468" s="8">
        <v>466</v>
      </c>
      <c r="B468">
        <v>76</v>
      </c>
      <c r="C468" s="1">
        <v>57.7</v>
      </c>
      <c r="D468" s="2">
        <f>HYPERLINK("https://torgi.gov.ru/new/public/lots/lot/21000008680000000038_1/(lotInfo:info)", "21000008680000000038_1")</f>
        <v>0</v>
      </c>
      <c r="E468" t="s">
        <v>478</v>
      </c>
      <c r="F468" s="3" t="s">
        <v>694</v>
      </c>
      <c r="G468" t="s">
        <v>1145</v>
      </c>
      <c r="H468" s="4">
        <v>1412380</v>
      </c>
      <c r="I468" s="4">
        <v>24477.98960138648</v>
      </c>
      <c r="J468" s="5">
        <v>309.84</v>
      </c>
      <c r="K468" s="5">
        <v>4.37</v>
      </c>
      <c r="L468" s="4">
        <v>1439.82</v>
      </c>
      <c r="M468">
        <v>79</v>
      </c>
      <c r="N468">
        <v>5607</v>
      </c>
      <c r="O468">
        <v>17</v>
      </c>
      <c r="P468" s="6">
        <v>500</v>
      </c>
      <c r="Q468" t="s">
        <v>1161</v>
      </c>
      <c r="R468" t="s">
        <v>1164</v>
      </c>
      <c r="S468" s="2">
        <f>HYPERLINK("https://yandex.ru/maps/?&amp;text=58.041453, 38.86429", "58.041453, 38.86429")</f>
        <v>0</v>
      </c>
      <c r="T468" s="2">
        <f>HYPERLINK("D:\torgi_project\venv_torgi\cache\objs_in_district/58.041453_38.86429.json", "58.041453_38.86429.json")</f>
        <v>0</v>
      </c>
      <c r="U468" t="s">
        <v>1610</v>
      </c>
      <c r="V468" s="7" t="s">
        <v>1628</v>
      </c>
    </row>
    <row r="469" spans="1:22">
      <c r="A469" s="8">
        <v>467</v>
      </c>
      <c r="B469">
        <v>76</v>
      </c>
      <c r="C469" s="1">
        <v>45.8</v>
      </c>
      <c r="D469" s="2">
        <f>HYPERLINK("https://torgi.gov.ru/new/public/lots/lot/21000004310000000228_24/(lotInfo:info)", "21000004310000000228_24")</f>
        <v>0</v>
      </c>
      <c r="E469" t="s">
        <v>479</v>
      </c>
      <c r="F469" s="3" t="s">
        <v>704</v>
      </c>
      <c r="G469" t="s">
        <v>1146</v>
      </c>
      <c r="H469" s="4">
        <v>1177250</v>
      </c>
      <c r="I469" s="4">
        <v>25704.14847161572</v>
      </c>
      <c r="J469" s="5">
        <v>6.53</v>
      </c>
      <c r="K469" s="5">
        <v>10.57</v>
      </c>
      <c r="L469" s="4">
        <v>6426</v>
      </c>
      <c r="M469">
        <v>3938</v>
      </c>
      <c r="N469">
        <v>2431</v>
      </c>
      <c r="O469">
        <v>4</v>
      </c>
      <c r="P469" s="6">
        <v>700</v>
      </c>
      <c r="Q469" t="s">
        <v>1161</v>
      </c>
      <c r="R469" t="s">
        <v>1165</v>
      </c>
      <c r="S469" s="2">
        <f>HYPERLINK("https://yandex.ru/maps/?&amp;text=57.642237, 39.84667", "57.642237, 39.84667")</f>
        <v>0</v>
      </c>
      <c r="T469" s="2">
        <f>HYPERLINK("D:\torgi_project\venv_torgi\cache\objs_in_district/57.642237_39.84667.json", "57.642237_39.84667.json")</f>
        <v>0</v>
      </c>
      <c r="U469" t="s">
        <v>1611</v>
      </c>
    </row>
    <row r="470" spans="1:22">
      <c r="A470" s="8">
        <v>468</v>
      </c>
      <c r="B470">
        <v>76</v>
      </c>
      <c r="C470" s="1">
        <v>25.1</v>
      </c>
      <c r="D470" s="2">
        <f>HYPERLINK("https://torgi.gov.ru/new/public/lots/lot/21000012550000000060_1/(lotInfo:info)", "21000012550000000060_1")</f>
        <v>0</v>
      </c>
      <c r="E470" t="s">
        <v>480</v>
      </c>
      <c r="F470" s="3" t="s">
        <v>503</v>
      </c>
      <c r="G470" t="s">
        <v>1147</v>
      </c>
      <c r="H470" s="4">
        <v>650000</v>
      </c>
      <c r="I470" s="4">
        <v>25896.41434262948</v>
      </c>
      <c r="J470" s="5">
        <v>13.24</v>
      </c>
      <c r="K470" s="5">
        <v>11.47</v>
      </c>
      <c r="L470" s="4">
        <v>631.61</v>
      </c>
      <c r="M470">
        <v>1956</v>
      </c>
      <c r="N470">
        <v>2257</v>
      </c>
      <c r="O470">
        <v>41</v>
      </c>
      <c r="Q470" t="s">
        <v>1162</v>
      </c>
      <c r="R470" t="s">
        <v>1164</v>
      </c>
      <c r="S470" s="2">
        <f>HYPERLINK("https://yandex.ru/maps/?&amp;text=57.71358, 39.775865", "57.71358, 39.775865")</f>
        <v>0</v>
      </c>
      <c r="T470" s="2">
        <f>HYPERLINK("D:\torgi_project\venv_torgi\cache\objs_in_district/57.71358_39.775865.json", "57.71358_39.775865.json")</f>
        <v>0</v>
      </c>
      <c r="V470" s="7" t="s">
        <v>1628</v>
      </c>
    </row>
    <row r="471" spans="1:22">
      <c r="A471" s="8">
        <v>469</v>
      </c>
      <c r="B471">
        <v>76</v>
      </c>
      <c r="C471" s="1">
        <v>270.7</v>
      </c>
      <c r="D471" s="2">
        <f>HYPERLINK("https://torgi.gov.ru/new/public/lots/lot/21000012550000000061_1/(lotInfo:info)", "21000012550000000061_1")</f>
        <v>0</v>
      </c>
      <c r="E471" t="s">
        <v>481</v>
      </c>
      <c r="F471" s="3" t="s">
        <v>530</v>
      </c>
      <c r="G471" t="s">
        <v>1148</v>
      </c>
      <c r="H471" s="4">
        <v>8228000</v>
      </c>
      <c r="I471" s="4">
        <v>30395.27151828593</v>
      </c>
      <c r="J471" s="5">
        <v>117.36</v>
      </c>
      <c r="K471" s="5">
        <v>1013.17</v>
      </c>
      <c r="L471" s="4">
        <v>3799.38</v>
      </c>
      <c r="M471">
        <v>259</v>
      </c>
      <c r="N471">
        <v>30</v>
      </c>
      <c r="O471">
        <v>8</v>
      </c>
      <c r="Q471" t="s">
        <v>1162</v>
      </c>
      <c r="R471" t="s">
        <v>1164</v>
      </c>
      <c r="S471" s="2">
        <f>HYPERLINK("https://yandex.ru/maps/?&amp;text=57.755722, 39.80247", "57.755722, 39.80247")</f>
        <v>0</v>
      </c>
      <c r="T471" s="2">
        <f>HYPERLINK("D:\torgi_project\venv_torgi\cache\objs_in_district/57.755722_39.80247.json", "57.755722_39.80247.json")</f>
        <v>0</v>
      </c>
      <c r="V471" s="7" t="s">
        <v>1628</v>
      </c>
    </row>
    <row r="472" spans="1:22">
      <c r="A472" s="8">
        <v>470</v>
      </c>
      <c r="B472">
        <v>76</v>
      </c>
      <c r="C472" s="1">
        <v>19</v>
      </c>
      <c r="D472" s="2">
        <f>HYPERLINK("https://torgi.gov.ru/new/public/lots/lot/21000004310000000243_6/(lotInfo:info)", "21000004310000000243_6")</f>
        <v>0</v>
      </c>
      <c r="E472" t="s">
        <v>482</v>
      </c>
      <c r="F472" s="3" t="s">
        <v>577</v>
      </c>
      <c r="G472" t="s">
        <v>1149</v>
      </c>
      <c r="H472" s="4">
        <v>618000</v>
      </c>
      <c r="I472" s="4">
        <v>32526.31578947368</v>
      </c>
      <c r="J472" s="5">
        <v>66.93000000000001</v>
      </c>
      <c r="K472" s="5">
        <v>18.41</v>
      </c>
      <c r="L472" s="4">
        <v>16263</v>
      </c>
      <c r="M472">
        <v>486</v>
      </c>
      <c r="N472">
        <v>1767</v>
      </c>
      <c r="O472">
        <v>2</v>
      </c>
      <c r="P472" s="6">
        <v>2000</v>
      </c>
      <c r="Q472" t="s">
        <v>1161</v>
      </c>
      <c r="R472" t="s">
        <v>1165</v>
      </c>
      <c r="S472" s="2">
        <f>HYPERLINK("https://yandex.ru/maps/?&amp;text=57.634975, 39.971626", "57.634975, 39.971626")</f>
        <v>0</v>
      </c>
      <c r="T472" s="2">
        <f>HYPERLINK("D:\torgi_project\venv_torgi\cache\objs_in_district/57.634975_39.971626.json", "57.634975_39.971626.json")</f>
        <v>0</v>
      </c>
      <c r="U472" t="s">
        <v>1612</v>
      </c>
    </row>
    <row r="473" spans="1:22">
      <c r="A473" s="8">
        <v>471</v>
      </c>
      <c r="B473">
        <v>76</v>
      </c>
      <c r="C473" s="1">
        <v>18.6</v>
      </c>
      <c r="D473" s="2">
        <f>HYPERLINK("https://torgi.gov.ru/new/public/lots/lot/21000004310000000243_7/(lotInfo:info)", "21000004310000000243_7")</f>
        <v>0</v>
      </c>
      <c r="E473" t="s">
        <v>483</v>
      </c>
      <c r="F473" s="3" t="s">
        <v>577</v>
      </c>
      <c r="G473" t="s">
        <v>1149</v>
      </c>
      <c r="H473" s="4">
        <v>605000</v>
      </c>
      <c r="I473" s="4">
        <v>32526.8817204301</v>
      </c>
      <c r="J473" s="5">
        <v>66.93000000000001</v>
      </c>
      <c r="K473" s="5">
        <v>18.41</v>
      </c>
      <c r="L473" s="4">
        <v>16263</v>
      </c>
      <c r="M473">
        <v>486</v>
      </c>
      <c r="N473">
        <v>1767</v>
      </c>
      <c r="O473">
        <v>2</v>
      </c>
      <c r="P473" s="6">
        <v>2000</v>
      </c>
      <c r="Q473" t="s">
        <v>1161</v>
      </c>
      <c r="R473" t="s">
        <v>1165</v>
      </c>
      <c r="S473" s="2">
        <f>HYPERLINK("https://yandex.ru/maps/?&amp;text=57.634975, 39.971626", "57.634975, 39.971626")</f>
        <v>0</v>
      </c>
      <c r="T473" s="2">
        <f>HYPERLINK("D:\torgi_project\venv_torgi\cache\objs_in_district/57.634975_39.971626.json", "57.634975_39.971626.json")</f>
        <v>0</v>
      </c>
      <c r="U473" t="s">
        <v>1613</v>
      </c>
    </row>
    <row r="474" spans="1:22">
      <c r="A474" s="8">
        <v>472</v>
      </c>
      <c r="B474">
        <v>76</v>
      </c>
      <c r="C474" s="1">
        <v>20.1</v>
      </c>
      <c r="D474" s="2">
        <f>HYPERLINK("https://torgi.gov.ru/new/public/lots/lot/21000004310000000243_3/(lotInfo:info)", "21000004310000000243_3")</f>
        <v>0</v>
      </c>
      <c r="E474" t="s">
        <v>484</v>
      </c>
      <c r="F474" s="3" t="s">
        <v>577</v>
      </c>
      <c r="G474" t="s">
        <v>1149</v>
      </c>
      <c r="H474" s="4">
        <v>654000</v>
      </c>
      <c r="I474" s="4">
        <v>32537.31343283582</v>
      </c>
      <c r="J474" s="5">
        <v>66.95</v>
      </c>
      <c r="K474" s="5">
        <v>18.41</v>
      </c>
      <c r="L474" s="4">
        <v>16268.5</v>
      </c>
      <c r="M474">
        <v>486</v>
      </c>
      <c r="N474">
        <v>1767</v>
      </c>
      <c r="O474">
        <v>2</v>
      </c>
      <c r="P474" s="6">
        <v>2000</v>
      </c>
      <c r="Q474" t="s">
        <v>1161</v>
      </c>
      <c r="R474" t="s">
        <v>1165</v>
      </c>
      <c r="S474" s="2">
        <f>HYPERLINK("https://yandex.ru/maps/?&amp;text=57.634975, 39.971626", "57.634975, 39.971626")</f>
        <v>0</v>
      </c>
      <c r="T474" s="2">
        <f>HYPERLINK("D:\torgi_project\venv_torgi\cache\objs_in_district/57.634975_39.971626.json", "57.634975_39.971626.json")</f>
        <v>0</v>
      </c>
      <c r="U474" t="s">
        <v>1614</v>
      </c>
    </row>
    <row r="475" spans="1:22">
      <c r="A475" s="8">
        <v>473</v>
      </c>
      <c r="B475">
        <v>76</v>
      </c>
      <c r="C475" s="1">
        <v>18.9</v>
      </c>
      <c r="D475" s="2">
        <f>HYPERLINK("https://torgi.gov.ru/new/public/lots/lot/21000004310000000243_8/(lotInfo:info)", "21000004310000000243_8")</f>
        <v>0</v>
      </c>
      <c r="E475" t="s">
        <v>485</v>
      </c>
      <c r="F475" s="3" t="s">
        <v>577</v>
      </c>
      <c r="G475" t="s">
        <v>1149</v>
      </c>
      <c r="H475" s="4">
        <v>615000</v>
      </c>
      <c r="I475" s="4">
        <v>32539.68253968254</v>
      </c>
      <c r="J475" s="5">
        <v>66.95</v>
      </c>
      <c r="K475" s="5">
        <v>18.41</v>
      </c>
      <c r="L475" s="4">
        <v>16269.5</v>
      </c>
      <c r="M475">
        <v>486</v>
      </c>
      <c r="N475">
        <v>1767</v>
      </c>
      <c r="O475">
        <v>2</v>
      </c>
      <c r="P475" s="6">
        <v>2000</v>
      </c>
      <c r="Q475" t="s">
        <v>1161</v>
      </c>
      <c r="R475" t="s">
        <v>1165</v>
      </c>
      <c r="S475" s="2">
        <f>HYPERLINK("https://yandex.ru/maps/?&amp;text=57.634975, 39.971626", "57.634975, 39.971626")</f>
        <v>0</v>
      </c>
      <c r="T475" s="2">
        <f>HYPERLINK("D:\torgi_project\venv_torgi\cache\objs_in_district/57.634975_39.971626.json", "57.634975_39.971626.json")</f>
        <v>0</v>
      </c>
      <c r="U475" t="s">
        <v>1615</v>
      </c>
    </row>
    <row r="476" spans="1:22">
      <c r="A476" s="8">
        <v>474</v>
      </c>
      <c r="B476">
        <v>76</v>
      </c>
      <c r="C476" s="1">
        <v>18.9</v>
      </c>
      <c r="D476" s="2">
        <f>HYPERLINK("https://torgi.gov.ru/new/public/lots/lot/21000004310000000243_4/(lotInfo:info)", "21000004310000000243_4")</f>
        <v>0</v>
      </c>
      <c r="E476" t="s">
        <v>486</v>
      </c>
      <c r="F476" s="3" t="s">
        <v>577</v>
      </c>
      <c r="G476" t="s">
        <v>1149</v>
      </c>
      <c r="H476" s="4">
        <v>615000</v>
      </c>
      <c r="I476" s="4">
        <v>32539.68253968254</v>
      </c>
      <c r="J476" s="5">
        <v>66.95</v>
      </c>
      <c r="K476" s="5">
        <v>18.41</v>
      </c>
      <c r="L476" s="4">
        <v>16269.5</v>
      </c>
      <c r="M476">
        <v>486</v>
      </c>
      <c r="N476">
        <v>1767</v>
      </c>
      <c r="O476">
        <v>2</v>
      </c>
      <c r="P476" s="6">
        <v>2000</v>
      </c>
      <c r="Q476" t="s">
        <v>1161</v>
      </c>
      <c r="R476" t="s">
        <v>1165</v>
      </c>
      <c r="S476" s="2">
        <f>HYPERLINK("https://yandex.ru/maps/?&amp;text=57.634975, 39.971626", "57.634975, 39.971626")</f>
        <v>0</v>
      </c>
      <c r="T476" s="2">
        <f>HYPERLINK("D:\torgi_project\venv_torgi\cache\objs_in_district/57.634975_39.971626.json", "57.634975_39.971626.json")</f>
        <v>0</v>
      </c>
      <c r="U476" t="s">
        <v>1616</v>
      </c>
    </row>
    <row r="477" spans="1:22">
      <c r="A477" s="8">
        <v>475</v>
      </c>
      <c r="B477">
        <v>76</v>
      </c>
      <c r="C477" s="1">
        <v>19.1</v>
      </c>
      <c r="D477" s="2">
        <f>HYPERLINK("https://torgi.gov.ru/new/public/lots/lot/21000004310000000243_5/(lotInfo:info)", "21000004310000000243_5")</f>
        <v>0</v>
      </c>
      <c r="E477" t="s">
        <v>487</v>
      </c>
      <c r="F477" s="3" t="s">
        <v>577</v>
      </c>
      <c r="G477" t="s">
        <v>1149</v>
      </c>
      <c r="H477" s="4">
        <v>622000</v>
      </c>
      <c r="I477" s="4">
        <v>32565.44502617801</v>
      </c>
      <c r="J477" s="5">
        <v>67.01000000000001</v>
      </c>
      <c r="K477" s="5">
        <v>18.43</v>
      </c>
      <c r="L477" s="4">
        <v>16282.5</v>
      </c>
      <c r="M477">
        <v>486</v>
      </c>
      <c r="N477">
        <v>1767</v>
      </c>
      <c r="O477">
        <v>2</v>
      </c>
      <c r="P477" s="6">
        <v>2000</v>
      </c>
      <c r="Q477" t="s">
        <v>1161</v>
      </c>
      <c r="R477" t="s">
        <v>1165</v>
      </c>
      <c r="S477" s="2">
        <f>HYPERLINK("https://yandex.ru/maps/?&amp;text=57.634975, 39.971626", "57.634975, 39.971626")</f>
        <v>0</v>
      </c>
      <c r="T477" s="2">
        <f>HYPERLINK("D:\torgi_project\venv_torgi\cache\objs_in_district/57.634975_39.971626.json", "57.634975_39.971626.json")</f>
        <v>0</v>
      </c>
      <c r="U477" t="s">
        <v>1617</v>
      </c>
    </row>
    <row r="478" spans="1:22">
      <c r="A478" s="8">
        <v>476</v>
      </c>
      <c r="B478">
        <v>76</v>
      </c>
      <c r="C478" s="1">
        <v>74.3</v>
      </c>
      <c r="D478" s="2">
        <f>HYPERLINK("https://torgi.gov.ru/new/public/lots/lot/21000008680000000036_1/(lotInfo:info)", "21000008680000000036_1")</f>
        <v>0</v>
      </c>
      <c r="E478" t="s">
        <v>488</v>
      </c>
      <c r="F478" s="3" t="s">
        <v>627</v>
      </c>
      <c r="G478" t="s">
        <v>1150</v>
      </c>
      <c r="H478" s="4">
        <v>2587368.82</v>
      </c>
      <c r="I478" s="4">
        <v>34823.26810228802</v>
      </c>
      <c r="J478" s="5">
        <v>213.64</v>
      </c>
      <c r="K478" s="5">
        <v>5.22</v>
      </c>
      <c r="L478" s="4">
        <v>351.75</v>
      </c>
      <c r="M478">
        <v>163</v>
      </c>
      <c r="N478">
        <v>6669</v>
      </c>
      <c r="O478">
        <v>99</v>
      </c>
      <c r="P478" s="6">
        <v>100</v>
      </c>
      <c r="Q478" t="s">
        <v>1161</v>
      </c>
      <c r="R478" t="s">
        <v>1164</v>
      </c>
      <c r="S478" s="2">
        <f>HYPERLINK("https://yandex.ru/maps/?&amp;text=58.048664, 38.853645", "58.048664, 38.853645")</f>
        <v>0</v>
      </c>
      <c r="T478" s="2">
        <f>HYPERLINK("D:\torgi_project\venv_torgi\cache\objs_in_district/58.048664_38.853645.json", "58.048664_38.853645.json")</f>
        <v>0</v>
      </c>
      <c r="V478" s="7" t="s">
        <v>1628</v>
      </c>
    </row>
    <row r="479" spans="1:22">
      <c r="A479" s="8">
        <v>477</v>
      </c>
      <c r="B479">
        <v>76</v>
      </c>
      <c r="C479" s="1">
        <v>127.2</v>
      </c>
      <c r="D479" s="2">
        <f>HYPERLINK("https://torgi.gov.ru/new/public/lots/lot/21000008680000000047_1/(lotInfo:info)", "21000008680000000047_1")</f>
        <v>0</v>
      </c>
      <c r="E479" t="s">
        <v>489</v>
      </c>
      <c r="F479" s="3" t="s">
        <v>703</v>
      </c>
      <c r="G479" t="s">
        <v>1151</v>
      </c>
      <c r="H479" s="4">
        <v>4946885.36</v>
      </c>
      <c r="I479" s="4">
        <v>38890.60817610063</v>
      </c>
      <c r="J479" s="5">
        <v>238.59</v>
      </c>
      <c r="K479" s="5">
        <v>5.28</v>
      </c>
      <c r="L479" s="4">
        <v>363.46</v>
      </c>
      <c r="M479">
        <v>163</v>
      </c>
      <c r="N479">
        <v>7366</v>
      </c>
      <c r="O479">
        <v>107</v>
      </c>
      <c r="P479" s="6">
        <v>100</v>
      </c>
      <c r="Q479" t="s">
        <v>1161</v>
      </c>
      <c r="R479" t="s">
        <v>1164</v>
      </c>
      <c r="S479" s="2">
        <f>HYPERLINK("https://yandex.ru/maps/?&amp;text=58.049035, 38.851678", "58.049035, 38.851678")</f>
        <v>0</v>
      </c>
      <c r="T479" s="2">
        <f>HYPERLINK("D:\torgi_project\venv_torgi\cache\objs_in_district/58.049035_38.851678.json", "58.049035_38.851678.json")</f>
        <v>0</v>
      </c>
      <c r="U479" t="s">
        <v>1618</v>
      </c>
      <c r="V479" s="7" t="s">
        <v>1630</v>
      </c>
    </row>
    <row r="480" spans="1:22">
      <c r="A480" s="8">
        <v>478</v>
      </c>
      <c r="B480">
        <v>76</v>
      </c>
      <c r="C480" s="1">
        <v>24.4</v>
      </c>
      <c r="D480" s="2">
        <f>HYPERLINK("https://torgi.gov.ru/new/public/lots/lot/21000004310000000262_7/(lotInfo:info)", "21000004310000000262_7")</f>
        <v>0</v>
      </c>
      <c r="E480" t="s">
        <v>490</v>
      </c>
      <c r="F480" s="3" t="s">
        <v>705</v>
      </c>
      <c r="G480" t="s">
        <v>1152</v>
      </c>
      <c r="H480" s="4">
        <v>1197650</v>
      </c>
      <c r="I480" s="4">
        <v>49084.01639344262</v>
      </c>
      <c r="J480" s="5">
        <v>11.1</v>
      </c>
      <c r="K480" s="5">
        <v>11.96</v>
      </c>
      <c r="L480" s="4">
        <v>1141.49</v>
      </c>
      <c r="M480">
        <v>4421</v>
      </c>
      <c r="N480">
        <v>4104</v>
      </c>
      <c r="O480">
        <v>43</v>
      </c>
      <c r="P480" s="6">
        <v>800</v>
      </c>
      <c r="Q480" t="s">
        <v>1161</v>
      </c>
      <c r="R480" t="s">
        <v>1165</v>
      </c>
      <c r="S480" s="2">
        <f>HYPERLINK("https://yandex.ru/maps/?&amp;text=57.6247, 39.866856", "57.6247, 39.866856")</f>
        <v>0</v>
      </c>
      <c r="T480" s="2">
        <f>HYPERLINK("D:\torgi_project\venv_torgi\cache\objs_in_district/57.6247_39.866856.json", "57.6247_39.866856.json")</f>
        <v>0</v>
      </c>
      <c r="U480" t="s">
        <v>1619</v>
      </c>
    </row>
    <row r="481" spans="1:22">
      <c r="A481" s="8">
        <v>479</v>
      </c>
      <c r="B481">
        <v>86</v>
      </c>
      <c r="C481" s="1">
        <v>334.4</v>
      </c>
      <c r="D481" s="2">
        <f>HYPERLINK("https://torgi.gov.ru/new/public/lots/lot/21000034510000000100_1/(lotInfo:info)", "21000034510000000100_1")</f>
        <v>0</v>
      </c>
      <c r="E481" t="s">
        <v>491</v>
      </c>
      <c r="F481" s="3" t="s">
        <v>706</v>
      </c>
      <c r="G481" t="s">
        <v>1153</v>
      </c>
      <c r="H481" s="4">
        <v>993000</v>
      </c>
      <c r="I481" s="4">
        <v>2969.497607655503</v>
      </c>
      <c r="J481" s="5">
        <v>5.58</v>
      </c>
      <c r="K481" s="5">
        <v>7.44</v>
      </c>
      <c r="M481">
        <v>532</v>
      </c>
      <c r="N481">
        <v>399</v>
      </c>
      <c r="O481">
        <v>0</v>
      </c>
      <c r="P481" s="6">
        <v>5000</v>
      </c>
      <c r="Q481" t="s">
        <v>1161</v>
      </c>
      <c r="R481" t="s">
        <v>1164</v>
      </c>
      <c r="S481" s="2">
        <f>HYPERLINK("https://yandex.ru/maps/?&amp;text=63.697294, 66.75933", "63.697294, 66.75933")</f>
        <v>0</v>
      </c>
      <c r="U481" t="s">
        <v>1620</v>
      </c>
      <c r="V481" s="7" t="s">
        <v>1628</v>
      </c>
    </row>
    <row r="482" spans="1:22">
      <c r="A482" s="8">
        <v>480</v>
      </c>
      <c r="B482">
        <v>86</v>
      </c>
      <c r="C482" s="1">
        <v>966.6</v>
      </c>
      <c r="D482" s="2">
        <f>HYPERLINK("https://torgi.gov.ru/new/public/lots/lot/21000034510000000101_1/(lotInfo:info)", "21000034510000000101_1")</f>
        <v>0</v>
      </c>
      <c r="E482" t="s">
        <v>492</v>
      </c>
      <c r="F482" s="3" t="s">
        <v>706</v>
      </c>
      <c r="G482" t="s">
        <v>1154</v>
      </c>
      <c r="H482" s="4">
        <v>3103000</v>
      </c>
      <c r="I482" s="4">
        <v>3210.221394578936</v>
      </c>
      <c r="J482" s="5">
        <v>6.03</v>
      </c>
      <c r="K482" s="5">
        <v>8.050000000000001</v>
      </c>
      <c r="M482">
        <v>532</v>
      </c>
      <c r="N482">
        <v>399</v>
      </c>
      <c r="O482">
        <v>0</v>
      </c>
      <c r="P482" s="6">
        <v>5000</v>
      </c>
      <c r="Q482" t="s">
        <v>1161</v>
      </c>
      <c r="R482" t="s">
        <v>1164</v>
      </c>
      <c r="S482" s="2">
        <f>HYPERLINK("https://yandex.ru/maps/?&amp;text=63.697294, 66.75933", "63.697294, 66.75933")</f>
        <v>0</v>
      </c>
      <c r="U482" t="s">
        <v>1621</v>
      </c>
      <c r="V482" s="7" t="s">
        <v>1628</v>
      </c>
    </row>
    <row r="483" spans="1:22">
      <c r="A483" s="8">
        <v>481</v>
      </c>
      <c r="B483">
        <v>86</v>
      </c>
      <c r="C483" s="1">
        <v>143</v>
      </c>
      <c r="D483" s="2">
        <f>HYPERLINK("https://torgi.gov.ru/new/public/lots/lot/21000034510000000104_1/(lotInfo:info)", "21000034510000000104_1")</f>
        <v>0</v>
      </c>
      <c r="E483" t="s">
        <v>493</v>
      </c>
      <c r="F483" s="3" t="s">
        <v>706</v>
      </c>
      <c r="G483" t="s">
        <v>1155</v>
      </c>
      <c r="H483" s="4">
        <v>860000</v>
      </c>
      <c r="I483" s="4">
        <v>6013.986013986014</v>
      </c>
      <c r="J483" s="5">
        <v>11.3</v>
      </c>
      <c r="K483" s="5">
        <v>15.07</v>
      </c>
      <c r="M483">
        <v>532</v>
      </c>
      <c r="N483">
        <v>399</v>
      </c>
      <c r="O483">
        <v>0</v>
      </c>
      <c r="P483" s="6">
        <v>5000</v>
      </c>
      <c r="Q483" t="s">
        <v>1161</v>
      </c>
      <c r="R483" t="s">
        <v>1164</v>
      </c>
      <c r="S483" s="2">
        <f>HYPERLINK("https://yandex.ru/maps/?&amp;text=63.697294, 66.75933", "63.697294, 66.75933")</f>
        <v>0</v>
      </c>
      <c r="U483" t="s">
        <v>1622</v>
      </c>
      <c r="V483" s="7" t="s">
        <v>1628</v>
      </c>
    </row>
    <row r="484" spans="1:22">
      <c r="A484" s="8">
        <v>482</v>
      </c>
      <c r="B484">
        <v>86</v>
      </c>
      <c r="C484" s="1">
        <v>129.6</v>
      </c>
      <c r="D484" s="2">
        <f>HYPERLINK("https://torgi.gov.ru/new/public/lots/lot/21000034510000000095_1/(lotInfo:info)", "21000034510000000095_1")</f>
        <v>0</v>
      </c>
      <c r="E484" t="s">
        <v>494</v>
      </c>
      <c r="F484" s="3" t="s">
        <v>667</v>
      </c>
      <c r="G484" t="s">
        <v>1156</v>
      </c>
      <c r="H484" s="4">
        <v>1061000</v>
      </c>
      <c r="I484" s="4">
        <v>8186.728395061728</v>
      </c>
      <c r="J484" s="5">
        <v>3.44</v>
      </c>
      <c r="K484" s="5">
        <v>0.87</v>
      </c>
      <c r="L484" s="4">
        <v>255.81</v>
      </c>
      <c r="M484">
        <v>2379</v>
      </c>
      <c r="N484">
        <v>9420</v>
      </c>
      <c r="O484">
        <v>32</v>
      </c>
      <c r="P484" s="6">
        <v>600</v>
      </c>
      <c r="Q484" t="s">
        <v>1161</v>
      </c>
      <c r="R484" t="s">
        <v>1164</v>
      </c>
      <c r="S484" s="2">
        <f>HYPERLINK("https://yandex.ru/maps/?&amp;text=60.94617, 76.561795", "60.94617, 76.561795")</f>
        <v>0</v>
      </c>
      <c r="T484" s="2">
        <f>HYPERLINK("D:\torgi_project\venv_torgi\cache\objs_in_district/60.94617_76.561795.json", "60.94617_76.561795.json")</f>
        <v>0</v>
      </c>
      <c r="U484" t="s">
        <v>1623</v>
      </c>
      <c r="V484" s="7" t="s">
        <v>1628</v>
      </c>
    </row>
    <row r="485" spans="1:22">
      <c r="A485" s="8">
        <v>483</v>
      </c>
      <c r="B485">
        <v>86</v>
      </c>
      <c r="C485" s="1">
        <v>107.4</v>
      </c>
      <c r="D485" s="2">
        <f>HYPERLINK("https://torgi.gov.ru/new/public/lots/lot/21000034510000000105_1/(lotInfo:info)", "21000034510000000105_1")</f>
        <v>0</v>
      </c>
      <c r="E485" t="s">
        <v>495</v>
      </c>
      <c r="F485" s="3" t="s">
        <v>677</v>
      </c>
      <c r="G485" t="s">
        <v>1157</v>
      </c>
      <c r="H485" s="4">
        <v>1094000</v>
      </c>
      <c r="I485" s="4">
        <v>10186.21973929236</v>
      </c>
      <c r="J485" s="5">
        <v>1.51</v>
      </c>
      <c r="K485" s="5">
        <v>7.95</v>
      </c>
      <c r="L485" s="4">
        <v>783.54</v>
      </c>
      <c r="M485">
        <v>6732</v>
      </c>
      <c r="N485">
        <v>1281</v>
      </c>
      <c r="O485">
        <v>13</v>
      </c>
      <c r="P485" s="6">
        <v>400</v>
      </c>
      <c r="Q485" t="s">
        <v>1161</v>
      </c>
      <c r="R485" t="s">
        <v>1164</v>
      </c>
      <c r="S485" s="2">
        <f>HYPERLINK("https://yandex.ru/maps/?&amp;text=61.284067, 73.383313", "61.284067, 73.383313")</f>
        <v>0</v>
      </c>
      <c r="T485" s="2">
        <f>HYPERLINK("D:\torgi_project\venv_torgi\cache\objs_in_district/61.284067_73.383313.json", "61.284067_73.383313.json")</f>
        <v>0</v>
      </c>
      <c r="U485" t="s">
        <v>1624</v>
      </c>
      <c r="V485" s="7" t="s">
        <v>1628</v>
      </c>
    </row>
    <row r="486" spans="1:22">
      <c r="A486" s="8">
        <v>484</v>
      </c>
      <c r="B486">
        <v>86</v>
      </c>
      <c r="C486" s="1">
        <v>579.5</v>
      </c>
      <c r="D486" s="2">
        <f>HYPERLINK("https://torgi.gov.ru/new/public/lots/lot/21000014930000000003_1/(lotInfo:info)", "21000014930000000003_1")</f>
        <v>0</v>
      </c>
      <c r="E486" t="s">
        <v>496</v>
      </c>
      <c r="F486" s="3" t="s">
        <v>707</v>
      </c>
      <c r="G486" t="s">
        <v>1158</v>
      </c>
      <c r="H486" s="4">
        <v>6548350</v>
      </c>
      <c r="I486" s="4">
        <v>11300</v>
      </c>
      <c r="J486" s="5">
        <v>5.78</v>
      </c>
      <c r="K486" s="5">
        <v>2.22</v>
      </c>
      <c r="L486" s="4">
        <v>491.3</v>
      </c>
      <c r="M486">
        <v>1955</v>
      </c>
      <c r="N486">
        <v>5088</v>
      </c>
      <c r="O486">
        <v>23</v>
      </c>
      <c r="P486" s="6">
        <v>500</v>
      </c>
      <c r="Q486" t="s">
        <v>1162</v>
      </c>
      <c r="R486" t="s">
        <v>1164</v>
      </c>
      <c r="S486" s="2">
        <f>HYPERLINK("https://yandex.ru/maps/?&amp;text=61.03284, 76.11834", "61.03284, 76.11834")</f>
        <v>0</v>
      </c>
      <c r="T486" s="2">
        <f>HYPERLINK("D:\torgi_project\venv_torgi\cache\objs_in_district/61.03284_76.11834.json", "61.03284_76.11834.json")</f>
        <v>0</v>
      </c>
      <c r="U486" t="s">
        <v>1625</v>
      </c>
      <c r="V486" s="7" t="s">
        <v>1628</v>
      </c>
    </row>
    <row r="487" spans="1:22">
      <c r="A487" s="8">
        <v>485</v>
      </c>
      <c r="B487">
        <v>86</v>
      </c>
      <c r="C487" s="1">
        <v>315.2</v>
      </c>
      <c r="D487" s="2">
        <f>HYPERLINK("https://torgi.gov.ru/new/public/lots/lot/21000034510000000092_1/(lotInfo:info)", "21000034510000000092_1")</f>
        <v>0</v>
      </c>
      <c r="E487" t="s">
        <v>497</v>
      </c>
      <c r="F487" s="3" t="s">
        <v>708</v>
      </c>
      <c r="G487" t="s">
        <v>1159</v>
      </c>
      <c r="H487" s="4">
        <v>7961000</v>
      </c>
      <c r="I487" s="4">
        <v>25256.97969543147</v>
      </c>
      <c r="J487" s="5">
        <v>8.17</v>
      </c>
      <c r="K487" s="5">
        <v>3.63</v>
      </c>
      <c r="L487" s="4">
        <v>631.4</v>
      </c>
      <c r="M487">
        <v>3091</v>
      </c>
      <c r="N487">
        <v>6951</v>
      </c>
      <c r="O487">
        <v>40</v>
      </c>
      <c r="P487" s="6">
        <v>300</v>
      </c>
      <c r="Q487" t="s">
        <v>1161</v>
      </c>
      <c r="R487" t="s">
        <v>1164</v>
      </c>
      <c r="S487" s="2">
        <f>HYPERLINK("https://yandex.ru/maps/?&amp;text=60.942072, 76.56758", "60.942072, 76.56758")</f>
        <v>0</v>
      </c>
      <c r="T487" s="2">
        <f>HYPERLINK("D:\torgi_project\venv_torgi\cache\objs_in_district/60.942072_76.56758.json", "60.942072_76.56758.json")</f>
        <v>0</v>
      </c>
      <c r="U487" t="s">
        <v>1626</v>
      </c>
    </row>
    <row r="488" spans="1:22">
      <c r="A488" s="8">
        <v>486</v>
      </c>
      <c r="B488">
        <v>89</v>
      </c>
      <c r="C488" s="1">
        <v>38.5</v>
      </c>
      <c r="D488" s="2">
        <f>HYPERLINK("https://torgi.gov.ru/new/public/lots/lot/22000043470000000006_1/(lotInfo:info)", "22000043470000000006_1")</f>
        <v>0</v>
      </c>
      <c r="E488" t="s">
        <v>498</v>
      </c>
      <c r="F488" s="3" t="s">
        <v>709</v>
      </c>
      <c r="G488" t="s">
        <v>1160</v>
      </c>
      <c r="H488" s="4">
        <v>2303000</v>
      </c>
      <c r="I488" s="4">
        <v>59818.18181818182</v>
      </c>
      <c r="J488" s="5">
        <v>345.77</v>
      </c>
      <c r="K488" s="5">
        <v>56.33</v>
      </c>
      <c r="L488" s="4">
        <v>4601.38</v>
      </c>
      <c r="M488">
        <v>173</v>
      </c>
      <c r="N488">
        <v>1062</v>
      </c>
      <c r="O488">
        <v>13</v>
      </c>
      <c r="P488" s="6">
        <v>700</v>
      </c>
      <c r="Q488" t="s">
        <v>1162</v>
      </c>
      <c r="R488" t="s">
        <v>1164</v>
      </c>
      <c r="S488" s="2">
        <f>HYPERLINK("https://yandex.ru/maps/?&amp;text=66.820448, 65.806365", "66.820448, 65.806365")</f>
        <v>0</v>
      </c>
      <c r="T488" s="2">
        <f>HYPERLINK("D:\torgi_project\venv_torgi\cache\objs_in_district/66.820448_65.806365.json", "66.820448_65.806365.json")</f>
        <v>0</v>
      </c>
      <c r="U488" t="s">
        <v>1627</v>
      </c>
      <c r="V488" s="7" t="s">
        <v>1628</v>
      </c>
    </row>
  </sheetData>
  <autoFilter ref="A1:T1000"/>
  <conditionalFormatting sqref="F1:F1000">
    <cfRule type="timePeriod" dxfId="1" priority="4" timePeriod="nextWeek">
      <formula>AND(ROUNDDOWN(F1,0)-TODAY()&gt;(7-WEEKDAY(TODAY())),ROUNDDOWN(F1,0)-TODAY()&lt;(15-WEEKDAY(TODAY())))</formula>
    </cfRule>
    <cfRule type="timePeriod" dxfId="1" priority="5" timePeriod="thisWeek">
      <formula>AND(TODAY()-ROUNDDOWN(F1,0)&lt;=WEEKDAY(TODAY())-1,ROUNDDOWN(F1,0)-TODAY()&lt;=7-WEEKDAY(TODAY()))</formula>
    </cfRule>
  </conditionalFormatting>
  <conditionalFormatting sqref="I1:I1000">
    <cfRule type="cellIs" dxfId="0" priority="2" operator="lessThanOrEqual">
      <formula>10000</formula>
    </cfRule>
  </conditionalFormatting>
  <conditionalFormatting sqref="J1:K1000">
    <cfRule type="cellIs" dxfId="0" priority="3" operator="between">
      <formula>0.1</formula>
      <formula>10</formula>
    </cfRule>
  </conditionalFormatting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2022-08-21T16:48:52Z</dcterms:created>
  <dcterms:modified xsi:type="dcterms:W3CDTF">2022-08-21T16:48:52Z</dcterms:modified>
</cp:coreProperties>
</file>