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'Sheet1'!$A$1:$B$97</definedName>
  </definedNames>
  <calcPr calcId="125725" fullCalcOnLoad="1"/>
</workbook>
</file>

<file path=xl/styles.xml><?xml version="1.0" encoding="utf-8"?>
<styleSheet xmlns="http://schemas.openxmlformats.org/spreadsheetml/2006/main">
  <numFmts count="4">
    <numFmt numFmtId="164" formatCode="#\ ##0.0\ \м\2"/>
    <numFmt numFmtId="165" formatCode="#\ ###\ ##0\ \₽"/>
    <numFmt numFmtId="166" formatCode="_-* #\ ##0.00\ \₽_-;\-* #\ ##0.00\ \₽_-"/>
    <numFmt numFmtId="167" formatCode="_-* # ##0.00 ₽_-;-* # ##0.00 ₽_-"/>
  </numFmts>
  <fonts count="4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Alignment="1" applyProtection="1">
      <alignment vertical="top"/>
      <protection locked="0" hidden="0"/>
    </xf>
  </cellStyleXfs>
  <cellXfs count="9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0" pivotButton="0" quotePrefix="0" xfId="1"/>
    <xf numFmtId="0" fontId="3" fillId="0" borderId="0" applyAlignment="1" applyProtection="1" pivotButton="0" quotePrefix="0" xfId="1">
      <alignment vertical="top"/>
      <protection locked="0" hidden="0"/>
    </xf>
    <xf numFmtId="166" fontId="0" fillId="0" borderId="0" pivotButton="0" quotePrefix="0" xfId="0"/>
    <xf numFmtId="167" fontId="0" fillId="0" borderId="0" pivotButton="0" quotePrefix="0" xfId="0"/>
  </cellXfs>
  <cellStyles count="2">
    <cellStyle name="Обычный" xfId="0" builtinId="0"/>
    <cellStyle name="Гиперссылка" xfId="1" builtinId="8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41"/>
  <sheetViews>
    <sheetView tabSelected="1" topLeftCell="E1" workbookViewId="0">
      <selection activeCell="Q2" sqref="Q2"/>
    </sheetView>
  </sheetViews>
  <sheetFormatPr baseColWidth="8" defaultRowHeight="15"/>
  <cols>
    <col width="3.7109375" customWidth="1" min="2" max="2"/>
    <col width="9.7109375" customWidth="1" style="1" min="3" max="3"/>
    <col width="22.7109375" customWidth="1" style="2" min="4" max="4"/>
    <col width="40.7109375" customWidth="1" min="5" max="5"/>
    <col width="12.7109375" customWidth="1" style="3" min="6" max="7"/>
    <col width="40.7109375" customWidth="1" min="8" max="8"/>
    <col width="12.7109375" customWidth="1" min="9" max="9"/>
    <col width="18.7109375" customWidth="1" min="10" max="10"/>
    <col width="12.7109375" customWidth="1" style="3" min="11" max="11"/>
    <col width="22.7109375" customWidth="1" style="2" min="14" max="14"/>
    <col width="22.7109375" customWidth="1" style="2" min="17" max="17"/>
  </cols>
  <sheetData>
    <row r="1">
      <c r="B1" s="4" t="inlineStr">
        <is>
          <t>Регион</t>
        </is>
      </c>
      <c r="C1" s="4" t="inlineStr">
        <is>
          <t>Общая площадь</t>
        </is>
      </c>
      <c r="D1" s="4" t="inlineStr">
        <is>
          <t>id</t>
        </is>
      </c>
      <c r="E1" s="4" t="inlineStr">
        <is>
          <t>Название</t>
        </is>
      </c>
      <c r="F1" s="4" t="inlineStr">
        <is>
          <t>Цена за кв.м</t>
        </is>
      </c>
      <c r="G1" s="4" t="inlineStr">
        <is>
          <t>Цена</t>
        </is>
      </c>
      <c r="H1" s="4" t="inlineStr">
        <is>
          <t>Адрес</t>
        </is>
      </c>
      <c r="I1" s="4" t="inlineStr">
        <is>
          <t>Окончания подачи заявок</t>
        </is>
      </c>
      <c r="J1" s="4" t="inlineStr">
        <is>
          <t>Кадастровый номер</t>
        </is>
      </c>
      <c r="K1" s="4" t="inlineStr">
        <is>
          <t>Cтоимость чел/кв.м</t>
        </is>
      </c>
      <c r="L1" s="4" t="inlineStr">
        <is>
          <t>Форма проведения</t>
        </is>
      </c>
      <c r="M1" s="4" t="inlineStr">
        <is>
          <t>Имущество</t>
        </is>
      </c>
      <c r="N1" s="4" t="inlineStr">
        <is>
          <t>Координаты</t>
        </is>
      </c>
      <c r="O1" s="4" t="inlineStr">
        <is>
          <t>Жителей в округе</t>
        </is>
      </c>
      <c r="P1" s="4" t="inlineStr">
        <is>
          <t>Коммерческих объектов</t>
        </is>
      </c>
      <c r="Q1" s="4" t="inlineStr">
        <is>
          <t>Описание коммерческих объектов</t>
        </is>
      </c>
    </row>
    <row r="2">
      <c r="A2" s="4" t="n">
        <v>0</v>
      </c>
      <c r="B2" t="inlineStr">
        <is>
          <t>25</t>
        </is>
      </c>
      <c r="C2" s="1" t="n">
        <v>18.5</v>
      </c>
      <c r="D2" s="2">
        <f>HYPERLINK("https://torgi.gov.ru/new/public/lots/lot/22000104060000000019_4/(lotInfo:info)", "22000104060000000019_4")</f>
        <v/>
      </c>
      <c r="E2" t="inlineStr">
        <is>
          <t>Нежилое помещение в здании (бокс№26 в ГСК№173, лит.а), эт.1пл.18,5кв.м, адрес:, соб-к Железков Е.А.</t>
        </is>
      </c>
      <c r="F2" s="3" t="n">
        <v>29334.59459459459</v>
      </c>
      <c r="G2" s="3" t="n">
        <v>542690</v>
      </c>
      <c r="H2" t="inlineStr">
        <is>
          <t>г Владивосток, ул Тухачевского, д 50А</t>
        </is>
      </c>
      <c r="I2" t="inlineStr">
        <is>
          <t>01 08 22 02:00</t>
        </is>
      </c>
      <c r="J2" t="inlineStr">
        <is>
          <t xml:space="preserve">25:28:000000:29530, </t>
        </is>
      </c>
      <c r="L2" t="inlineStr">
        <is>
          <t>EA</t>
        </is>
      </c>
      <c r="M2" t="inlineStr">
        <is>
          <t>Д</t>
        </is>
      </c>
      <c r="N2" s="2">
        <f>HYPERLINK("https://yandex.ru/maps/?&amp;text=43.158554, 131.92978", "43.158554, 131.92978")</f>
        <v/>
      </c>
      <c r="O2" t="n">
        <v>3338</v>
      </c>
      <c r="P2" s="7" t="n">
        <v>8.789999999999999</v>
      </c>
      <c r="R2" t="n">
        <v>3566</v>
      </c>
      <c r="S2" s="8" t="n">
        <v>8.23</v>
      </c>
    </row>
    <row r="3">
      <c r="A3" s="4" t="n">
        <v>1</v>
      </c>
      <c r="B3" t="inlineStr">
        <is>
          <t>64</t>
        </is>
      </c>
      <c r="C3" s="1" t="n">
        <v>74.40000000000001</v>
      </c>
      <c r="D3" s="2">
        <f>HYPERLINK("https://torgi.gov.ru/new/public/lots/lot/21000015660000000024_1/(lotInfo:info)", "21000015660000000024_1")</f>
        <v/>
      </c>
      <c r="E3" t="inlineStr">
        <is>
          <t>Нежилое помещение , расположенное по адресу:</t>
        </is>
      </c>
      <c r="F3" s="3" t="n">
        <v>10845.22043010753</v>
      </c>
      <c r="G3" s="3" t="n">
        <v>806884.4</v>
      </c>
      <c r="H3" t="inlineStr">
        <is>
          <t>Саратовская обл, г Энгельс, ул Марины Расковой, д 21, помещ 1</t>
        </is>
      </c>
      <c r="I3" t="inlineStr">
        <is>
          <t>26 07 22 14:00</t>
        </is>
      </c>
      <c r="J3" t="inlineStr">
        <is>
          <t>64:50:000000:78527</t>
        </is>
      </c>
      <c r="L3" t="inlineStr">
        <is>
          <t>EA</t>
        </is>
      </c>
      <c r="M3" t="inlineStr">
        <is>
          <t>М</t>
        </is>
      </c>
      <c r="N3" s="2">
        <f>HYPERLINK("https://yandex.ru/maps/?&amp;text=51.481354, 46.14403", "51.481354, 46.14403")</f>
        <v/>
      </c>
      <c r="O3" t="n">
        <v>2554</v>
      </c>
      <c r="P3" s="7" t="n">
        <v>4.25</v>
      </c>
      <c r="R3" t="n">
        <v>2554</v>
      </c>
      <c r="S3" s="8" t="n">
        <v>4.25</v>
      </c>
    </row>
    <row r="4">
      <c r="A4" s="4" t="n">
        <v>2</v>
      </c>
      <c r="B4" t="inlineStr">
        <is>
          <t>60</t>
        </is>
      </c>
      <c r="C4" s="1" t="n">
        <v>219</v>
      </c>
      <c r="D4" s="2">
        <f>HYPERLINK("https://torgi.gov.ru/new/public/lots/lot/21000033830000000006_1/(lotInfo:info)", "21000033830000000006_1")</f>
        <v/>
      </c>
      <c r="E4" t="inlineStr">
        <is>
          <t>Нежилое помещения 1003., расположенное на втором этаже здания по адресу:,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      </is>
      </c>
      <c r="F4" s="3" t="n">
        <v>8245.205479452055</v>
      </c>
      <c r="G4" s="3" t="n">
        <v>1805700</v>
      </c>
      <c r="H4" t="inlineStr">
        <is>
          <t>Псковская обл, г Печоры, ул Псковская, д 1, помещ 1003</t>
        </is>
      </c>
      <c r="I4" t="inlineStr">
        <is>
          <t>31 07 22 14:00</t>
        </is>
      </c>
      <c r="J4" t="inlineStr">
        <is>
          <t>60:15:1008012:132</t>
        </is>
      </c>
      <c r="L4" t="inlineStr">
        <is>
          <t>EA</t>
        </is>
      </c>
      <c r="M4" t="inlineStr">
        <is>
          <t>М</t>
        </is>
      </c>
      <c r="N4" s="2">
        <f>HYPERLINK("https://yandex.ru/maps/?&amp;text=57.813397, 27.613826", "57.813397, 27.613826")</f>
        <v/>
      </c>
      <c r="O4" t="n">
        <v>238</v>
      </c>
      <c r="P4" s="7" t="n">
        <v>34.64</v>
      </c>
      <c r="R4" t="n">
        <v>238</v>
      </c>
      <c r="S4" s="8" t="n">
        <v>34.64</v>
      </c>
    </row>
    <row r="5">
      <c r="A5" s="4" t="n">
        <v>4</v>
      </c>
      <c r="B5" t="inlineStr">
        <is>
          <t>42</t>
        </is>
      </c>
      <c r="C5" s="1" t="n">
        <v>26.3</v>
      </c>
      <c r="D5" s="2">
        <f>HYPERLINK("https://torgi.gov.ru/new/public/lots/lot/21000033300000000017_11/(lotInfo:info)", "21000033300000000017_11")</f>
        <v/>
      </c>
      <c r="E5" t="inlineStr">
        <is>
          <t>Нежилое помещение.расположенное по адресу:</t>
        </is>
      </c>
      <c r="F5" s="3" t="n">
        <v>27984.79087452472</v>
      </c>
      <c r="G5" s="3" t="n">
        <v>736000</v>
      </c>
      <c r="H5" t="inlineStr">
        <is>
          <t>Кемеровская область - Кузбасс, г Прокопьевск, пр-кт Строителей, зд 7, помещ 3</t>
        </is>
      </c>
      <c r="I5" t="inlineStr">
        <is>
          <t>03 08 22 08:00</t>
        </is>
      </c>
      <c r="J5" t="inlineStr">
        <is>
          <t xml:space="preserve">42:32:0103013:35469,  </t>
        </is>
      </c>
      <c r="L5" t="inlineStr">
        <is>
          <t>EA</t>
        </is>
      </c>
      <c r="M5" t="inlineStr">
        <is>
          <t>М</t>
        </is>
      </c>
      <c r="N5" s="2">
        <f>HYPERLINK("https://yandex.ru/maps/?&amp;text=53.863757, 86.625279", "53.863757, 86.625279")</f>
        <v/>
      </c>
      <c r="O5" t="n">
        <v>2009</v>
      </c>
      <c r="P5" s="7" t="n">
        <v>13.93</v>
      </c>
      <c r="R5" t="n">
        <v>2015</v>
      </c>
      <c r="S5" s="8" t="n">
        <v>13.89</v>
      </c>
    </row>
    <row r="6">
      <c r="A6" s="4" t="n">
        <v>5</v>
      </c>
      <c r="B6" t="inlineStr">
        <is>
          <t>39</t>
        </is>
      </c>
      <c r="C6" s="1" t="n">
        <v>194.2</v>
      </c>
      <c r="D6" s="2">
        <f>HYPERLINK("https://torgi.gov.ru/new/public/lots/lot/22000054080000000004_1/(lotInfo:info)", "22000054080000000004_1")</f>
        <v/>
      </c>
      <c r="E6" t="inlineStr">
        <is>
          <t>Жилой дом с нежилыми помещениями (аварийный, подлежащий сносу) .; земельный участок из земель населенных пунктов с разрешенным использованием – среднеэтажная жилая застройка (под существующим многоквартирным жилым домом), расположенные по адресу:</t>
        </is>
      </c>
      <c r="F6" s="3" t="n">
        <v>4055.612770339856</v>
      </c>
      <c r="G6" s="3" t="n">
        <v>787600</v>
      </c>
      <c r="H6" t="inlineStr">
        <is>
          <t>Калининградская обл, г Правдинск, ул Столярная, д 9</t>
        </is>
      </c>
      <c r="I6" t="inlineStr">
        <is>
          <t>21 07 22 15:00</t>
        </is>
      </c>
      <c r="J6" t="inlineStr">
        <is>
          <t>39:11:010009:40</t>
        </is>
      </c>
      <c r="L6" t="inlineStr">
        <is>
          <t>EA</t>
        </is>
      </c>
      <c r="M6" t="inlineStr">
        <is>
          <t>М</t>
        </is>
      </c>
      <c r="N6" s="2">
        <f>HYPERLINK("https://yandex.ru/maps/?&amp;text=54.446863, 21.017658", "54.446863, 21.017658")</f>
        <v/>
      </c>
      <c r="O6" t="n">
        <v>1771</v>
      </c>
      <c r="P6" s="7" t="n">
        <v>2.29</v>
      </c>
      <c r="R6" t="n">
        <v>1084</v>
      </c>
      <c r="S6" s="8" t="n">
        <v>3.74</v>
      </c>
    </row>
    <row r="7">
      <c r="A7" s="4" t="n">
        <v>6</v>
      </c>
      <c r="B7" t="inlineStr">
        <is>
          <t>39</t>
        </is>
      </c>
      <c r="C7" s="1" t="n">
        <v>83.8</v>
      </c>
      <c r="D7" s="2">
        <f>HYPERLINK("https://torgi.gov.ru/new/public/lots/lot/22000054080000000009_1/(lotInfo:info)", "22000054080000000009_1")</f>
        <v/>
      </c>
      <c r="E7" t="inlineStr">
        <is>
          <t>Нежилое здание (водонапорная башня № 3) ., расположенного по адресу:.</t>
        </is>
      </c>
      <c r="F7" s="3" t="n">
        <v>12325.77565632458</v>
      </c>
      <c r="G7" s="3" t="n">
        <v>1032900</v>
      </c>
      <c r="H7" t="inlineStr">
        <is>
          <t>Калининградская обл, Правдинский р-н, поселок Железнодорожный, ул Вокзальная</t>
        </is>
      </c>
      <c r="I7" t="inlineStr">
        <is>
          <t>21 07 22 15:00</t>
        </is>
      </c>
      <c r="J7" t="inlineStr">
        <is>
          <t>39:11:020009:220</t>
        </is>
      </c>
      <c r="L7" t="inlineStr">
        <is>
          <t>EA</t>
        </is>
      </c>
      <c r="M7" t="inlineStr">
        <is>
          <t>М</t>
        </is>
      </c>
      <c r="N7" s="2">
        <f>HYPERLINK("https://yandex.ru/maps/?&amp;text=54.356088, 21.322591", "54.356088, 21.322591")</f>
        <v/>
      </c>
      <c r="O7" t="n">
        <v>153</v>
      </c>
      <c r="P7" s="7" t="n">
        <v>80.56</v>
      </c>
      <c r="R7" t="n">
        <v>270</v>
      </c>
      <c r="S7" s="8" t="n">
        <v>45.65</v>
      </c>
    </row>
    <row r="8">
      <c r="A8" s="4" t="n">
        <v>8</v>
      </c>
      <c r="B8" t="inlineStr">
        <is>
          <t>25</t>
        </is>
      </c>
      <c r="C8" s="1" t="n">
        <v>52.6</v>
      </c>
      <c r="D8" s="2">
        <f>HYPERLINK("https://torgi.gov.ru/new/public/lots/lot/22000033790000000004_1/(lotInfo:info)", "22000033790000000004_1")</f>
        <v/>
      </c>
      <c r="E8" t="inlineStr">
        <is>
          <t>1965 год постройки; запись № 25:19:000000:2499-25/066/2022-11от 06.04.2022в Едином государственном реестре прав на недвижимое имущество и сделок с ним  от 11.02.2013</t>
        </is>
      </c>
      <c r="F8" s="3" t="n">
        <v>15623.65</v>
      </c>
      <c r="G8" s="3" t="n">
        <v>821803.99</v>
      </c>
      <c r="H8" t="inlineStr">
        <is>
          <t>Приморский край, село Камень-Рыболов, ул Кирова, д 2А</t>
        </is>
      </c>
      <c r="I8" t="inlineStr">
        <is>
          <t>01 08 22 04:00</t>
        </is>
      </c>
      <c r="J8" t="inlineStr">
        <is>
          <t>25:19:000000:2499</t>
        </is>
      </c>
      <c r="L8" t="inlineStr">
        <is>
          <t>EA</t>
        </is>
      </c>
      <c r="M8" t="inlineStr">
        <is>
          <t>М</t>
        </is>
      </c>
      <c r="N8" s="2">
        <f>HYPERLINK("https://yandex.ru/maps/?&amp;text=44.742153, 132.04353", "44.742153, 132.04353")</f>
        <v/>
      </c>
      <c r="O8" t="n">
        <v>1541</v>
      </c>
      <c r="P8" s="7" t="n">
        <v>10.14</v>
      </c>
      <c r="R8" t="n">
        <v>1541</v>
      </c>
      <c r="S8" s="8" t="n">
        <v>10.14</v>
      </c>
    </row>
    <row r="9">
      <c r="A9" s="4" t="n">
        <v>9</v>
      </c>
      <c r="B9" t="inlineStr">
        <is>
          <t>10</t>
        </is>
      </c>
      <c r="C9" s="1" t="n">
        <v>228.9</v>
      </c>
      <c r="D9" s="2">
        <f>HYPERLINK("https://torgi.gov.ru/new/public/lots/lot/22000078070000000003_1/(lotInfo:info)", "22000078070000000003_1")</f>
        <v/>
      </c>
      <c r="E9" t="inlineStr">
        <is>
          <t>нежилое помещение, расположенное</t>
        </is>
      </c>
      <c r="F9" s="3" t="n">
        <v>16880.73394495413</v>
      </c>
      <c r="G9" s="3" t="n">
        <v>3864000</v>
      </c>
      <c r="H9" t="inlineStr">
        <is>
          <t>Респ Карелия, Лахденпохский р-н, поселок Ласанен, ул Ленинградская, д 2</t>
        </is>
      </c>
      <c r="I9" t="inlineStr">
        <is>
          <t>01 08 22 07:00</t>
        </is>
      </c>
      <c r="J9" t="inlineStr">
        <is>
          <t>10:12:0051002:158</t>
        </is>
      </c>
      <c r="L9" t="inlineStr">
        <is>
          <t>EA</t>
        </is>
      </c>
      <c r="M9" t="inlineStr">
        <is>
          <t>М</t>
        </is>
      </c>
      <c r="N9" s="2">
        <f>HYPERLINK("https://yandex.ru/maps/?&amp;text=61.269279, 29.857736", "61.269279, 29.857736")</f>
        <v/>
      </c>
      <c r="O9" t="n">
        <v>63</v>
      </c>
      <c r="P9" s="7" t="n">
        <v>267.95</v>
      </c>
      <c r="R9" t="n">
        <v>62</v>
      </c>
      <c r="S9" s="8" t="n">
        <v>272.27</v>
      </c>
    </row>
    <row r="10">
      <c r="A10" s="4" t="n">
        <v>10</v>
      </c>
      <c r="B10" t="inlineStr">
        <is>
          <t>78</t>
        </is>
      </c>
      <c r="C10" s="1" t="n">
        <v>23.8</v>
      </c>
      <c r="D10" s="2">
        <f>HYPERLINK("https://torgi.gov.ru/new/public/lots/lot/21000002210000000741_1/(lotInfo:info)", "21000002210000000741_1")</f>
        <v/>
      </c>
      <c r="E10" t="inlineStr">
        <is>
          <t>Нежилое помещение, расположенное по адресу: Санкт-Петербург,, литера А, пом. 4-Н, назначение: нежилое, этаж №1</t>
        </is>
      </c>
      <c r="F10" s="3" t="n">
        <v>130252.1008403361</v>
      </c>
      <c r="G10" s="3" t="n">
        <v>3100000</v>
      </c>
      <c r="H10" t="inlineStr">
        <is>
          <t>г Санкт-Петербург, ул Достоевского, д 21 литера А, помещ 4-Н</t>
        </is>
      </c>
      <c r="I10" t="inlineStr">
        <is>
          <t>29 07 22 20:00</t>
        </is>
      </c>
      <c r="J10" t="inlineStr">
        <is>
          <t>78:31:0001692:2663</t>
        </is>
      </c>
      <c r="L10" t="inlineStr">
        <is>
          <t>EA</t>
        </is>
      </c>
      <c r="M10" t="inlineStr">
        <is>
          <t>М</t>
        </is>
      </c>
      <c r="N10" s="2">
        <f>HYPERLINK("https://yandex.ru/maps/?&amp;text=59.923265, 30.346231", "59.923265, 30.346231")</f>
        <v/>
      </c>
      <c r="O10" t="n">
        <v>21127</v>
      </c>
      <c r="P10" s="7" t="n">
        <v>6.17</v>
      </c>
      <c r="R10" t="n">
        <v>21127</v>
      </c>
      <c r="S10" s="8" t="n">
        <v>6.17</v>
      </c>
    </row>
    <row r="11">
      <c r="A11" s="4" t="n">
        <v>11</v>
      </c>
      <c r="B11" t="inlineStr">
        <is>
          <t>35</t>
        </is>
      </c>
      <c r="C11" s="1" t="n">
        <v>213.7</v>
      </c>
      <c r="D11" s="2">
        <f>HYPERLINK("https://torgi.gov.ru/new/public/lots/lot/22000117350000000001_1/(lotInfo:info)", "22000117350000000001_1")</f>
        <v/>
      </c>
      <c r="E11" t="inlineStr">
        <is>
          <t>Нежилое помещение ., назначение: нежилое помещение, этаж - 1, расположенное по адресу:, городское поселение Город Устюжна, город Устюжна, площадь Торговая, дом 13, помещение 1,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      </is>
      </c>
      <c r="F11" s="3" t="n">
        <v>4351.895180159102</v>
      </c>
      <c r="G11" s="3" t="n">
        <v>930000</v>
      </c>
      <c r="H11" t="inlineStr">
        <is>
          <t>Вологодская обл, г Устюжна, Торговая пл, д 13, помещ 1</t>
        </is>
      </c>
      <c r="I11" t="inlineStr">
        <is>
          <t>25 07 22 20:30</t>
        </is>
      </c>
      <c r="J11" t="inlineStr">
        <is>
          <t>35:19:0102004:300</t>
        </is>
      </c>
      <c r="L11" t="inlineStr">
        <is>
          <t>EA</t>
        </is>
      </c>
      <c r="M11" t="inlineStr">
        <is>
          <t>М</t>
        </is>
      </c>
      <c r="N11">
        <f>HYPERLINK("https://yandex.ru/maps/?&amp;text=58.842931, 36.428517", "58.842931, 36.428517")</f>
        <v/>
      </c>
      <c r="O11" t="n">
        <v>319</v>
      </c>
      <c r="P11" s="7" t="n">
        <v>13.64</v>
      </c>
      <c r="R11" t="n">
        <v>319</v>
      </c>
      <c r="S11" s="8" t="n">
        <v>13.64</v>
      </c>
    </row>
    <row r="12">
      <c r="A12" s="4" t="n">
        <v>12</v>
      </c>
      <c r="B12" t="inlineStr">
        <is>
          <t>52</t>
        </is>
      </c>
      <c r="C12" s="1" t="n">
        <v>22.1</v>
      </c>
      <c r="D12" s="2">
        <f>HYPERLINK("https://torgi.gov.ru/new/public/lots/lot/21000011320000000084_1/(lotInfo:info)", "21000011320000000084_1")</f>
        <v/>
      </c>
      <c r="E12" t="inlineStr">
        <is>
          <t>Нежилое помещение расположено на первом этаже двухэтажного нежилого здания. Вход отдельный с торца здания.</t>
        </is>
      </c>
      <c r="F12" s="3" t="n">
        <v>25983.00904977375</v>
      </c>
      <c r="G12" s="3" t="n">
        <v>574224.5</v>
      </c>
      <c r="H12" t="inlineStr">
        <is>
          <t>г Нижний Новгород, поселок Новое Доскино, 13-я линия, д 13</t>
        </is>
      </c>
      <c r="I12" t="inlineStr">
        <is>
          <t>29 07 22 12:00</t>
        </is>
      </c>
      <c r="J12" t="inlineStr">
        <is>
          <t xml:space="preserve">52:18:0040051:6, </t>
        </is>
      </c>
      <c r="L12" t="inlineStr">
        <is>
          <t>PP</t>
        </is>
      </c>
      <c r="M12" t="inlineStr">
        <is>
          <t>М</t>
        </is>
      </c>
      <c r="N12" s="2">
        <f>HYPERLINK("https://yandex.ru/maps/?&amp;text=56.268387, 43.761375", "56.268387, 43.761375")</f>
        <v/>
      </c>
      <c r="O12" t="n">
        <v>2238</v>
      </c>
      <c r="P12" s="7" t="n">
        <v>11.61</v>
      </c>
      <c r="R12" t="n">
        <v>2123</v>
      </c>
      <c r="S12" s="8" t="n">
        <v>12.24</v>
      </c>
    </row>
    <row r="13">
      <c r="A13" s="4" t="n">
        <v>13</v>
      </c>
      <c r="B13" t="inlineStr">
        <is>
          <t>21</t>
        </is>
      </c>
      <c r="C13" s="1" t="n">
        <v>31.2</v>
      </c>
      <c r="D13" s="2">
        <f>HYPERLINK("https://torgi.gov.ru/new/public/lots/lot/22000012370000000016_1/(lotInfo:info)", "22000012370000000016_1")</f>
        <v/>
      </c>
      <c r="E13" t="inlineStr">
        <is>
          <t>Муниципальное имущество города Шумерля Чувашской Республики: нежилое помещение в многоквартирном доме расположенное по адресу:.</t>
        </is>
      </c>
      <c r="F13" s="3" t="n">
        <v>18559.8717948718</v>
      </c>
      <c r="G13" s="3" t="n">
        <v>579068</v>
      </c>
      <c r="H13" t="inlineStr">
        <is>
          <t>Чувашская республика - Чувашия, г Шумерля, ул Карла Маркса, д 21</t>
        </is>
      </c>
      <c r="I13" t="inlineStr">
        <is>
          <t>25 07 22 13:00</t>
        </is>
      </c>
      <c r="J13" t="inlineStr">
        <is>
          <t xml:space="preserve">21:05:010119:220, </t>
        </is>
      </c>
      <c r="L13" t="inlineStr">
        <is>
          <t>PP</t>
        </is>
      </c>
      <c r="M13" t="inlineStr">
        <is>
          <t>М</t>
        </is>
      </c>
      <c r="N13" s="2">
        <f>HYPERLINK("https://yandex.ru/maps/?&amp;text=55.492447, 46.414288", "55.492447, 46.414288")</f>
        <v/>
      </c>
      <c r="O13" t="n">
        <v>2157</v>
      </c>
      <c r="P13" s="7" t="n">
        <v>8.6</v>
      </c>
      <c r="R13" t="n">
        <v>2157</v>
      </c>
      <c r="S13" s="8" t="n">
        <v>8.6</v>
      </c>
    </row>
    <row r="14">
      <c r="A14" s="4" t="n">
        <v>14</v>
      </c>
      <c r="B14" t="inlineStr">
        <is>
          <t>53</t>
        </is>
      </c>
      <c r="C14" s="1" t="n">
        <v>212.6</v>
      </c>
      <c r="D14" s="2">
        <f>HYPERLINK("https://torgi.gov.ru/new/public/lots/lot/21000017500000000091_1/(lotInfo:info)", "21000017500000000091_1")</f>
        <v/>
      </c>
      <c r="E14" t="inlineStr">
        <is>
          <t>Нежилое помещение расположенное по</t>
        </is>
      </c>
      <c r="F14" s="3" t="n">
        <v>2953.10442144873</v>
      </c>
      <c r="G14" s="3" t="n">
        <v>627830</v>
      </c>
      <c r="H14" t="inlineStr">
        <is>
          <t>г Великий Новгород, ул Фёдоровский Ручей, д 9, помещ 6н</t>
        </is>
      </c>
      <c r="I14" t="inlineStr">
        <is>
          <t>27 07 22 13:00</t>
        </is>
      </c>
      <c r="J14" t="inlineStr">
        <is>
          <t xml:space="preserve">53:23:7102007:131, </t>
        </is>
      </c>
      <c r="L14" t="inlineStr">
        <is>
          <t>BOC</t>
        </is>
      </c>
      <c r="M14" t="inlineStr">
        <is>
          <t>М</t>
        </is>
      </c>
      <c r="N14" s="2">
        <f>HYPERLINK("https://yandex.ru/maps/?&amp;text=58.523891, 31.289947", "58.523891, 31.289947")</f>
        <v/>
      </c>
      <c r="O14" t="n">
        <v>2804</v>
      </c>
      <c r="P14" s="7" t="n">
        <v>1.05</v>
      </c>
      <c r="R14" t="n">
        <v>2737</v>
      </c>
      <c r="S14" s="8" t="n">
        <v>1.08</v>
      </c>
    </row>
    <row r="15">
      <c r="A15" s="4" t="n">
        <v>15</v>
      </c>
      <c r="B15" t="inlineStr">
        <is>
          <t>33</t>
        </is>
      </c>
      <c r="C15" s="1" t="n">
        <v>168</v>
      </c>
      <c r="D15" s="2">
        <f>HYPERLINK("https://torgi.gov.ru/new/public/lots/lot/21000019300000000008_1/(lotInfo:info)", "21000019300000000008_1")</f>
        <v/>
      </c>
      <c r="E15" t="inlineStr">
        <is>
          <t>Нежилое помещение., расположенное на перво</t>
        </is>
      </c>
      <c r="F15" s="3" t="n">
        <v>29232.53452380952</v>
      </c>
      <c r="G15" s="3" t="n">
        <v>4911065.8</v>
      </c>
      <c r="H15" t="inlineStr">
        <is>
          <t xml:space="preserve"> Владимирская обл.,  г. Собинка, ул. Димитрова, д. 9</t>
        </is>
      </c>
      <c r="I15" t="inlineStr">
        <is>
          <t>28 07 22 13:00</t>
        </is>
      </c>
      <c r="J15" t="inlineStr">
        <is>
          <t>33:24:010109:4850</t>
        </is>
      </c>
      <c r="L15" t="inlineStr">
        <is>
          <t>PP</t>
        </is>
      </c>
      <c r="M15" t="inlineStr">
        <is>
          <t>М</t>
        </is>
      </c>
      <c r="N15" s="5">
        <f>HYPERLINK("https://yandex.ru/maps/?&amp;text=55.990715, 40.020458", "55.990715, 40.020458")</f>
        <v/>
      </c>
      <c r="O15" t="n">
        <v>1531</v>
      </c>
      <c r="P15" s="7" t="n">
        <v>19.09</v>
      </c>
      <c r="R15" t="n">
        <v>1347</v>
      </c>
      <c r="S15" s="8" t="n">
        <v>21.7</v>
      </c>
    </row>
    <row r="16">
      <c r="A16" s="4" t="n">
        <v>16</v>
      </c>
      <c r="B16" t="inlineStr">
        <is>
          <t>78</t>
        </is>
      </c>
      <c r="C16" s="1" t="n">
        <v>25.4</v>
      </c>
      <c r="D16" s="2">
        <f>HYPERLINK("https://torgi.gov.ru/new/public/lots/lot/21000002210000000716_1/(lotInfo:info)", "21000002210000000716_1")</f>
        <v/>
      </c>
      <c r="E16" t="inlineStr">
        <is>
          <t>Нежилое помещение, расположенное по адресу: Санкт-Петербург,, литера А, пом. 2-Н, назначение: нежилое помещение, этаж №1</t>
        </is>
      </c>
      <c r="F16" s="3" t="n">
        <v>143700.7874015748</v>
      </c>
      <c r="G16" s="3" t="n">
        <v>3650000</v>
      </c>
      <c r="H16" t="inlineStr">
        <is>
          <t>г Санкт-Петербург, ул Рубинштейна, д 3 литера А, помещ 2-Н</t>
        </is>
      </c>
      <c r="I16" t="inlineStr">
        <is>
          <t>26 07 22 20:00</t>
        </is>
      </c>
      <c r="J16" t="inlineStr">
        <is>
          <t>78:31:0001225:2268</t>
        </is>
      </c>
      <c r="L16" t="inlineStr">
        <is>
          <t>EA</t>
        </is>
      </c>
      <c r="M16" t="inlineStr">
        <is>
          <t>М</t>
        </is>
      </c>
      <c r="N16" s="2">
        <f>HYPERLINK("https://yandex.ru/maps/?&amp;text=59.932103, 30.345369", "59.932103, 30.345369")</f>
        <v/>
      </c>
      <c r="O16" t="n">
        <v>12352</v>
      </c>
      <c r="P16" s="7" t="n">
        <v>11.63</v>
      </c>
      <c r="R16" t="n">
        <v>15557</v>
      </c>
      <c r="S16" s="8" t="n">
        <v>9.24</v>
      </c>
    </row>
    <row r="17">
      <c r="A17" s="4" t="n">
        <v>18</v>
      </c>
      <c r="B17" t="inlineStr">
        <is>
          <t>22</t>
        </is>
      </c>
      <c r="C17" s="1" t="n">
        <v>123.6</v>
      </c>
      <c r="D17" s="2">
        <f>HYPERLINK("https://torgi.gov.ru/new/public/lots/lot/22000098680000000005_1/(lotInfo:info)", "22000098680000000005_1")</f>
        <v/>
      </c>
      <c r="E17" t="inlineStr">
        <is>
          <t xml:space="preserve">Нежилое помещениес.Ая ул.Советская, д.90 пом.1 с земельным участком  </t>
        </is>
      </c>
      <c r="F17" s="3" t="n">
        <v>4697.815533980583</v>
      </c>
      <c r="G17" s="3" t="n">
        <v>580650</v>
      </c>
      <c r="H17" t="inlineStr">
        <is>
          <t>Алтайский край, Алтайский р-н, село Ая, ул Советская, д 90, помещ 1</t>
        </is>
      </c>
      <c r="I17" t="inlineStr">
        <is>
          <t>24 07 22 17:00</t>
        </is>
      </c>
      <c r="J17" t="inlineStr">
        <is>
          <t xml:space="preserve">22:02:080005:520  </t>
        </is>
      </c>
      <c r="L17" t="inlineStr">
        <is>
          <t>EA</t>
        </is>
      </c>
      <c r="M17" t="inlineStr">
        <is>
          <t>М</t>
        </is>
      </c>
      <c r="N17">
        <f>HYPERLINK("https://yandex.ru/maps/?&amp;text=51.954252, 85.813355", "51.954252, 85.813355")</f>
        <v/>
      </c>
      <c r="O17" t="n">
        <v>42</v>
      </c>
      <c r="P17" s="7" t="n">
        <v>111.85</v>
      </c>
      <c r="R17" t="n">
        <v>247</v>
      </c>
      <c r="S17" s="8" t="n">
        <v>19.02</v>
      </c>
    </row>
    <row r="18">
      <c r="A18" s="4" t="n">
        <v>19</v>
      </c>
      <c r="B18" t="inlineStr">
        <is>
          <t>66</t>
        </is>
      </c>
      <c r="C18" s="1" t="n">
        <v>125.3</v>
      </c>
      <c r="D18" s="2">
        <f>HYPERLINK("https://torgi.gov.ru/new/public/lots/lot/21000014250000000031_1/(lotInfo:info)", "21000014250000000031_1")</f>
        <v/>
      </c>
      <c r="E18" t="inlineStr">
        <is>
          <t>Нежилое помещение, этаж цоко</t>
        </is>
      </c>
      <c r="F18" s="3" t="n">
        <v>5754.189944134078</v>
      </c>
      <c r="G18" s="3" t="n">
        <v>721000</v>
      </c>
      <c r="H18" t="inlineStr">
        <is>
          <t>Свердловская обл, г Нижний Тагил, ул Карла Маркса, д 7</t>
        </is>
      </c>
      <c r="I18" t="inlineStr">
        <is>
          <t>01 08 22 15:00</t>
        </is>
      </c>
      <c r="J18" t="inlineStr">
        <is>
          <t>66:56:0113002:3199</t>
        </is>
      </c>
      <c r="L18" t="inlineStr">
        <is>
          <t>EA</t>
        </is>
      </c>
      <c r="M18" t="inlineStr">
        <is>
          <t>М</t>
        </is>
      </c>
      <c r="N18" s="2">
        <f>HYPERLINK("https://yandex.ru/maps/?&amp;text=57.908356, 59.95094", "57.908356, 59.95094")</f>
        <v/>
      </c>
      <c r="O18" t="n">
        <v>2630</v>
      </c>
      <c r="P18" s="7" t="n">
        <v>2.19</v>
      </c>
      <c r="R18" t="n">
        <v>2282</v>
      </c>
      <c r="S18" s="8" t="n">
        <v>2.52</v>
      </c>
    </row>
    <row r="19">
      <c r="A19" s="4" t="n">
        <v>20</v>
      </c>
      <c r="B19" t="inlineStr">
        <is>
          <t>78</t>
        </is>
      </c>
      <c r="C19" s="1" t="n">
        <v>11.7</v>
      </c>
      <c r="D19" s="2">
        <f>HYPERLINK("https://torgi.gov.ru/new/public/lots/lot/21000002210000000707_1/(lotInfo:info)", "21000002210000000707_1")</f>
        <v/>
      </c>
      <c r="E19" t="inlineStr">
        <is>
          <t>Нежилое помещение, расположенное по адресу: Санкт-Петербург,, литера А, пом. 12-Н, назначение: нежилое помещение,  этаж № 1</t>
        </is>
      </c>
      <c r="F19" s="3" t="n">
        <v>111111.1111111111</v>
      </c>
      <c r="G19" s="3" t="n">
        <v>1300000</v>
      </c>
      <c r="H19" t="inlineStr">
        <is>
          <t>г Санкт-Петербург, Басков пер, д 21 литера А, помещ 12-Н</t>
        </is>
      </c>
      <c r="I19" t="inlineStr">
        <is>
          <t>26 07 22 20:00</t>
        </is>
      </c>
      <c r="J19" t="inlineStr">
        <is>
          <t>78:31:0001216:2408</t>
        </is>
      </c>
      <c r="L19" t="inlineStr">
        <is>
          <t>EA</t>
        </is>
      </c>
      <c r="M19" t="inlineStr">
        <is>
          <t>М</t>
        </is>
      </c>
      <c r="N19" s="2">
        <f>HYPERLINK("https://yandex.ru/maps/?&amp;text=59.939379, 30.357766", "59.939379, 30.357766")</f>
        <v/>
      </c>
      <c r="O19" t="n">
        <v>10194</v>
      </c>
      <c r="P19" s="7" t="n">
        <v>10.9</v>
      </c>
      <c r="R19" t="n">
        <v>11664</v>
      </c>
      <c r="S19" s="8" t="n">
        <v>9.529999999999999</v>
      </c>
    </row>
    <row r="20">
      <c r="A20" s="4" t="n">
        <v>21</v>
      </c>
      <c r="B20" t="inlineStr">
        <is>
          <t>78</t>
        </is>
      </c>
      <c r="C20" s="1" t="n">
        <v>13.9</v>
      </c>
      <c r="D20" s="2">
        <f>HYPERLINK("https://torgi.gov.ru/new/public/lots/lot/21000002210000000700_1/(lotInfo:info)", "21000002210000000700_1")</f>
        <v/>
      </c>
      <c r="E20" t="inlineStr">
        <is>
          <t>Нежилое помещение, расположенное по адресу: Санкт-Петербург, площадь Островского, д. 9, литера А, пом. 5-Н., назначение: нежилое помещение, этаж №1</t>
        </is>
      </c>
      <c r="F20" s="3" t="n">
        <v>151079.1366906475</v>
      </c>
      <c r="G20" s="3" t="n">
        <v>2100000</v>
      </c>
      <c r="H20" t="inlineStr">
        <is>
          <t>г Санкт-Петербург, пл Островского, д 9 литера А, помещ 5-Н</t>
        </is>
      </c>
      <c r="I20" t="inlineStr">
        <is>
          <t>25 07 22 20:00</t>
        </is>
      </c>
      <c r="J20" t="inlineStr">
        <is>
          <t>78:31:0001139:3101</t>
        </is>
      </c>
      <c r="L20" t="inlineStr">
        <is>
          <t>EA</t>
        </is>
      </c>
      <c r="M20" t="inlineStr">
        <is>
          <t>М</t>
        </is>
      </c>
      <c r="N20" s="2">
        <f>HYPERLINK("https://yandex.ru/maps/?&amp;text=59.931481, 30.334724", "59.931481, 30.334724")</f>
        <v/>
      </c>
      <c r="O20" t="n">
        <v>12352</v>
      </c>
      <c r="P20" s="7" t="n">
        <v>12.23</v>
      </c>
      <c r="R20" t="n">
        <v>8000</v>
      </c>
      <c r="S20" s="8" t="n">
        <v>18.88</v>
      </c>
    </row>
    <row r="21">
      <c r="A21" s="4" t="n">
        <v>22</v>
      </c>
      <c r="B21" t="inlineStr">
        <is>
          <t>78</t>
        </is>
      </c>
      <c r="C21" s="1" t="n">
        <v>17</v>
      </c>
      <c r="D21" s="2">
        <f>HYPERLINK("https://torgi.gov.ru/new/public/lots/lot/21000002210000000696_1/(lotInfo:info)", "21000002210000000696_1")</f>
        <v/>
      </c>
      <c r="E21" t="inlineStr">
        <is>
          <t>Нежилое помещение, расположенное по адресу: Санкт-Петербург,, литера А, пом. 6-Н., назначение: нежилое помещение, этаж №1</t>
        </is>
      </c>
      <c r="F21" s="3" t="n">
        <v>148823.5294117647</v>
      </c>
      <c r="G21" s="3" t="n">
        <v>2530000</v>
      </c>
      <c r="H21" t="inlineStr">
        <is>
          <t>г Санкт-Петербург, ул Большая Подьяческая, д 7 литера А, помещ 6-Н</t>
        </is>
      </c>
      <c r="I21" t="inlineStr">
        <is>
          <t>25 07 22 20:00</t>
        </is>
      </c>
      <c r="J21" t="inlineStr">
        <is>
          <t>78:32:0001239:2268</t>
        </is>
      </c>
      <c r="L21" t="inlineStr">
        <is>
          <t>EA</t>
        </is>
      </c>
      <c r="M21" t="inlineStr">
        <is>
          <t>М</t>
        </is>
      </c>
      <c r="N21" s="2">
        <f>HYPERLINK("https://yandex.ru/maps/?&amp;text=59.925732, 30.305313", "59.925732, 30.305313")</f>
        <v/>
      </c>
      <c r="O21" t="n">
        <v>7754</v>
      </c>
      <c r="P21" s="7" t="n">
        <v>19.19</v>
      </c>
      <c r="R21" t="n">
        <v>9714</v>
      </c>
      <c r="S21" s="8" t="n">
        <v>15.32</v>
      </c>
    </row>
    <row r="22">
      <c r="A22" s="4" t="n">
        <v>23</v>
      </c>
      <c r="B22" t="inlineStr">
        <is>
          <t>38</t>
        </is>
      </c>
      <c r="C22" s="1" t="n">
        <v>52</v>
      </c>
      <c r="D22" s="2">
        <f>HYPERLINK("https://torgi.gov.ru/new/public/lots/lot/21000007110000000014_3/(lotInfo:info)", "21000007110000000014_3")</f>
        <v/>
      </c>
      <c r="E22" t="inlineStr">
        <is>
          <t>Нежилое помещение, назначение: нежилое помещениерасположенное по адресу:,                           кв-л. 178-й,  д. 2, пом. 3.</t>
        </is>
      </c>
      <c r="F22" s="3" t="n">
        <v>18269.23076923077</v>
      </c>
      <c r="G22" s="3" t="n">
        <v>950000</v>
      </c>
      <c r="H22" t="inlineStr">
        <is>
          <t>Иркутская обл, г Ангарск, кв-л 178, д 2, помещ 3</t>
        </is>
      </c>
      <c r="I22" t="inlineStr">
        <is>
          <t>25 07 22 06:00</t>
        </is>
      </c>
      <c r="J22" t="inlineStr">
        <is>
          <t xml:space="preserve">38:26:040502:1223, </t>
        </is>
      </c>
      <c r="L22" t="inlineStr">
        <is>
          <t>EA</t>
        </is>
      </c>
      <c r="M22" t="inlineStr">
        <is>
          <t>М</t>
        </is>
      </c>
      <c r="N22">
        <f>HYPERLINK("https://yandex.ru/maps/?&amp;text=52.51086, 103.838234", "52.51086, 103.838234")</f>
        <v/>
      </c>
      <c r="O22" t="n">
        <v>1734</v>
      </c>
      <c r="P22" s="7" t="n">
        <v>10.54</v>
      </c>
      <c r="R22" t="n">
        <v>2047</v>
      </c>
      <c r="S22" s="8" t="n">
        <v>8.92</v>
      </c>
    </row>
    <row r="23">
      <c r="A23" s="4" t="n">
        <v>24</v>
      </c>
      <c r="B23" t="inlineStr">
        <is>
          <t>38</t>
        </is>
      </c>
      <c r="C23" s="1" t="n">
        <v>396.5</v>
      </c>
      <c r="D23" s="2">
        <f>HYPERLINK("https://torgi.gov.ru/new/public/lots/lot/21000007110000000014_2/(lotInfo:info)", "21000007110000000014_2")</f>
        <v/>
      </c>
      <c r="E23" t="inlineStr">
        <is>
          <t>Нежилое помещение, назначение: нежилоерасположенное по адресу:, мкр. 6-й, д. 13/13а, пом. 152.</t>
        </is>
      </c>
      <c r="F23" s="3" t="n">
        <v>20244.64060529634</v>
      </c>
      <c r="G23" s="3" t="n">
        <v>8027000</v>
      </c>
      <c r="H23" t="inlineStr">
        <is>
          <t xml:space="preserve"> Иркутская область, г. Ангарск,мкр. 6-й, д. 13/13а, пом. 152.</t>
        </is>
      </c>
      <c r="I23" t="inlineStr">
        <is>
          <t>25 07 22 06:00</t>
        </is>
      </c>
      <c r="J23" t="inlineStr">
        <is>
          <t xml:space="preserve">38:26:040201:3697, </t>
        </is>
      </c>
      <c r="L23" t="inlineStr">
        <is>
          <t>EA</t>
        </is>
      </c>
      <c r="M23" t="inlineStr">
        <is>
          <t>М</t>
        </is>
      </c>
      <c r="N23" t="inlineStr">
        <is>
          <t>52.516824, 103.874810</t>
        </is>
      </c>
      <c r="O23" t="n">
        <v>2237</v>
      </c>
      <c r="P23" s="7" t="n">
        <v>9.050000000000001</v>
      </c>
      <c r="R23" t="n">
        <v>2283</v>
      </c>
      <c r="S23" s="8" t="n">
        <v>8.869999999999999</v>
      </c>
    </row>
    <row r="24">
      <c r="A24" s="4" t="n">
        <v>25</v>
      </c>
      <c r="B24" t="inlineStr">
        <is>
          <t>77</t>
        </is>
      </c>
      <c r="C24" s="1" t="n">
        <v>99.3</v>
      </c>
      <c r="D24" s="2">
        <f>HYPERLINK("https://torgi.gov.ru/new/public/lots/lot/21000005000000002256_1/(lotInfo:info)", "21000005000000002256_1")</f>
        <v/>
      </c>
      <c r="E24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24" s="3" t="n">
        <v>52366.56596173213</v>
      </c>
      <c r="G24" s="3" t="n">
        <v>5200000</v>
      </c>
      <c r="H24" t="inlineStr">
        <is>
          <t>г Москва, Рижский проезд, д 11, помещ 9П</t>
        </is>
      </c>
      <c r="I24" t="inlineStr">
        <is>
          <t>26 07 22 12:00</t>
        </is>
      </c>
      <c r="J24" t="inlineStr">
        <is>
          <t>77:02:0023019:2023</t>
        </is>
      </c>
      <c r="L24" t="inlineStr">
        <is>
          <t>EA</t>
        </is>
      </c>
      <c r="M24" t="inlineStr">
        <is>
          <t>М</t>
        </is>
      </c>
      <c r="N24" s="2">
        <f>HYPERLINK("https://yandex.ru/maps/?&amp;text=55.816495, 37.662569", "55.816495, 37.662569")</f>
        <v/>
      </c>
      <c r="O24" t="n">
        <v>8702</v>
      </c>
      <c r="P24" s="7" t="n">
        <v>6.02</v>
      </c>
      <c r="R24" t="n">
        <v>8702</v>
      </c>
      <c r="S24" s="8" t="n">
        <v>6.02</v>
      </c>
    </row>
    <row r="25">
      <c r="A25" s="4" t="n">
        <v>26</v>
      </c>
      <c r="B25" t="inlineStr">
        <is>
          <t>29</t>
        </is>
      </c>
      <c r="C25" s="1" t="n">
        <v>190.6</v>
      </c>
      <c r="D25" s="2">
        <f>HYPERLINK("https://torgi.gov.ru/new/public/lots/lot/21000031630000000010_1/(lotInfo:info)", "21000031630000000010_1")</f>
        <v/>
      </c>
      <c r="E25" t="inlineStr">
        <is>
          <t>Нежилое помещение , расположенное по адресу:</t>
        </is>
      </c>
      <c r="F25" s="3" t="n">
        <v>50820.56663168941</v>
      </c>
      <c r="G25" s="3" t="n">
        <v>9686400</v>
      </c>
      <c r="H25" t="inlineStr">
        <is>
          <t>Архангельская обл, г Северодвинск, ул Лебедева, д 10</t>
        </is>
      </c>
      <c r="I25" t="inlineStr">
        <is>
          <t>26 07 22 20:00</t>
        </is>
      </c>
      <c r="J25" t="inlineStr">
        <is>
          <t>29:28:104153:2818</t>
        </is>
      </c>
      <c r="L25" t="inlineStr">
        <is>
          <t>EA</t>
        </is>
      </c>
      <c r="M25" t="inlineStr">
        <is>
          <t>М</t>
        </is>
      </c>
      <c r="N25" s="2">
        <f>HYPERLINK("https://yandex.ru/maps/?&amp;text=64.53915, 39.799698", "64.53915, 39.799698")</f>
        <v/>
      </c>
      <c r="O25" t="n">
        <v>2288</v>
      </c>
      <c r="P25" s="7" t="n">
        <v>22.21</v>
      </c>
      <c r="R25" t="n">
        <v>2075</v>
      </c>
      <c r="S25" s="8" t="n">
        <v>24.49</v>
      </c>
    </row>
    <row r="26">
      <c r="A26" s="4" t="n">
        <v>27</v>
      </c>
      <c r="B26" t="inlineStr">
        <is>
          <t>52</t>
        </is>
      </c>
      <c r="C26" s="1" t="n">
        <v>536.3</v>
      </c>
      <c r="D26" s="2">
        <f>HYPERLINK("https://torgi.gov.ru/new/public/lots/lot/21000011320000000078_3/(lotInfo:info)", "21000011320000000078_3")</f>
        <v/>
      </c>
      <c r="E26" t="inlineStr">
        <is>
          <t>Нежилое помещение расположено на первом этаже двухэтажного нежилого здания. Имеется 1 отдельный и 1 совместный вход с другими пользователями.</t>
        </is>
      </c>
      <c r="F26" s="3" t="n">
        <v>9734.999067685998</v>
      </c>
      <c r="G26" s="3" t="n">
        <v>5220880</v>
      </c>
      <c r="H26" t="inlineStr">
        <is>
          <t>г Нижний Новгород, ул Героя Васильева, д 55</t>
        </is>
      </c>
      <c r="I26" t="inlineStr">
        <is>
          <t>21 07 22 12:00</t>
        </is>
      </c>
      <c r="J26" t="inlineStr">
        <is>
          <t xml:space="preserve">52:18:0040116:720, </t>
        </is>
      </c>
      <c r="L26" t="inlineStr">
        <is>
          <t>PP</t>
        </is>
      </c>
      <c r="M26" t="inlineStr">
        <is>
          <t>М</t>
        </is>
      </c>
      <c r="N26" s="2">
        <f>HYPERLINK("https://yandex.ru/maps/?&amp;text=56.271481, 43.89367", "56.271481, 43.89367")</f>
        <v/>
      </c>
      <c r="O26" t="n">
        <v>4522</v>
      </c>
      <c r="P26" s="7" t="n">
        <v>2.15</v>
      </c>
      <c r="R26" t="n">
        <v>4522</v>
      </c>
      <c r="S26" s="8" t="n">
        <v>2.15</v>
      </c>
    </row>
    <row r="27">
      <c r="A27" s="4" t="n">
        <v>28</v>
      </c>
      <c r="B27" t="inlineStr">
        <is>
          <t>45</t>
        </is>
      </c>
      <c r="C27" s="1" t="n">
        <v>174.7</v>
      </c>
      <c r="D27" s="2">
        <f>HYPERLINK("https://torgi.gov.ru/new/public/lots/lot/21000009230000000114_1/(lotInfo:info)", "21000009230000000114_1")</f>
        <v/>
      </c>
      <c r="E27" t="inlineStr">
        <is>
          <t>Помещения расположенные в здании, где работал Курганский революционный трибунал (Дом М.М. Дунаева), назначение: нежилоеэтаж: № 1, 2, по адресу:</t>
        </is>
      </c>
      <c r="F27" s="3" t="n">
        <v>11493.98969662278</v>
      </c>
      <c r="G27" s="3" t="n">
        <v>2008000</v>
      </c>
      <c r="H27" t="inlineStr">
        <is>
          <t>г Курган, ул Куйбышева, д 87</t>
        </is>
      </c>
      <c r="I27" t="inlineStr">
        <is>
          <t>24 07 22 11:00</t>
        </is>
      </c>
      <c r="J27" t="inlineStr">
        <is>
          <t xml:space="preserve">45:25:070310:4198, </t>
        </is>
      </c>
      <c r="L27" t="inlineStr">
        <is>
          <t>EK</t>
        </is>
      </c>
      <c r="M27" t="inlineStr">
        <is>
          <t>М</t>
        </is>
      </c>
      <c r="N27" s="2">
        <f>HYPERLINK("https://yandex.ru/maps/?&amp;text=55.437107, 65.353587", "55.437107, 65.353587")</f>
        <v/>
      </c>
      <c r="O27" t="n">
        <v>4292</v>
      </c>
      <c r="P27" s="7" t="n">
        <v>2.68</v>
      </c>
      <c r="R27" t="n">
        <v>4292</v>
      </c>
      <c r="S27" s="8" t="n">
        <v>2.68</v>
      </c>
    </row>
    <row r="28">
      <c r="A28" s="4" t="n">
        <v>29</v>
      </c>
      <c r="B28" t="inlineStr">
        <is>
          <t>77</t>
        </is>
      </c>
      <c r="C28" s="1" t="n">
        <v>31.2</v>
      </c>
      <c r="D28" s="2">
        <f>HYPERLINK("https://torgi.gov.ru/new/public/lots/lot/21000005000000002218_1/(lotInfo:info)", "21000005000000002218_1")</f>
        <v/>
      </c>
      <c r="E28" t="inlineStr">
        <is>
          <t>Продажа имущества, находящегося в собственности города Москвы, нежилое помещение по адресу:  (Этаж № 1)</t>
        </is>
      </c>
      <c r="F28" s="3" t="n">
        <v>267948.7179487179</v>
      </c>
      <c r="G28" s="3" t="n">
        <v>8360000</v>
      </c>
      <c r="H28" t="inlineStr">
        <is>
          <t>г Москва, ул Генерала Кузнецова, д 12, помещ 5/1</t>
        </is>
      </c>
      <c r="I28" t="inlineStr">
        <is>
          <t>27 07 22 12:00</t>
        </is>
      </c>
      <c r="J28" t="inlineStr">
        <is>
          <t>77:04:0005009:9697</t>
        </is>
      </c>
      <c r="L28" t="inlineStr">
        <is>
          <t>EA</t>
        </is>
      </c>
      <c r="M28" t="inlineStr">
        <is>
          <t>М</t>
        </is>
      </c>
      <c r="N28" s="2">
        <f>HYPERLINK("https://yandex.ru/maps/?&amp;text=55.690821, 37.858824", "55.690821, 37.858824")</f>
        <v/>
      </c>
      <c r="O28" t="n">
        <v>12893</v>
      </c>
      <c r="P28" s="7" t="n">
        <v>20.78</v>
      </c>
      <c r="R28" t="n">
        <v>12893</v>
      </c>
      <c r="S28" s="8" t="n">
        <v>20.78</v>
      </c>
    </row>
    <row r="29">
      <c r="A29" s="4" t="n">
        <v>30</v>
      </c>
      <c r="B29" t="inlineStr">
        <is>
          <t>77</t>
        </is>
      </c>
      <c r="C29" s="1" t="n">
        <v>49.6</v>
      </c>
      <c r="D29" s="2">
        <f>HYPERLINK("https://torgi.gov.ru/new/public/lots/lot/21000005000000002217_1/(lotInfo:info)", "21000005000000002217_1")</f>
        <v/>
      </c>
      <c r="E29" t="inlineStr">
        <is>
          <t>Продажа имущества, находящегося в собственности города Москвы, нежилое помещение по адресу:, цокольный этаж № 0</t>
        </is>
      </c>
      <c r="F29" s="3" t="n">
        <v>122274.1935483871</v>
      </c>
      <c r="G29" s="3" t="n">
        <v>6064800</v>
      </c>
      <c r="H29" t="inlineStr">
        <is>
          <t>г Москва, Ленинский пр-кт, д 95, помещ 2/Ц</t>
        </is>
      </c>
      <c r="I29" t="inlineStr">
        <is>
          <t>27 07 22 12:00</t>
        </is>
      </c>
      <c r="J29" t="inlineStr">
        <is>
          <t>77:05:0001009:7426</t>
        </is>
      </c>
      <c r="L29" t="inlineStr">
        <is>
          <t>EA</t>
        </is>
      </c>
      <c r="M29" t="inlineStr">
        <is>
          <t>М</t>
        </is>
      </c>
      <c r="N29" s="2">
        <f>HYPERLINK("https://yandex.ru/maps/?&amp;text=55.673976, 37.525872", "55.673976, 37.525872")</f>
        <v/>
      </c>
      <c r="O29" t="n">
        <v>14094</v>
      </c>
      <c r="P29" s="7" t="n">
        <v>8.68</v>
      </c>
      <c r="R29" t="n">
        <v>17728</v>
      </c>
      <c r="S29" s="8" t="n">
        <v>6.9</v>
      </c>
    </row>
    <row r="30">
      <c r="A30" s="4" t="n">
        <v>31</v>
      </c>
      <c r="B30" t="inlineStr">
        <is>
          <t>36</t>
        </is>
      </c>
      <c r="C30" s="1" t="n">
        <v>105.8</v>
      </c>
      <c r="D30" s="2">
        <f>HYPERLINK("https://torgi.gov.ru/new/public/lots/lot/21000035130000000005_1/(lotInfo:info)", "21000035130000000005_1")</f>
        <v/>
      </c>
      <c r="E30" t="inlineStr">
        <is>
          <t xml:space="preserve">Нежилое помещение </t>
        </is>
      </c>
      <c r="F30" s="3" t="n">
        <v>25603.21361058601</v>
      </c>
      <c r="G30" s="3" t="n">
        <v>2708820</v>
      </c>
      <c r="H30" t="inlineStr">
        <is>
          <t>Воронежская обл, г Борисоглебск, мкр Юго-Восточный, зд 6а</t>
        </is>
      </c>
      <c r="I30" t="inlineStr">
        <is>
          <t>20 07 22 13:00</t>
        </is>
      </c>
      <c r="J30" t="inlineStr">
        <is>
          <t>36:04:0103069:2651</t>
        </is>
      </c>
      <c r="L30" t="inlineStr">
        <is>
          <t>EA</t>
        </is>
      </c>
      <c r="M30" t="inlineStr">
        <is>
          <t>М</t>
        </is>
      </c>
      <c r="N30">
        <f>HYPERLINK("https://yandex.ru/maps/?&amp;text=51.348079, 42.131122", "51.348079, 42.131122")</f>
        <v/>
      </c>
      <c r="O30" t="n">
        <v>822</v>
      </c>
      <c r="P30" s="7" t="n">
        <v>31.15</v>
      </c>
      <c r="R30" t="n">
        <v>1521</v>
      </c>
      <c r="S30" s="8" t="n">
        <v>16.83</v>
      </c>
    </row>
    <row r="31">
      <c r="A31" s="4" t="n">
        <v>32</v>
      </c>
      <c r="B31" t="inlineStr">
        <is>
          <t>78</t>
        </is>
      </c>
      <c r="C31" s="1" t="n">
        <v>19.7</v>
      </c>
      <c r="D31" s="2">
        <f>HYPERLINK("https://torgi.gov.ru/new/public/lots/lot/21000002210000000654_1/(lotInfo:info)", "21000002210000000654_1")</f>
        <v/>
      </c>
      <c r="E31" t="inlineStr">
        <is>
          <t>Нежилое помещение, расположенное по адресу: Санкт-Петербург,, литера А, пом. 6-Н, назначение: нежилое помещение, наименование: помещение, этаж №1</t>
        </is>
      </c>
      <c r="F31" s="3" t="n">
        <v>147715.7360406091</v>
      </c>
      <c r="G31" s="3" t="n">
        <v>2910000</v>
      </c>
      <c r="H31" t="inlineStr">
        <is>
          <t>г Санкт-Петербург, ул Псковская, д 34 литера А, помещ 6-Н</t>
        </is>
      </c>
      <c r="I31" t="inlineStr">
        <is>
          <t>19 07 22 20:00</t>
        </is>
      </c>
      <c r="J31" t="inlineStr">
        <is>
          <t>78:32:0001077:1207</t>
        </is>
      </c>
      <c r="L31" t="inlineStr">
        <is>
          <t>EA</t>
        </is>
      </c>
      <c r="M31" t="inlineStr">
        <is>
          <t>М</t>
        </is>
      </c>
      <c r="N31" s="2">
        <f>HYPERLINK("https://yandex.ru/maps/?&amp;text=59.918214, 30.278166", "59.918214, 30.278166")</f>
        <v/>
      </c>
      <c r="O31" t="n">
        <v>15227</v>
      </c>
      <c r="P31" s="7" t="n">
        <v>9.699999999999999</v>
      </c>
      <c r="R31" t="n">
        <v>15227</v>
      </c>
      <c r="S31" s="8" t="n">
        <v>9.699999999999999</v>
      </c>
    </row>
    <row r="32">
      <c r="A32" s="4" t="n">
        <v>33</v>
      </c>
      <c r="B32" t="inlineStr">
        <is>
          <t>76</t>
        </is>
      </c>
      <c r="C32" s="1" t="n">
        <v>187.1</v>
      </c>
      <c r="D32" s="2">
        <f>HYPERLINK("https://torgi.gov.ru/new/public/lots/lot/21000012550000000044_1/(lotInfo:info)", "21000012550000000044_1")</f>
        <v/>
      </c>
      <c r="E32" t="inlineStr">
        <is>
          <t>помещения, назначение: нежилое, этаж: 1, номера на поэтажном плане 7, 8, 17, 18, 20, 21, 28, 33, 45, расположенные по адресу:, существующие ограничения (обременения) права: не зарегистрировано.</t>
        </is>
      </c>
      <c r="F32" s="3" t="n">
        <v>9599.144842330305</v>
      </c>
      <c r="G32" s="3" t="n">
        <v>1796000</v>
      </c>
      <c r="H32" t="inlineStr">
        <is>
          <t>г Ярославль, Тутаевское шоссе, д 67</t>
        </is>
      </c>
      <c r="I32" t="inlineStr">
        <is>
          <t>20 07 22 12:00</t>
        </is>
      </c>
      <c r="L32" t="inlineStr">
        <is>
          <t>PP</t>
        </is>
      </c>
      <c r="M32" t="inlineStr">
        <is>
          <t>М</t>
        </is>
      </c>
      <c r="N32" s="2">
        <f>HYPERLINK("https://yandex.ru/maps/?&amp;text=57.691284, 39.80356", "57.691284, 39.80356")</f>
        <v/>
      </c>
      <c r="O32" t="n">
        <v>743</v>
      </c>
      <c r="P32" s="7" t="n">
        <v>12.92</v>
      </c>
      <c r="R32" t="n">
        <v>743</v>
      </c>
      <c r="S32" s="8" t="n">
        <v>12.92</v>
      </c>
    </row>
    <row r="33">
      <c r="A33" s="4" t="n">
        <v>34</v>
      </c>
      <c r="B33" t="inlineStr">
        <is>
          <t>59</t>
        </is>
      </c>
      <c r="C33" s="1" t="n">
        <v>141.2</v>
      </c>
      <c r="D33" s="2">
        <f>HYPERLINK("https://torgi.gov.ru/new/public/lots/lot/21000020210000000032_12/(lotInfo:info)", "21000020210000000032_12")</f>
        <v/>
      </c>
      <c r="E33" t="inlineStr">
        <is>
          <t>Помещение, назначение: нежилое, этаж 2адрес объекта: (объект обременен договором аренды 13.06.2024г.)</t>
        </is>
      </c>
      <c r="F33" s="3" t="n">
        <v>7790.368271954675</v>
      </c>
      <c r="G33" s="3" t="n">
        <v>1100000</v>
      </c>
      <c r="H33" t="inlineStr">
        <is>
          <t>Пермский край, г Усолье, ул Свободы, д 144</t>
        </is>
      </c>
      <c r="I33" t="inlineStr">
        <is>
          <t>16 07 22 13:00</t>
        </is>
      </c>
      <c r="J33" t="inlineStr">
        <is>
          <t xml:space="preserve">59:37:0620302:513, </t>
        </is>
      </c>
      <c r="L33" t="inlineStr">
        <is>
          <t>PP</t>
        </is>
      </c>
      <c r="M33" t="inlineStr">
        <is>
          <t>М</t>
        </is>
      </c>
      <c r="N33" s="2">
        <f>HYPERLINK("https://yandex.ru/maps/?&amp;text=59.428734, 56.68382", "59.428734, 56.68382")</f>
        <v/>
      </c>
      <c r="O33" t="n">
        <v>508</v>
      </c>
      <c r="P33" s="7" t="n">
        <v>15.34</v>
      </c>
      <c r="R33" t="n">
        <v>508</v>
      </c>
      <c r="S33" s="8" t="n">
        <v>15.34</v>
      </c>
    </row>
    <row r="34">
      <c r="A34" s="4" t="n">
        <v>35</v>
      </c>
      <c r="B34" t="inlineStr">
        <is>
          <t>49</t>
        </is>
      </c>
      <c r="C34" s="1" t="n">
        <v>114.9</v>
      </c>
      <c r="D34" s="2">
        <f>HYPERLINK("https://torgi.gov.ru/new/public/lots/lot/21000013960000000004_8/(lotInfo:info)", "21000013960000000004_8")</f>
        <v/>
      </c>
      <c r="E34" t="inlineStr">
        <is>
          <t>Наименование имущества: Котельная, назначение объекта: нежилое, адрес (местоположение) объекта:.</t>
        </is>
      </c>
      <c r="F34" s="3" t="n">
        <v>17754.04699738903</v>
      </c>
      <c r="G34" s="3" t="n">
        <v>2039940</v>
      </c>
      <c r="H34" t="inlineStr">
        <is>
          <t>г Магадан, ул Продольная, д 22</t>
        </is>
      </c>
      <c r="I34" t="inlineStr">
        <is>
          <t>19 07 22 06:00</t>
        </is>
      </c>
      <c r="J34" t="inlineStr">
        <is>
          <t>49:09:031002:251</t>
        </is>
      </c>
      <c r="L34" t="inlineStr">
        <is>
          <t>EA</t>
        </is>
      </c>
      <c r="M34" t="inlineStr">
        <is>
          <t>Д</t>
        </is>
      </c>
      <c r="N34" s="2">
        <f>HYPERLINK("https://yandex.ru/maps/?&amp;text=59.58926, 150.83209", "59.58926, 150.83209")</f>
        <v/>
      </c>
      <c r="O34" t="n">
        <v>952</v>
      </c>
      <c r="P34" s="7" t="n">
        <v>18.65</v>
      </c>
      <c r="R34" t="n">
        <v>952</v>
      </c>
      <c r="S34" s="8" t="n">
        <v>18.65</v>
      </c>
    </row>
    <row r="35">
      <c r="A35" s="4" t="n">
        <v>36</v>
      </c>
      <c r="B35" t="inlineStr">
        <is>
          <t>49</t>
        </is>
      </c>
      <c r="C35" s="1" t="n">
        <v>208.6</v>
      </c>
      <c r="D35" s="2">
        <f>HYPERLINK("https://torgi.gov.ru/new/public/lots/lot/21000013960000000004_29/(lotInfo:info)", "21000013960000000004_29")</f>
        <v/>
      </c>
      <c r="E35" t="inlineStr">
        <is>
          <t>Наименование имущества: Водозабор; назначение: нежилое здание; , адрес:и право аренды на земельный участок;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.</t>
        </is>
      </c>
      <c r="F35" s="3" t="n">
        <v>32762.41610738255</v>
      </c>
      <c r="G35" s="3" t="n">
        <v>6834240</v>
      </c>
      <c r="H35" t="inlineStr">
        <is>
          <t>Магаданская обл, Ягоднинский р-н, пгт Синегорье</t>
        </is>
      </c>
      <c r="I35" t="inlineStr">
        <is>
          <t>19 07 22 06:00</t>
        </is>
      </c>
      <c r="J35" t="inlineStr">
        <is>
          <t xml:space="preserve">49:08:000000:576 </t>
        </is>
      </c>
      <c r="L35" t="inlineStr">
        <is>
          <t>EA</t>
        </is>
      </c>
      <c r="M35" t="inlineStr">
        <is>
          <t>Д</t>
        </is>
      </c>
      <c r="N35" s="2">
        <f>HYPERLINK("https://yandex.ru/maps/?&amp;text=62.087879, 150.521071", "62.087879, 150.521071")</f>
        <v/>
      </c>
      <c r="O35" t="n">
        <v>90</v>
      </c>
      <c r="P35" s="7" t="n">
        <v>364.03</v>
      </c>
      <c r="R35" t="n">
        <v>60</v>
      </c>
      <c r="S35" s="8" t="n">
        <v>546.04</v>
      </c>
    </row>
    <row r="36">
      <c r="A36" s="4" t="n">
        <v>37</v>
      </c>
      <c r="B36" t="inlineStr">
        <is>
          <t>49</t>
        </is>
      </c>
      <c r="C36" s="1" t="n">
        <v>242.6</v>
      </c>
      <c r="D36" s="2">
        <f>HYPERLINK("https://torgi.gov.ru/new/public/lots/lot/21000013960000000004_26/(lotInfo:info)", "21000013960000000004_26")</f>
        <v/>
      </c>
      <c r="E36" t="inlineStr">
        <is>
          <t>Наименование имущества: Нежилое помещение; назначение: нежилое помещение; , адрес:.</t>
        </is>
      </c>
      <c r="F36" s="3" t="n">
        <v>29370.56883759275</v>
      </c>
      <c r="G36" s="3" t="n">
        <v>7125300</v>
      </c>
      <c r="H36" t="inlineStr">
        <is>
          <t>Магаданская обл, Ягоднинский р-н, пгт Синегорье, ул Первая, д 2</t>
        </is>
      </c>
      <c r="I36" t="inlineStr">
        <is>
          <t>19 07 22 06:00</t>
        </is>
      </c>
      <c r="J36" t="inlineStr">
        <is>
          <t>49:08:050002:1444</t>
        </is>
      </c>
      <c r="L36" t="inlineStr">
        <is>
          <t>EA</t>
        </is>
      </c>
      <c r="M36" t="inlineStr">
        <is>
          <t>Д</t>
        </is>
      </c>
      <c r="N36" s="2">
        <f>HYPERLINK("https://yandex.ru/maps/?&amp;text=62.08512, 150.52081", "62.08512, 150.52081")</f>
        <v/>
      </c>
      <c r="O36" t="n">
        <v>60</v>
      </c>
      <c r="P36" s="7" t="n">
        <v>489.51</v>
      </c>
      <c r="R36" t="n">
        <v>60</v>
      </c>
      <c r="S36" s="8" t="n">
        <v>489.51</v>
      </c>
    </row>
    <row r="37">
      <c r="A37" s="4" t="n">
        <v>38</v>
      </c>
      <c r="B37" t="inlineStr">
        <is>
          <t>57</t>
        </is>
      </c>
      <c r="C37" s="1" t="n">
        <v>90.59999999999999</v>
      </c>
      <c r="D37" s="2">
        <f>HYPERLINK("https://torgi.gov.ru/new/public/lots/lot/21000020880000000004_1/(lotInfo:info)", "21000020880000000004_1")</f>
        <v/>
      </c>
      <c r="E37" t="inlineStr">
        <is>
          <t>нежилое помещение, наименование: квартира.номер этажа, на котором расположено помещение: этаж № 01, адрес:, пом.</t>
        </is>
      </c>
      <c r="F37" s="3" t="n">
        <v>11389.15286975718</v>
      </c>
      <c r="G37" s="3" t="n">
        <v>1031857.25</v>
      </c>
      <c r="H37" t="inlineStr">
        <is>
          <t>Орловская обл, пгт Колпна, ул Титова, д 17</t>
        </is>
      </c>
      <c r="I37" t="inlineStr">
        <is>
          <t>18 07 22 14:00</t>
        </is>
      </c>
      <c r="J37" t="inlineStr">
        <is>
          <t xml:space="preserve">57:23:0010101:774, </t>
        </is>
      </c>
      <c r="L37" t="inlineStr">
        <is>
          <t>PP</t>
        </is>
      </c>
      <c r="M37" t="inlineStr">
        <is>
          <t>М</t>
        </is>
      </c>
      <c r="N37" s="2">
        <f>HYPERLINK("https://yandex.ru/maps/?&amp;text=52.224174, 37.02622", "52.224174, 37.02622")</f>
        <v/>
      </c>
      <c r="O37" t="n">
        <v>1700</v>
      </c>
      <c r="P37" s="7" t="n">
        <v>6.7</v>
      </c>
      <c r="R37" t="n">
        <v>1561</v>
      </c>
      <c r="S37" s="8" t="n">
        <v>7.3</v>
      </c>
    </row>
    <row r="38">
      <c r="A38" s="4" t="n">
        <v>39</v>
      </c>
      <c r="B38" t="inlineStr">
        <is>
          <t>74</t>
        </is>
      </c>
      <c r="C38" s="1" t="n">
        <v>632.4</v>
      </c>
      <c r="D38" s="2">
        <f>HYPERLINK("https://torgi.gov.ru/new/public/lots/lot/21000017550000000039_1/(lotInfo:info)", "21000017550000000039_1")</f>
        <v/>
      </c>
      <c r="E38" t="inlineStr">
        <is>
          <t>Наименование:Нежилое помещение, расположенное по адресу:,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      </is>
      </c>
      <c r="F38" s="3" t="n">
        <v>15039.53194180898</v>
      </c>
      <c r="G38" s="3" t="n">
        <v>9511000</v>
      </c>
      <c r="H38" t="inlineStr">
        <is>
          <t>Челябинская обл, г Снежинск, ул Транспортная, д 15</t>
        </is>
      </c>
      <c r="I38" t="inlineStr">
        <is>
          <t>18 07 22 14:00</t>
        </is>
      </c>
      <c r="J38" t="inlineStr">
        <is>
          <t>74:40:0000000:3164</t>
        </is>
      </c>
      <c r="L38" t="inlineStr">
        <is>
          <t>PP</t>
        </is>
      </c>
      <c r="M38" t="inlineStr">
        <is>
          <t>М</t>
        </is>
      </c>
      <c r="N38" s="2">
        <f>HYPERLINK("https://yandex.ru/maps/?&amp;text=56.08004, 60.739857", "56.08004, 60.739857")</f>
        <v/>
      </c>
      <c r="O38" t="n">
        <v>3325</v>
      </c>
      <c r="P38" s="7" t="n">
        <v>4.52</v>
      </c>
      <c r="R38" t="n">
        <v>2282</v>
      </c>
      <c r="S38" s="8" t="n">
        <v>6.59</v>
      </c>
    </row>
    <row r="39">
      <c r="A39" s="4" t="n">
        <v>40</v>
      </c>
      <c r="B39" t="inlineStr">
        <is>
          <t>74</t>
        </is>
      </c>
      <c r="C39" s="1" t="n">
        <v>245.1</v>
      </c>
      <c r="D39" s="2">
        <f>HYPERLINK("https://torgi.gov.ru/new/public/lots/lot/21000017550000000038_1/(lotInfo:info)", "21000017550000000038_1")</f>
        <v/>
      </c>
      <c r="E39" t="inlineStr">
        <is>
          <t>Наименование:Нежилое помещение № 1, расположенное по адресу:, пом. 1Номер РФИ:П13770014289Площадь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      </is>
      </c>
      <c r="F39" s="3" t="n">
        <v>2488.780089759282</v>
      </c>
      <c r="G39" s="3" t="n">
        <v>610000</v>
      </c>
      <c r="H39" t="inlineStr">
        <is>
          <t>Челябинская обл, г Магнитогорск, пр-кт Ленина, д 17 к 3</t>
        </is>
      </c>
      <c r="I39" t="inlineStr">
        <is>
          <t>18 07 22 13:00</t>
        </is>
      </c>
      <c r="J39" t="inlineStr">
        <is>
          <t>74:33:0123009:205</t>
        </is>
      </c>
      <c r="L39" t="inlineStr">
        <is>
          <t>BOC</t>
        </is>
      </c>
      <c r="M39" t="inlineStr">
        <is>
          <t>М</t>
        </is>
      </c>
      <c r="N39" s="2">
        <f>HYPERLINK("https://yandex.ru/maps/?&amp;text=53.431113, 58.984118", "53.431113, 58.984118")</f>
        <v/>
      </c>
      <c r="O39" t="n">
        <v>3722</v>
      </c>
      <c r="P39" s="7" t="n">
        <v>0.67</v>
      </c>
      <c r="R39" t="n">
        <v>3398</v>
      </c>
      <c r="S39" s="8" t="n">
        <v>0.73</v>
      </c>
    </row>
    <row r="40">
      <c r="A40" s="4" t="n">
        <v>41</v>
      </c>
      <c r="B40" t="inlineStr">
        <is>
          <t>74</t>
        </is>
      </c>
      <c r="C40" s="1" t="n">
        <v>129.9</v>
      </c>
      <c r="D40" s="2">
        <f>HYPERLINK("https://torgi.gov.ru/new/public/lots/lot/21000017550000000037_1/(lotInfo:info)", "21000017550000000037_1")</f>
        <v/>
      </c>
      <c r="E40" t="inlineStr">
        <is>
          <t>Наименование:Нежилое помещение, расположенное по адресу:, пом. 4Номер РФИ:П13740006142Площадь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      </is>
      </c>
      <c r="F40" s="3" t="n">
        <v>5025.227097767513</v>
      </c>
      <c r="G40" s="3" t="n">
        <v>652777</v>
      </c>
      <c r="H40" t="inlineStr">
        <is>
          <t>Челябинская обл, г Еманжелинск, ул Герцена, д 14</t>
        </is>
      </c>
      <c r="I40" t="inlineStr">
        <is>
          <t>18 07 22 13:00</t>
        </is>
      </c>
      <c r="J40" t="inlineStr">
        <is>
          <t>74:28:0101022:868</t>
        </is>
      </c>
      <c r="L40" t="inlineStr">
        <is>
          <t>BOC</t>
        </is>
      </c>
      <c r="M40" t="inlineStr">
        <is>
          <t>М</t>
        </is>
      </c>
      <c r="N40" s="2">
        <f>HYPERLINK("https://yandex.ru/maps/?&amp;text=54.754158, 61.31196", "54.754158, 61.31196")</f>
        <v/>
      </c>
      <c r="O40" t="n">
        <v>2353</v>
      </c>
      <c r="P40" s="7" t="n">
        <v>2.14</v>
      </c>
      <c r="R40" t="n">
        <v>2353</v>
      </c>
      <c r="S40" s="8" t="n">
        <v>2.14</v>
      </c>
    </row>
    <row r="41">
      <c r="A41" s="4" t="n">
        <v>42</v>
      </c>
      <c r="B41" t="inlineStr">
        <is>
          <t>51</t>
        </is>
      </c>
      <c r="C41" s="1" t="n">
        <v>387.9</v>
      </c>
      <c r="D41" s="2">
        <f>HYPERLINK("https://torgi.gov.ru/new/public/lots/lot/22000023110000000005_1/(lotInfo:info)", "22000023110000000005_1")</f>
        <v/>
      </c>
      <c r="E41" t="inlineStr">
        <is>
          <t>нежилое помещениеэтаж 01, номер на поэтажном плане I,II,V,VI расположенное по адресу:. Мурмаши, ул.Тягунова, д.4</t>
        </is>
      </c>
      <c r="F41" s="3" t="n">
        <v>3469.966486207786</v>
      </c>
      <c r="G41" s="3" t="n">
        <v>1346000</v>
      </c>
      <c r="H41" t="inlineStr">
        <is>
          <t>Мурманская обл, Кольский р-н, пгт Мурмаши</t>
        </is>
      </c>
      <c r="I41" t="inlineStr">
        <is>
          <t>29 07 22 20:59</t>
        </is>
      </c>
      <c r="J41" t="inlineStr">
        <is>
          <t xml:space="preserve">51:01:0203003:808, </t>
        </is>
      </c>
      <c r="L41" t="inlineStr">
        <is>
          <t>EA</t>
        </is>
      </c>
      <c r="M41" t="inlineStr">
        <is>
          <t>М</t>
        </is>
      </c>
      <c r="N41" s="2">
        <f>HYPERLINK("https://yandex.ru/maps/?&amp;text=68.815153, 32.812376", "68.815153, 32.812376")</f>
        <v/>
      </c>
      <c r="O41" t="n">
        <v>522</v>
      </c>
      <c r="P41" s="7" t="n">
        <v>6.65</v>
      </c>
      <c r="R41" t="n">
        <v>522</v>
      </c>
      <c r="S41" s="8" t="n">
        <v>6.65</v>
      </c>
    </row>
    <row r="42">
      <c r="A42" s="4" t="n">
        <v>43</v>
      </c>
      <c r="B42" t="inlineStr">
        <is>
          <t>78</t>
        </is>
      </c>
      <c r="C42" s="1" t="n">
        <v>39.1</v>
      </c>
      <c r="D42" s="2">
        <f>HYPERLINK("https://torgi.gov.ru/new/public/lots/lot/21000002210000000649_1/(lotInfo:info)", "21000002210000000649_1")</f>
        <v/>
      </c>
      <c r="E42" t="inlineStr">
        <is>
          <t>Нежилое помещение, расположенное по адресу: Санкт-Петербург,, литера Б, пом. 4-Н, назначение: нежилое помещение, наименование: нежилое помещение, этаж: цокольный</t>
        </is>
      </c>
      <c r="F42" s="3" t="n">
        <v>76726.34271099744</v>
      </c>
      <c r="G42" s="3" t="n">
        <v>3000000</v>
      </c>
      <c r="H42" t="inlineStr">
        <is>
          <t>г Санкт-Петербург, ул Витебская, д 23 литера Б, помещ 4-Н</t>
        </is>
      </c>
      <c r="I42" t="inlineStr">
        <is>
          <t>19 07 22 20:00</t>
        </is>
      </c>
      <c r="J42" t="inlineStr">
        <is>
          <t>78:32:0001079:1071</t>
        </is>
      </c>
      <c r="L42" t="inlineStr">
        <is>
          <t>EA</t>
        </is>
      </c>
      <c r="M42" t="inlineStr">
        <is>
          <t>М</t>
        </is>
      </c>
      <c r="N42" s="2">
        <f>HYPERLINK("https://yandex.ru/maps/?&amp;text=59.919712, 30.277555", "59.919712, 30.277555")</f>
        <v/>
      </c>
      <c r="O42" t="n">
        <v>15227</v>
      </c>
      <c r="P42" s="7" t="n">
        <v>5.04</v>
      </c>
      <c r="R42" t="n">
        <v>15227</v>
      </c>
      <c r="S42" s="8" t="n">
        <v>5.04</v>
      </c>
    </row>
    <row r="43">
      <c r="A43" s="4" t="n">
        <v>44</v>
      </c>
      <c r="B43" t="inlineStr">
        <is>
          <t>78</t>
        </is>
      </c>
      <c r="C43" s="1" t="n">
        <v>42</v>
      </c>
      <c r="D43" s="2">
        <f>HYPERLINK("https://torgi.gov.ru/new/public/lots/lot/21000002210000000639_1/(lotInfo:info)", "21000002210000000639_1")</f>
        <v/>
      </c>
      <c r="E43" t="inlineStr">
        <is>
          <t>Нежилое помещение, расположенное по адресу: Санкт-Петербург,, литера А, пом. 8-Н., назначение: нежилое помещение, этаж №1</t>
        </is>
      </c>
      <c r="F43" s="3" t="n">
        <v>173809.5238095238</v>
      </c>
      <c r="G43" s="3" t="n">
        <v>7300000</v>
      </c>
      <c r="H43" t="inlineStr">
        <is>
          <t>г Санкт-Петербург, Невский пр-кт, д 11/2 литера А, помещ 8-Н</t>
        </is>
      </c>
      <c r="I43" t="inlineStr">
        <is>
          <t>18 07 22 20:00</t>
        </is>
      </c>
      <c r="J43" t="inlineStr">
        <is>
          <t>78:31:0001182:2183</t>
        </is>
      </c>
      <c r="L43" t="inlineStr">
        <is>
          <t>EA</t>
        </is>
      </c>
      <c r="M43" t="inlineStr">
        <is>
          <t>М</t>
        </is>
      </c>
      <c r="N43" s="2">
        <f>HYPERLINK("https://yandex.ru/maps/?&amp;text=59.9363379, 30.3159641", "59.9363379, 30.3159641")</f>
        <v/>
      </c>
      <c r="O43" t="n">
        <v>7410</v>
      </c>
      <c r="P43" s="7" t="n">
        <v>23.46</v>
      </c>
      <c r="R43" t="n">
        <v>3845</v>
      </c>
      <c r="S43" s="8" t="n">
        <v>45.2</v>
      </c>
    </row>
    <row r="44">
      <c r="A44" s="4" t="n">
        <v>45</v>
      </c>
      <c r="B44" t="inlineStr">
        <is>
          <t>63</t>
        </is>
      </c>
      <c r="C44" s="1" t="n">
        <v>70.8</v>
      </c>
      <c r="D44" s="2">
        <f>HYPERLINK("https://torgi.gov.ru/new/public/lots/lot/21000002520000000004_1/(lotInfo:info)", "21000002520000000004_1")</f>
        <v/>
      </c>
      <c r="E44" t="inlineStr">
        <is>
          <t>Нежилое помещение , Этаж № 2, расположенное по адресу:.</t>
        </is>
      </c>
      <c r="F44" s="3" t="n">
        <v>23771.18644067797</v>
      </c>
      <c r="G44" s="3" t="n">
        <v>1683000</v>
      </c>
      <c r="H44" t="inlineStr">
        <is>
          <t>г Самара, ул Авроры, д 70</t>
        </is>
      </c>
      <c r="I44" t="inlineStr">
        <is>
          <t>22 07 22 05:00</t>
        </is>
      </c>
      <c r="J44" t="inlineStr">
        <is>
          <t>63:01:0117004:1771</t>
        </is>
      </c>
      <c r="L44" t="inlineStr">
        <is>
          <t>PP</t>
        </is>
      </c>
      <c r="M44" t="inlineStr">
        <is>
          <t>М</t>
        </is>
      </c>
      <c r="N44" s="2">
        <f>HYPERLINK("https://yandex.ru/maps/?&amp;text=53.188913, 50.189737", "53.188913, 50.189737")</f>
        <v/>
      </c>
      <c r="O44" t="n">
        <v>5670</v>
      </c>
      <c r="P44" s="7" t="n">
        <v>4.19</v>
      </c>
      <c r="R44" t="n">
        <v>5670</v>
      </c>
      <c r="S44" s="8" t="n">
        <v>4.19</v>
      </c>
    </row>
    <row r="45">
      <c r="A45" s="4" t="n">
        <v>46</v>
      </c>
      <c r="B45" t="inlineStr">
        <is>
          <t>63</t>
        </is>
      </c>
      <c r="C45" s="1" t="n">
        <v>25.6</v>
      </c>
      <c r="D45" s="2">
        <f>HYPERLINK("https://torgi.gov.ru/new/public/lots/lot/21000002520000000004_5/(lotInfo:info)", "21000002520000000004_5")</f>
        <v/>
      </c>
      <c r="E45" t="inlineStr">
        <is>
          <t>Нежилое помещение , Этаж № 1, расположенное по адресу:</t>
        </is>
      </c>
      <c r="F45" s="3" t="n">
        <v>19628.90625</v>
      </c>
      <c r="G45" s="3" t="n">
        <v>502500</v>
      </c>
      <c r="H45" t="inlineStr">
        <is>
          <t>г Самара, ул Флотская, д 17</t>
        </is>
      </c>
      <c r="I45" t="inlineStr">
        <is>
          <t>22 07 22 05:00</t>
        </is>
      </c>
      <c r="J45" t="inlineStr">
        <is>
          <t>63:01:0411004:2258</t>
        </is>
      </c>
      <c r="L45" t="inlineStr">
        <is>
          <t>PP</t>
        </is>
      </c>
      <c r="M45" t="inlineStr">
        <is>
          <t>М</t>
        </is>
      </c>
      <c r="N45" s="2">
        <f>HYPERLINK("https://yandex.ru/maps/?&amp;text=53.145057, 50.046609", "53.145057, 50.046609")</f>
        <v/>
      </c>
      <c r="O45" t="n">
        <v>781</v>
      </c>
      <c r="P45" s="7" t="n">
        <v>25.13</v>
      </c>
      <c r="R45" t="n">
        <v>781</v>
      </c>
      <c r="S45" s="8" t="n">
        <v>25.13</v>
      </c>
    </row>
    <row r="46">
      <c r="A46" s="4" t="n">
        <v>47</v>
      </c>
      <c r="B46" t="inlineStr">
        <is>
          <t>10</t>
        </is>
      </c>
      <c r="C46" s="1" t="n">
        <v>15.6</v>
      </c>
      <c r="D46" s="2">
        <f>HYPERLINK("https://torgi.gov.ru/new/public/lots/lot/22000014990000000001_2/(lotInfo:info)", "22000014990000000001_2")</f>
        <v/>
      </c>
      <c r="E46" t="inlineStr">
        <is>
          <t>нежилое помещение (№9 на поэтажном плане), расположенное по адресу:, и нежилое помещение (№10 на поэтажном плане), расположенное по адресу: Республика Карелия, г. Сортавала, ул. Вяйнемяйнена, д. 6, пом. 10</t>
        </is>
      </c>
      <c r="F46" s="3" t="n">
        <v>129861.5384615385</v>
      </c>
      <c r="G46" s="3" t="n">
        <v>2025840</v>
      </c>
      <c r="H46" t="inlineStr">
        <is>
          <t>Респ Карелия, г Сортавала, ул Вяйнемяйнена, д 6, помещ 9</t>
        </is>
      </c>
      <c r="I46" t="inlineStr">
        <is>
          <t>18 07 22 07:00</t>
        </is>
      </c>
      <c r="J46" t="inlineStr">
        <is>
          <t xml:space="preserve">10:07:0010121:158, </t>
        </is>
      </c>
      <c r="L46" t="inlineStr">
        <is>
          <t>EA</t>
        </is>
      </c>
      <c r="M46" t="inlineStr">
        <is>
          <t>М</t>
        </is>
      </c>
      <c r="N46" s="2">
        <f>HYPERLINK("https://yandex.ru/maps/?&amp;text=61.701971, 30.690618", "61.701971, 30.690618")</f>
        <v/>
      </c>
      <c r="O46" t="n">
        <v>126</v>
      </c>
      <c r="P46" s="7" t="n">
        <v>1030.65</v>
      </c>
      <c r="R46" t="n">
        <v>716</v>
      </c>
      <c r="S46" s="8" t="n">
        <v>181.37</v>
      </c>
    </row>
    <row r="47">
      <c r="A47" s="4" t="n">
        <v>48</v>
      </c>
      <c r="B47" t="inlineStr">
        <is>
          <t>78</t>
        </is>
      </c>
      <c r="C47" s="1" t="n">
        <v>37.3</v>
      </c>
      <c r="D47" s="2">
        <f>HYPERLINK("https://torgi.gov.ru/new/public/lots/lot/21000002210000000636_1/(lotInfo:info)", "21000002210000000636_1")</f>
        <v/>
      </c>
      <c r="E47" t="inlineStr">
        <is>
          <t>Нежилое помещение, расположенное по адресу: Санкт-Петербург,, литера А, пом. 1-Н., назначение: нежилое помещение, наименование: нежилое помещение, этаж: цокольный</t>
        </is>
      </c>
      <c r="F47" s="3" t="n">
        <v>99731.9034852547</v>
      </c>
      <c r="G47" s="3" t="n">
        <v>3720000</v>
      </c>
      <c r="H47" t="inlineStr">
        <is>
          <t>г Санкт-Петербург, ул Витебская, д 31 литера А, помещ 1-Н</t>
        </is>
      </c>
      <c r="I47" t="inlineStr">
        <is>
          <t>18 07 22 20:00</t>
        </is>
      </c>
      <c r="J47" t="inlineStr">
        <is>
          <t>78:32:0001079:1067</t>
        </is>
      </c>
      <c r="L47" t="inlineStr">
        <is>
          <t>EA</t>
        </is>
      </c>
      <c r="M47" t="inlineStr">
        <is>
          <t>М</t>
        </is>
      </c>
      <c r="N47" s="2">
        <f>HYPERLINK("https://yandex.ru/maps/?&amp;text=59.919193, 30.276378", "59.919193, 30.276378")</f>
        <v/>
      </c>
      <c r="O47" t="n">
        <v>15227</v>
      </c>
      <c r="P47" s="7" t="n">
        <v>6.55</v>
      </c>
      <c r="R47" t="n">
        <v>15227</v>
      </c>
      <c r="S47" s="8" t="n">
        <v>6.55</v>
      </c>
    </row>
    <row r="48">
      <c r="A48" s="4" t="n">
        <v>49</v>
      </c>
      <c r="B48" t="inlineStr">
        <is>
          <t>40</t>
        </is>
      </c>
      <c r="C48" s="1" t="n">
        <v>10.2</v>
      </c>
      <c r="D48" s="2">
        <f>HYPERLINK("https://torgi.gov.ru/new/public/lots/lot/22000014810000000024_1/(lotInfo:info)", "22000014810000000024_1")</f>
        <v/>
      </c>
      <c r="E48" t="inlineStr">
        <is>
          <t>Нежилые помещения, назначение: нежилые помещения, расположенные по адресу: , этаж № 1кв. 5, 6, 7, 8, 9, номер на поэтажном плане 11;- , цокольный этажкв. 3, 4;- , этаж № 1кв. 6;- , этаж № 1кв. 5, 6, 7, 8, 9, номера на поэтажном плане 8, 9, 10;- , этаж № 1кв. 5, 6, 7, 8, 9, номер на поэтажном плане 1;- , этаж № 1кв. 5, 6, 7, 8, 9, номер на поэтажном плане 5, 6, 7, 12,находятся в выявленном объекте культурного наследия «Жилой дом, кон. XIX в.»</t>
        </is>
      </c>
      <c r="F48" s="3" t="n">
        <v>435647.0588235295</v>
      </c>
      <c r="G48" s="3" t="n">
        <v>4443600</v>
      </c>
      <c r="H48" t="inlineStr">
        <is>
          <t>г Калуга, ул Воронина, д 6/112</t>
        </is>
      </c>
      <c r="I48" t="inlineStr">
        <is>
          <t>15 07 22 20:59</t>
        </is>
      </c>
      <c r="J48" t="inlineStr">
        <is>
          <t xml:space="preserve">40:26:000262:1243, </t>
        </is>
      </c>
      <c r="L48" t="inlineStr">
        <is>
          <t>EA</t>
        </is>
      </c>
      <c r="M48" t="inlineStr">
        <is>
          <t>М</t>
        </is>
      </c>
      <c r="N48" s="2">
        <f>HYPERLINK("https://yandex.ru/maps/?&amp;text=54.520206, 36.26032", "54.520206, 36.26032")</f>
        <v/>
      </c>
      <c r="O48" t="n">
        <v>2824</v>
      </c>
      <c r="P48" s="7" t="n">
        <v>154.27</v>
      </c>
      <c r="R48" t="n">
        <v>2775</v>
      </c>
      <c r="S48" s="8" t="n">
        <v>156.99</v>
      </c>
    </row>
    <row r="49">
      <c r="A49" s="4" t="n">
        <v>50</v>
      </c>
      <c r="B49" t="inlineStr">
        <is>
          <t>32</t>
        </is>
      </c>
      <c r="C49" s="1" t="n">
        <v>125.6</v>
      </c>
      <c r="D49" s="2">
        <f>HYPERLINK("https://torgi.gov.ru/new/public/lots/lot/21000013350000000020_1/(lotInfo:info)", "21000013350000000020_1")</f>
        <v/>
      </c>
      <c r="E49" t="inlineStr">
        <is>
          <t>Нежилое здание ., расположенное по адресу:с земельным участком , категория земель: земли населенных пунктов, разрешенное использование: для ведения личного подсобного хозяйства, кадастровый номер – 32:15:0262009:4</t>
        </is>
      </c>
      <c r="F49" s="3" t="n">
        <v>4132.165605095542</v>
      </c>
      <c r="G49" s="3" t="n">
        <v>519000</v>
      </c>
      <c r="H49" t="inlineStr">
        <is>
          <t>Брянская обл, пгт Красная Гора, ул 8 Марта, д 15</t>
        </is>
      </c>
      <c r="I49" t="inlineStr">
        <is>
          <t>22 07 22 13:00</t>
        </is>
      </c>
      <c r="J49" t="inlineStr">
        <is>
          <t xml:space="preserve">32:15:0262009:44, </t>
        </is>
      </c>
      <c r="L49" t="inlineStr">
        <is>
          <t>EA</t>
        </is>
      </c>
      <c r="M49" t="inlineStr">
        <is>
          <t>М</t>
        </is>
      </c>
      <c r="N49" s="2">
        <f>HYPERLINK("https://yandex.ru/maps/?&amp;text=52.990291, 31.621938", "52.990291, 31.621938")</f>
        <v/>
      </c>
      <c r="O49" t="n">
        <v>183</v>
      </c>
      <c r="P49" s="7" t="n">
        <v>22.58</v>
      </c>
      <c r="R49" t="n">
        <v>214</v>
      </c>
      <c r="S49" s="8" t="n">
        <v>19.31</v>
      </c>
    </row>
    <row r="50">
      <c r="A50" s="4" t="n">
        <v>51</v>
      </c>
      <c r="B50" t="inlineStr">
        <is>
          <t>78</t>
        </is>
      </c>
      <c r="C50" s="1" t="n">
        <v>15.1</v>
      </c>
      <c r="D50" s="2">
        <f>HYPERLINK("https://torgi.gov.ru/new/public/lots/lot/21000002210000000615_1/(lotInfo:info)", "21000002210000000615_1")</f>
        <v/>
      </c>
      <c r="E50" t="inlineStr">
        <is>
          <t>Нежилое помещение, расположенное по адресу: Санкт-Петербург,, литера А, пом. 5-Н, назначение: нежилое помещение, наименование: нежилое помещение, этаж №1</t>
        </is>
      </c>
      <c r="F50" s="3" t="n">
        <v>150993.3774834437</v>
      </c>
      <c r="G50" s="3" t="n">
        <v>2280000</v>
      </c>
      <c r="H50" t="inlineStr">
        <is>
          <t>г Санкт-Петербург, ул Михайлова, д 12 литера А, помещ 5-Н</t>
        </is>
      </c>
      <c r="I50" t="inlineStr">
        <is>
          <t>13 07 22 20:00</t>
        </is>
      </c>
      <c r="J50" t="inlineStr">
        <is>
          <t>78:10:0511201:2810</t>
        </is>
      </c>
      <c r="L50" t="inlineStr">
        <is>
          <t>EA</t>
        </is>
      </c>
      <c r="M50" t="inlineStr">
        <is>
          <t>М</t>
        </is>
      </c>
      <c r="N50" s="2">
        <f>HYPERLINK("https://yandex.ru/maps/?&amp;text=59.956566, 30.359769", "59.956566, 30.359769")</f>
        <v/>
      </c>
      <c r="O50" t="n">
        <v>6453</v>
      </c>
      <c r="P50" s="7" t="n">
        <v>23.4</v>
      </c>
      <c r="R50" t="n">
        <v>6453</v>
      </c>
      <c r="S50" s="8" t="n">
        <v>23.4</v>
      </c>
    </row>
    <row r="51">
      <c r="A51" s="4" t="n">
        <v>52</v>
      </c>
      <c r="B51" t="inlineStr">
        <is>
          <t>22</t>
        </is>
      </c>
      <c r="C51" s="1" t="n">
        <v>533.2</v>
      </c>
      <c r="D51" s="2">
        <f>HYPERLINK("https://torgi.gov.ru/new/public/lots/lot/22000022080000000003_1/(lotInfo:info)", "22000022080000000003_1")</f>
        <v/>
      </c>
      <c r="E51" t="inlineStr">
        <is>
          <t>Нежилое здание ., расположенное по адресу:.расположенный по адресу: Алтайский край, Солонешенский район, с. Солонешное, ул. 1-я Целинная, д. 9/1.</t>
        </is>
      </c>
      <c r="F51" s="3" t="n">
        <v>1507.121905476369</v>
      </c>
      <c r="G51" s="3" t="n">
        <v>803597.4</v>
      </c>
      <c r="H51" t="inlineStr">
        <is>
          <t>Алтайский край, село Солонешное, ул 1-я Целинная, д 9/1</t>
        </is>
      </c>
      <c r="I51" t="inlineStr">
        <is>
          <t>17 07 22 21:00</t>
        </is>
      </c>
      <c r="J51" t="inlineStr">
        <is>
          <t>22:43:060127:219</t>
        </is>
      </c>
      <c r="L51" t="inlineStr">
        <is>
          <t>EA</t>
        </is>
      </c>
      <c r="M51" t="inlineStr">
        <is>
          <t>М</t>
        </is>
      </c>
      <c r="N51">
        <f>HYPERLINK("https://yandex.ru/maps/?&amp;text=51.648013, 84.324721", "51.648013, 84.324721")</f>
        <v/>
      </c>
      <c r="O51" t="n">
        <v>960</v>
      </c>
      <c r="P51" s="7" t="n">
        <v>1.57</v>
      </c>
      <c r="R51" t="n">
        <v>960</v>
      </c>
      <c r="S51" s="8" t="n">
        <v>1.57</v>
      </c>
    </row>
    <row r="52">
      <c r="A52" s="4" t="n">
        <v>53</v>
      </c>
      <c r="B52" t="inlineStr">
        <is>
          <t>22</t>
        </is>
      </c>
      <c r="C52" s="1" t="n">
        <v>491.1</v>
      </c>
      <c r="D52" s="2">
        <f>HYPERLINK("https://torgi.gov.ru/new/public/lots/lot/22000022080000000003_2/(lotInfo:info)", "22000022080000000003_2")</f>
        <v/>
      </c>
      <c r="E52" t="inlineStr">
        <is>
          <t>Нежилое здание ., расположенное по адресу:.расположенный по адресу: Алтайский край, Солонешенский район, с. Солонешное, ул. 1-я Целинная, д. 9/2.</t>
        </is>
      </c>
      <c r="F52" s="3" t="n">
        <v>1092.094074526573</v>
      </c>
      <c r="G52" s="3" t="n">
        <v>536327.4</v>
      </c>
      <c r="H52" t="inlineStr">
        <is>
          <t>Алтайский край, село Солонешное, ул 1-я Целинная, д 9/2</t>
        </is>
      </c>
      <c r="I52" t="inlineStr">
        <is>
          <t>17 07 22 21:00</t>
        </is>
      </c>
      <c r="J52" t="inlineStr">
        <is>
          <t>22:43:060127:220</t>
        </is>
      </c>
      <c r="L52" t="inlineStr">
        <is>
          <t>EA</t>
        </is>
      </c>
      <c r="M52" t="inlineStr">
        <is>
          <t>М</t>
        </is>
      </c>
      <c r="N52">
        <f>HYPERLINK("https://yandex.ru/maps/?&amp;text=51.648013, 84.324721", "51.648013, 84.324721")</f>
        <v/>
      </c>
      <c r="O52" t="n">
        <v>960</v>
      </c>
      <c r="P52" s="7" t="n">
        <v>1.14</v>
      </c>
      <c r="R52" t="n">
        <v>960</v>
      </c>
      <c r="S52" s="8" t="n">
        <v>1.14</v>
      </c>
    </row>
    <row r="53">
      <c r="A53" s="4" t="n">
        <v>54</v>
      </c>
      <c r="B53" t="inlineStr">
        <is>
          <t>78</t>
        </is>
      </c>
      <c r="C53" s="1" t="n">
        <v>20.1</v>
      </c>
      <c r="D53" s="2">
        <f>HYPERLINK("https://torgi.gov.ru/new/public/lots/lot/21000002210000000610_1/(lotInfo:info)", "21000002210000000610_1")</f>
        <v/>
      </c>
      <c r="E53" t="inlineStr">
        <is>
          <t>Нежилое помещение, расположенное по адресу: Санкт-Петербург,, литера А, пом. 5-Н, назначение: нежилое помещение, этаж: цокольный</t>
        </is>
      </c>
      <c r="F53" s="3" t="n">
        <v>188557.2139303483</v>
      </c>
      <c r="G53" s="3" t="n">
        <v>3790000</v>
      </c>
      <c r="H53" t="inlineStr">
        <is>
          <t>г Санкт-Петербург, ул Декабристов, д 17 литера А, помещ 5-Н</t>
        </is>
      </c>
      <c r="I53" t="inlineStr">
        <is>
          <t>12 07 22 20:00</t>
        </is>
      </c>
      <c r="J53" t="inlineStr">
        <is>
          <t>78:32:0001253:243</t>
        </is>
      </c>
      <c r="L53" t="inlineStr">
        <is>
          <t>EA</t>
        </is>
      </c>
      <c r="M53" t="inlineStr">
        <is>
          <t>М</t>
        </is>
      </c>
      <c r="N53" s="2">
        <f>HYPERLINK("https://yandex.ru/maps/?&amp;text=59.92796, 30.30163", "59.92796, 30.30163")</f>
        <v/>
      </c>
      <c r="O53" t="n">
        <v>10908</v>
      </c>
      <c r="P53" s="7" t="n">
        <v>17.29</v>
      </c>
      <c r="R53" t="n">
        <v>10908</v>
      </c>
      <c r="S53" s="8" t="n">
        <v>17.29</v>
      </c>
    </row>
    <row r="54">
      <c r="A54" s="4" t="n">
        <v>55</v>
      </c>
      <c r="B54" t="inlineStr">
        <is>
          <t>78</t>
        </is>
      </c>
      <c r="C54" s="1" t="n">
        <v>15.4</v>
      </c>
      <c r="D54" s="2">
        <f>HYPERLINK("https://torgi.gov.ru/new/public/lots/lot/21000002210000000603_1/(lotInfo:info)", "21000002210000000603_1")</f>
        <v/>
      </c>
      <c r="E54" t="inlineStr">
        <is>
          <t>Нежилое помещение, расположенное по адресу: Санкт-Петербург,, литера А, пом. 4-Н, назначение: нежилое помещение, этаж №1</t>
        </is>
      </c>
      <c r="F54" s="3" t="n">
        <v>148051.948051948</v>
      </c>
      <c r="G54" s="3" t="n">
        <v>2280000</v>
      </c>
      <c r="H54" t="inlineStr">
        <is>
          <t>г Санкт-Петербург, ул Гражданская, д 14 литера А, помещ 4-Н</t>
        </is>
      </c>
      <c r="I54" t="inlineStr">
        <is>
          <t>12 07 22 20:00</t>
        </is>
      </c>
      <c r="J54" t="inlineStr">
        <is>
          <t>78:32:0001233:397</t>
        </is>
      </c>
      <c r="L54" t="inlineStr">
        <is>
          <t>EA</t>
        </is>
      </c>
      <c r="M54" t="inlineStr">
        <is>
          <t>М</t>
        </is>
      </c>
      <c r="N54" s="2">
        <f>HYPERLINK("https://yandex.ru/maps/?&amp;text=59.92784, 30.312534", "59.92784, 30.312534")</f>
        <v/>
      </c>
      <c r="O54" t="n">
        <v>10480</v>
      </c>
      <c r="P54" s="7" t="n">
        <v>14.13</v>
      </c>
      <c r="R54" t="n">
        <v>10480</v>
      </c>
      <c r="S54" s="8" t="n">
        <v>14.13</v>
      </c>
    </row>
    <row r="55">
      <c r="A55" s="4" t="n">
        <v>56</v>
      </c>
      <c r="B55" t="inlineStr">
        <is>
          <t>42</t>
        </is>
      </c>
      <c r="C55" s="1" t="n">
        <v>537.5</v>
      </c>
      <c r="D55" s="2">
        <f>HYPERLINK("https://torgi.gov.ru/new/public/lots/lot/22000017180000000001_9/(lotInfo:info)", "22000017180000000001_9")</f>
        <v/>
      </c>
      <c r="E55" t="inlineStr">
        <is>
          <t>Нежилое помещение Кемеровская область - Кузбасс,</t>
        </is>
      </c>
      <c r="F55" s="3" t="n">
        <v>2427.906976744186</v>
      </c>
      <c r="G55" s="3" t="n">
        <v>1305000</v>
      </c>
      <c r="H55" t="inlineStr">
        <is>
          <t>г Кемерово, ул Инициативная, д 23А, помещ 8</t>
        </is>
      </c>
      <c r="I55" t="inlineStr">
        <is>
          <t>18 07 22 08:00</t>
        </is>
      </c>
      <c r="J55" t="inlineStr">
        <is>
          <t xml:space="preserve">42:24:0301011:7118, </t>
        </is>
      </c>
      <c r="L55" t="inlineStr">
        <is>
          <t>PP</t>
        </is>
      </c>
      <c r="M55" t="inlineStr">
        <is>
          <t>М</t>
        </is>
      </c>
      <c r="N55" s="2">
        <f>HYPERLINK("https://yandex.ru/maps/?&amp;text=55.397415, 86.00817", "55.397415, 86.00817")</f>
        <v/>
      </c>
      <c r="O55" t="n">
        <v>2614</v>
      </c>
      <c r="P55" s="7" t="n">
        <v>0.93</v>
      </c>
      <c r="R55" t="n">
        <v>2614</v>
      </c>
      <c r="S55" s="8" t="n">
        <v>0.93</v>
      </c>
    </row>
    <row r="56">
      <c r="A56" s="4" t="n">
        <v>57</v>
      </c>
      <c r="B56" t="inlineStr">
        <is>
          <t>78</t>
        </is>
      </c>
      <c r="C56" s="1" t="n">
        <v>106.3</v>
      </c>
      <c r="D56" s="2">
        <f>HYPERLINK("https://torgi.gov.ru/new/public/lots/lot/21000002210000000602_1/(lotInfo:info)", "21000002210000000602_1")</f>
        <v/>
      </c>
      <c r="E56" t="inlineStr">
        <is>
          <t>Нежилое помещение, расположенное по адресу: Санкт-Петербург,, литера А, пом. 2-Н, назначение: нежилое помещение, этаж: цокольный</t>
        </is>
      </c>
      <c r="F56" s="3" t="n">
        <v>48918.15616180621</v>
      </c>
      <c r="G56" s="3" t="n">
        <v>5200000</v>
      </c>
      <c r="H56" t="inlineStr">
        <is>
          <t>г Санкт-Петербург, ул Большая Морская, д 46 литера А, помещ 2-Н</t>
        </is>
      </c>
      <c r="I56" t="inlineStr">
        <is>
          <t>12 07 22 20:00</t>
        </is>
      </c>
      <c r="J56" t="inlineStr">
        <is>
          <t>78:32:0001256:182</t>
        </is>
      </c>
      <c r="L56" t="inlineStr">
        <is>
          <t>EA</t>
        </is>
      </c>
      <c r="M56" t="inlineStr">
        <is>
          <t>М</t>
        </is>
      </c>
      <c r="N56" s="2">
        <f>HYPERLINK("https://yandex.ru/maps/?&amp;text=59.931783, 30.306256", "59.931783, 30.306256")</f>
        <v/>
      </c>
      <c r="O56" t="n">
        <v>10908</v>
      </c>
      <c r="P56" s="7" t="n">
        <v>4.48</v>
      </c>
      <c r="R56" t="n">
        <v>8043</v>
      </c>
      <c r="S56" s="8" t="n">
        <v>6.08</v>
      </c>
    </row>
    <row r="57">
      <c r="A57" s="4" t="n">
        <v>58</v>
      </c>
      <c r="B57" t="inlineStr">
        <is>
          <t>19</t>
        </is>
      </c>
      <c r="C57" s="1" t="n">
        <v>29.1</v>
      </c>
      <c r="D57" s="2">
        <f>HYPERLINK("https://torgi.gov.ru/new/public/lots/lot/21000009460000000001_1/(lotInfo:info)", "21000009460000000001_1")</f>
        <v/>
      </c>
      <c r="E57" t="inlineStr">
        <is>
          <t>.</t>
        </is>
      </c>
      <c r="F57" s="3" t="n">
        <v>21305.84192439862</v>
      </c>
      <c r="G57" s="3" t="n">
        <v>620000</v>
      </c>
      <c r="H57" t="inlineStr">
        <is>
          <t>Респ Хакасия, г Абаза, ул Кулакова, д 3, помещ 101н</t>
        </is>
      </c>
      <c r="I57" t="inlineStr">
        <is>
          <t>12 07 22 10:00</t>
        </is>
      </c>
      <c r="J57" t="inlineStr">
        <is>
          <t>19:09:010103:969</t>
        </is>
      </c>
      <c r="L57" t="inlineStr">
        <is>
          <t>EA</t>
        </is>
      </c>
      <c r="M57" t="inlineStr">
        <is>
          <t>М</t>
        </is>
      </c>
      <c r="N57" s="2">
        <f>HYPERLINK("https://yandex.ru/maps/?&amp;text=52.649969, 90.085159", "52.649969, 90.085159")</f>
        <v/>
      </c>
      <c r="O57" t="n">
        <v>2299</v>
      </c>
      <c r="P57" s="7" t="n">
        <v>9.27</v>
      </c>
      <c r="R57" t="n">
        <v>2299</v>
      </c>
      <c r="S57" s="8" t="n">
        <v>9.27</v>
      </c>
    </row>
    <row r="58">
      <c r="A58" s="4" t="n">
        <v>59</v>
      </c>
      <c r="B58" t="inlineStr">
        <is>
          <t>26</t>
        </is>
      </c>
      <c r="C58" s="1" t="n">
        <v>104.8</v>
      </c>
      <c r="D58" s="2">
        <f>HYPERLINK("https://torgi.gov.ru/new/public/lots/lot/21000011380000000001_1/(lotInfo:info)", "21000011380000000001_1")</f>
        <v/>
      </c>
      <c r="E58" t="inlineStr">
        <is>
          <t>нежилые помещения расположенного в цокольном этаже по адресу:, (помещения 1-14)</t>
        </is>
      </c>
      <c r="F58" s="3" t="n">
        <v>14427.48091603053</v>
      </c>
      <c r="G58" s="3" t="n">
        <v>1512000</v>
      </c>
      <c r="H58" t="inlineStr">
        <is>
          <t>Ставропольский край, г Лермонтов, проезд Химиков, двлд 13</t>
        </is>
      </c>
      <c r="I58" t="inlineStr">
        <is>
          <t>15 07 22 07:00</t>
        </is>
      </c>
      <c r="J58" t="inlineStr">
        <is>
          <t xml:space="preserve">26:32:030202:179, </t>
        </is>
      </c>
      <c r="L58" t="inlineStr">
        <is>
          <t>EA</t>
        </is>
      </c>
      <c r="M58" t="inlineStr">
        <is>
          <t>М</t>
        </is>
      </c>
      <c r="N58" s="2">
        <f>HYPERLINK("https://yandex.ru/maps/?&amp;text=44.109623, 42.98381", "44.109623, 42.98381")</f>
        <v/>
      </c>
      <c r="O58" t="n">
        <v>2779</v>
      </c>
      <c r="P58" s="7" t="n">
        <v>5.19</v>
      </c>
      <c r="R58" t="n">
        <v>1888</v>
      </c>
      <c r="S58" s="8" t="n">
        <v>7.64</v>
      </c>
    </row>
    <row r="59">
      <c r="A59" s="4" t="n">
        <v>60</v>
      </c>
      <c r="B59" t="inlineStr">
        <is>
          <t>12</t>
        </is>
      </c>
      <c r="C59" s="1" t="n">
        <v>676.4</v>
      </c>
      <c r="D59" s="2">
        <f>HYPERLINK("https://torgi.gov.ru/new/public/lots/lot/21000004300000000002_1/(lotInfo:info)", "21000004300000000002_1")</f>
        <v/>
      </c>
      <c r="E59" t="inlineStr">
        <is>
          <t>Помещение, назначение: нежилое, этаж 1, номера на поэтажном плане поз. 1 - 13, 15 - 22местоположение:</t>
        </is>
      </c>
      <c r="F59" s="3" t="n">
        <v>8015.005913660556</v>
      </c>
      <c r="G59" s="3" t="n">
        <v>5421350</v>
      </c>
      <c r="H59" t="inlineStr">
        <is>
          <t>г Йошкар-Ола, ул Красноармейская, д 103А</t>
        </is>
      </c>
      <c r="I59" t="inlineStr">
        <is>
          <t>11 07 22 14:30</t>
        </is>
      </c>
      <c r="J59" t="inlineStr">
        <is>
          <t xml:space="preserve">12:05:0000000:12935, </t>
        </is>
      </c>
      <c r="L59" t="inlineStr">
        <is>
          <t>PP</t>
        </is>
      </c>
      <c r="M59" t="inlineStr">
        <is>
          <t>М</t>
        </is>
      </c>
      <c r="N59" s="2">
        <f>HYPERLINK("https://yandex.ru/maps/?&amp;text=56.645054, 47.863422", "56.645054, 47.863422")</f>
        <v/>
      </c>
      <c r="O59" t="n">
        <v>5619</v>
      </c>
      <c r="P59" s="7" t="n">
        <v>1.43</v>
      </c>
      <c r="R59" t="n">
        <v>5064</v>
      </c>
      <c r="S59" s="8" t="n">
        <v>1.58</v>
      </c>
    </row>
    <row r="60">
      <c r="A60" s="4" t="n">
        <v>61</v>
      </c>
      <c r="B60" t="inlineStr">
        <is>
          <t>27</t>
        </is>
      </c>
      <c r="C60" s="1" t="n">
        <v>313.3</v>
      </c>
      <c r="D60" s="2">
        <f>HYPERLINK("https://torgi.gov.ru/new/public/lots/lot/22000025880000000007_1/(lotInfo:info)", "22000025880000000007_1")</f>
        <v/>
      </c>
      <c r="E60" t="inlineStr">
        <is>
          <t>Функциональное нежилое помещение детской молочной кухни I (51-77) год постройки – 1979 , расположенное на 1 этаже 5-ти этажного жилого дома по  адресу:, состояние отделки неудовлетворительное, уровень износа 50,5%.</t>
        </is>
      </c>
      <c r="F60" s="3" t="n">
        <v>8016.262368337057</v>
      </c>
      <c r="G60" s="3" t="n">
        <v>2511495</v>
      </c>
      <c r="H60" t="inlineStr">
        <is>
          <t xml:space="preserve"> Хабаровский край, район имени Лазо, пос.Хор, ул.Менделеева, д. 2</t>
        </is>
      </c>
      <c r="I60" t="inlineStr">
        <is>
          <t>11 07 22 07:00</t>
        </is>
      </c>
      <c r="J60" t="inlineStr">
        <is>
          <t xml:space="preserve">27:08:0010335:1321, </t>
        </is>
      </c>
      <c r="L60" t="inlineStr">
        <is>
          <t>EA</t>
        </is>
      </c>
      <c r="M60" t="inlineStr">
        <is>
          <t>М</t>
        </is>
      </c>
      <c r="N60" s="5">
        <f>HYPERLINK("https://yandex.ru/maps/?&amp;text=47.900690, 134.951632", "47.900690, 134.951632")</f>
        <v/>
      </c>
      <c r="O60" t="n">
        <v>59</v>
      </c>
      <c r="P60" s="7" t="n">
        <v>135.87</v>
      </c>
      <c r="R60" t="n">
        <v>53</v>
      </c>
      <c r="S60" s="8" t="n">
        <v>151.25</v>
      </c>
    </row>
    <row r="61">
      <c r="A61" s="4" t="n">
        <v>62</v>
      </c>
      <c r="B61" t="inlineStr">
        <is>
          <t>2</t>
        </is>
      </c>
      <c r="C61" s="1" t="n">
        <v>283.7</v>
      </c>
      <c r="D61" s="2">
        <f>HYPERLINK("https://torgi.gov.ru/new/public/lots/lot/21000022850000000050_26/(lotInfo:info)", "21000022850000000050_26")</f>
        <v/>
      </c>
      <c r="E61" t="inlineStr">
        <is>
          <t>Лот№26(повторно): Нежилое помещение.,.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      </is>
      </c>
      <c r="F61" s="3" t="n">
        <v>11831.98801550934</v>
      </c>
      <c r="G61" s="3" t="n">
        <v>3356735</v>
      </c>
      <c r="H61" t="inlineStr">
        <is>
          <t>Респ Башкортостан, г Стерлитамак, ул Николаева, д 118А</t>
        </is>
      </c>
      <c r="I61" t="inlineStr">
        <is>
          <t>17 07 22 20:59</t>
        </is>
      </c>
      <c r="J61" t="inlineStr">
        <is>
          <t>02:56:040204:642</t>
        </is>
      </c>
      <c r="L61" t="inlineStr">
        <is>
          <t>EA</t>
        </is>
      </c>
      <c r="M61" t="inlineStr">
        <is>
          <t>Д</t>
        </is>
      </c>
      <c r="N61" s="2">
        <f>HYPERLINK("https://yandex.ru/maps/?&amp;text=53.645922, 55.932047", "53.645922, 55.932047")</f>
        <v/>
      </c>
      <c r="O61" t="n">
        <v>4359</v>
      </c>
      <c r="P61" s="7" t="n">
        <v>2.71</v>
      </c>
      <c r="R61" t="n">
        <v>4359</v>
      </c>
      <c r="S61" s="8" t="n">
        <v>2.71</v>
      </c>
    </row>
    <row r="62">
      <c r="A62" s="4" t="n">
        <v>63</v>
      </c>
      <c r="B62" t="inlineStr">
        <is>
          <t>77</t>
        </is>
      </c>
      <c r="C62" s="1" t="n">
        <v>54.3</v>
      </c>
      <c r="D62" s="2">
        <f>HYPERLINK("https://torgi.gov.ru/new/public/lots/lot/21000005000000002048_1/(lotInfo:info)", "21000005000000002048_1")</f>
        <v/>
      </c>
      <c r="E62" t="inlineStr">
        <is>
          <t>Продажа имущества, находящегося в собственности города Москвы, нежилое помещение по адресу:., Этаж № 1.</t>
        </is>
      </c>
      <c r="F62" s="3" t="n">
        <v>114749.5395948435</v>
      </c>
      <c r="G62" s="3" t="n">
        <v>6230900</v>
      </c>
      <c r="H62" t="inlineStr">
        <is>
          <t>г Москва, г Зеленоград, к 448</t>
        </is>
      </c>
      <c r="I62" t="inlineStr">
        <is>
          <t>13 07 22 12:00</t>
        </is>
      </c>
      <c r="J62" t="inlineStr">
        <is>
          <t>77:10:0000000:3341</t>
        </is>
      </c>
      <c r="L62" t="inlineStr">
        <is>
          <t>EA</t>
        </is>
      </c>
      <c r="M62" t="inlineStr">
        <is>
          <t>М</t>
        </is>
      </c>
      <c r="N62" s="2">
        <f>HYPERLINK("https://yandex.ru/maps/?&amp;text=55.990891, 37.208893", "55.990891, 37.208893")</f>
        <v/>
      </c>
      <c r="O62" t="n">
        <v>6985</v>
      </c>
      <c r="P62" s="7" t="n">
        <v>16.43</v>
      </c>
      <c r="R62" t="n">
        <v>6985</v>
      </c>
      <c r="S62" s="8" t="n">
        <v>16.43</v>
      </c>
    </row>
    <row r="63">
      <c r="A63" s="4" t="n">
        <v>64</v>
      </c>
      <c r="B63" t="inlineStr">
        <is>
          <t>21</t>
        </is>
      </c>
      <c r="C63" s="1" t="n">
        <v>150.6</v>
      </c>
      <c r="D63" s="2">
        <f>HYPERLINK("https://torgi.gov.ru/new/public/lots/lot/21000025550000000028_13/(lotInfo:info)", "21000025550000000028_13")</f>
        <v/>
      </c>
      <c r="E63" t="inlineStr">
        <is>
          <t>нежилое помещение, расположенное по адресу:</t>
        </is>
      </c>
      <c r="F63" s="3" t="n">
        <v>16566.62018592298</v>
      </c>
      <c r="G63" s="3" t="n">
        <v>2494933</v>
      </c>
      <c r="H63" t="inlineStr">
        <is>
          <t>г Чебоксары, ул Сельская, д 39, помещ 3</t>
        </is>
      </c>
      <c r="I63" t="inlineStr">
        <is>
          <t>04 07 22 14:00</t>
        </is>
      </c>
      <c r="J63" t="inlineStr">
        <is>
          <t>21:01:010103:1379</t>
        </is>
      </c>
      <c r="L63" t="inlineStr">
        <is>
          <t>EA</t>
        </is>
      </c>
      <c r="M63" t="inlineStr">
        <is>
          <t>Д</t>
        </is>
      </c>
      <c r="N63" s="2">
        <f>HYPERLINK("https://yandex.ru/maps/?&amp;text=56.15064, 47.183184", "56.15064, 47.183184")</f>
        <v/>
      </c>
      <c r="O63" t="n">
        <v>2412</v>
      </c>
      <c r="P63" s="7" t="n">
        <v>6.87</v>
      </c>
      <c r="R63" t="n">
        <v>4337</v>
      </c>
      <c r="S63" s="8" t="n">
        <v>3.82</v>
      </c>
    </row>
    <row r="64">
      <c r="A64" s="4" t="n">
        <v>65</v>
      </c>
      <c r="B64" t="inlineStr">
        <is>
          <t>69</t>
        </is>
      </c>
      <c r="C64" s="1" t="n">
        <v>89.8</v>
      </c>
      <c r="D64" s="2">
        <f>HYPERLINK("https://torgi.gov.ru/new/public/lots/lot/21000014400000000011_5/(lotInfo:info)", "21000014400000000011_5")</f>
        <v/>
      </c>
      <c r="E64" t="inlineStr">
        <is>
          <t>нежилое помещение на первом этаже пятиэтажного жилого дома</t>
        </is>
      </c>
      <c r="F64" s="3" t="n">
        <v>41406.00222717149</v>
      </c>
      <c r="G64" s="3" t="n">
        <v>3718259</v>
      </c>
      <c r="H64" t="inlineStr">
        <is>
          <t>г Тверь, ул Орджоникидзе, д 53 к 3</t>
        </is>
      </c>
      <c r="I64" t="inlineStr">
        <is>
          <t>19 07 22 14:00</t>
        </is>
      </c>
      <c r="J64" t="inlineStr">
        <is>
          <t>69:40:0200044:270</t>
        </is>
      </c>
      <c r="L64" t="inlineStr">
        <is>
          <t>EA</t>
        </is>
      </c>
      <c r="M64" t="inlineStr">
        <is>
          <t>М</t>
        </is>
      </c>
      <c r="N64" s="2">
        <f>HYPERLINK("https://yandex.ru/maps/?&amp;text=56.830615, 35.924491", "56.830615, 35.924491")</f>
        <v/>
      </c>
      <c r="O64" t="n">
        <v>2478</v>
      </c>
      <c r="P64" s="7" t="n">
        <v>16.71</v>
      </c>
      <c r="R64" t="n">
        <v>2478</v>
      </c>
      <c r="S64" s="8" t="n">
        <v>16.71</v>
      </c>
    </row>
    <row r="65">
      <c r="A65" s="4" t="n">
        <v>66</v>
      </c>
      <c r="B65" t="inlineStr">
        <is>
          <t>21</t>
        </is>
      </c>
      <c r="C65" s="1" t="n">
        <v>401.1</v>
      </c>
      <c r="D65" s="2">
        <f>HYPERLINK("https://torgi.gov.ru/new/public/lots/lot/22000030000000000021_1/(lotInfo:info)", "22000030000000000021_1")</f>
        <v/>
      </c>
      <c r="E65" t="inlineStr">
        <is>
          <t>Муниципальное имущество Яльчикского района, расположенное по адресу:, пом. 1 и являющееся казной Яльчикского района:помещение  . запись о регистрации права собственности № 21:25:180308:517-21/042/2021-1 от  23.12.2021.</t>
        </is>
      </c>
      <c r="F65" s="3" t="n">
        <v>1486.499626028422</v>
      </c>
      <c r="G65" s="3" t="n">
        <v>596235</v>
      </c>
      <c r="H65" t="inlineStr">
        <is>
          <t>Чувашская республика - Чувашия, село Яльчики, ул Советская, влд 19</t>
        </is>
      </c>
      <c r="I65" t="inlineStr">
        <is>
          <t>05 07 22 20:30</t>
        </is>
      </c>
      <c r="J65" t="inlineStr">
        <is>
          <t xml:space="preserve">21:25:180308:517, </t>
        </is>
      </c>
      <c r="L65" t="inlineStr">
        <is>
          <t>PP</t>
        </is>
      </c>
      <c r="M65" t="inlineStr">
        <is>
          <t>М</t>
        </is>
      </c>
      <c r="N65" s="2">
        <f>HYPERLINK("https://yandex.ru/maps/?&amp;text=55.161923, 48.002807", "55.161923, 48.002807")</f>
        <v/>
      </c>
      <c r="O65" t="n">
        <v>303</v>
      </c>
      <c r="P65" s="7" t="n">
        <v>4.91</v>
      </c>
      <c r="R65" t="n">
        <v>258</v>
      </c>
      <c r="S65" s="8" t="n">
        <v>5.76</v>
      </c>
    </row>
    <row r="66">
      <c r="A66" s="4" t="n">
        <v>67</v>
      </c>
      <c r="B66" t="inlineStr">
        <is>
          <t>23</t>
        </is>
      </c>
      <c r="C66" s="1" t="n">
        <v>449.4</v>
      </c>
      <c r="D66" s="2">
        <f>HYPERLINK("https://torgi.gov.ru/new/public/lots/lot/22000010840000000002_1/(lotInfo:info)", "22000010840000000002_1")</f>
        <v/>
      </c>
      <c r="E66" t="inlineStr">
        <is>
          <t>, находящееся по адресу:</t>
        </is>
      </c>
      <c r="F66" s="3" t="n">
        <v>4533.044058744994</v>
      </c>
      <c r="G66" s="3" t="n">
        <v>2037150</v>
      </c>
      <c r="H66" t="inlineStr">
        <is>
          <t>Краснодарский край, Тихорецкий р-н, ст-ца Фастовецкая, ул Азина, д 59</t>
        </is>
      </c>
      <c r="I66" t="inlineStr">
        <is>
          <t>06 07 22 15:00</t>
        </is>
      </c>
      <c r="J66" t="inlineStr">
        <is>
          <t xml:space="preserve">23:32:0302006:1142, </t>
        </is>
      </c>
      <c r="L66" t="inlineStr">
        <is>
          <t>EA</t>
        </is>
      </c>
      <c r="M66" t="inlineStr">
        <is>
          <t>М</t>
        </is>
      </c>
      <c r="N66" s="2">
        <f>HYPERLINK("https://yandex.ru/maps/?&amp;text=45.9165001, 40.1523854", "45.9165001, 40.1523854")</f>
        <v/>
      </c>
      <c r="O66" t="n">
        <v>1477</v>
      </c>
      <c r="P66" s="7" t="n">
        <v>3.07</v>
      </c>
      <c r="R66" t="n">
        <v>911</v>
      </c>
      <c r="S66" s="8" t="n">
        <v>4.98</v>
      </c>
    </row>
    <row r="67">
      <c r="A67" s="4" t="n">
        <v>68</v>
      </c>
      <c r="B67" t="inlineStr">
        <is>
          <t>43</t>
        </is>
      </c>
      <c r="C67" s="1" t="n">
        <v>273.5</v>
      </c>
      <c r="D67" s="2">
        <f>HYPERLINK("https://torgi.gov.ru/new/public/lots/lot/22000110650000000001_1/(lotInfo:info)", "22000110650000000001_1")</f>
        <v/>
      </c>
      <c r="E67" t="inlineStr">
        <is>
          <t>Нежилое помещение, количество этажей: 1., год завершения строительства: 1954г.</t>
        </is>
      </c>
      <c r="F67" s="3" t="n">
        <v>2298.833638025594</v>
      </c>
      <c r="G67" s="3" t="n">
        <v>628731</v>
      </c>
      <c r="H67" t="inlineStr">
        <is>
          <t>Кировская обл, Оричевский р-н, поселок Зенгино, ул Производственная, д 3, помещ 1002</t>
        </is>
      </c>
      <c r="I67" t="inlineStr">
        <is>
          <t>28 06 22 05:00</t>
        </is>
      </c>
      <c r="J67" t="inlineStr">
        <is>
          <t>43:24:330402:596</t>
        </is>
      </c>
      <c r="L67" t="inlineStr">
        <is>
          <t>EA</t>
        </is>
      </c>
      <c r="M67" t="inlineStr">
        <is>
          <t>М</t>
        </is>
      </c>
      <c r="N67" s="2">
        <f>HYPERLINK("https://yandex.ru/maps/?&amp;text=58.497129, 49.025862", "58.497129, 49.025862")</f>
        <v/>
      </c>
      <c r="O67" t="n">
        <v>176</v>
      </c>
      <c r="P67" s="7" t="n">
        <v>13.06</v>
      </c>
      <c r="R67" t="n">
        <v>146</v>
      </c>
      <c r="S67" s="8" t="n">
        <v>15.75</v>
      </c>
    </row>
    <row r="68">
      <c r="A68" s="4" t="n">
        <v>69</v>
      </c>
      <c r="B68" t="inlineStr">
        <is>
          <t>57</t>
        </is>
      </c>
      <c r="C68" s="1" t="n">
        <v>89.5</v>
      </c>
      <c r="D68" s="2">
        <f>HYPERLINK("https://torgi.gov.ru/new/public/lots/lot/22000057140000000005_1/(lotInfo:info)", "22000057140000000005_1")</f>
        <v/>
      </c>
      <c r="E68" t="inlineStr">
        <is>
          <t>Нежилое помещение, назначение: нежилое помещение, количество этажей 1.адрес объекта:.</t>
        </is>
      </c>
      <c r="F68" s="3" t="n">
        <v>16502.79329608938</v>
      </c>
      <c r="G68" s="3" t="n">
        <v>1477000</v>
      </c>
      <c r="H68" t="inlineStr">
        <is>
          <t>Орловская обл, г Ливны, ул Карла Маркса, д 117, помещ 5</t>
        </is>
      </c>
      <c r="I68" t="inlineStr">
        <is>
          <t>12 07 22 20:59</t>
        </is>
      </c>
      <c r="J68" t="inlineStr">
        <is>
          <t xml:space="preserve">57:26:0010216:698, </t>
        </is>
      </c>
      <c r="L68" t="inlineStr">
        <is>
          <t>EA</t>
        </is>
      </c>
      <c r="M68" t="inlineStr">
        <is>
          <t>М</t>
        </is>
      </c>
      <c r="N68" s="2">
        <f>HYPERLINK("https://yandex.ru/maps/?&amp;text=52.42687, 37.610188", "52.42687, 37.610188")</f>
        <v/>
      </c>
      <c r="O68" t="n">
        <v>1216</v>
      </c>
      <c r="P68" s="7" t="n">
        <v>13.57</v>
      </c>
      <c r="R68" t="n">
        <v>1947</v>
      </c>
      <c r="S68" s="8" t="n">
        <v>8.48</v>
      </c>
    </row>
    <row r="69">
      <c r="A69" s="4" t="n">
        <v>70</v>
      </c>
      <c r="B69" t="inlineStr">
        <is>
          <t>28</t>
        </is>
      </c>
      <c r="C69" s="1" t="n">
        <v>420.3</v>
      </c>
      <c r="D69" s="2">
        <f>HYPERLINK("https://torgi.gov.ru/new/public/lots/lot/21000034110000000003_1/(lotInfo:info)", "21000034110000000003_1")</f>
        <v/>
      </c>
      <c r="E69" t="inlineStr">
        <is>
          <t>Помещение, нежилое, расположенное по адресу:.</t>
        </is>
      </c>
      <c r="F69" s="3" t="n">
        <v>2879.000713775874</v>
      </c>
      <c r="G69" s="3" t="n">
        <v>1210044</v>
      </c>
      <c r="H69" t="inlineStr">
        <is>
          <t>Амурская обл, село Константиновка, ул Советская, зд 116А</t>
        </is>
      </c>
      <c r="I69" t="inlineStr">
        <is>
          <t>11 07 22 08:00</t>
        </is>
      </c>
      <c r="J69" t="inlineStr">
        <is>
          <t>28:15:011358:95</t>
        </is>
      </c>
      <c r="L69" t="inlineStr">
        <is>
          <t>EA</t>
        </is>
      </c>
      <c r="M69" t="inlineStr">
        <is>
          <t>М</t>
        </is>
      </c>
      <c r="N69" s="2">
        <f>HYPERLINK("https://yandex.ru/maps/?&amp;text=49.606242, 128.005984", "49.606242, 128.005984")</f>
        <v/>
      </c>
      <c r="O69" t="n">
        <v>339</v>
      </c>
      <c r="P69" s="7" t="n">
        <v>8.49</v>
      </c>
      <c r="R69" t="n">
        <v>377</v>
      </c>
      <c r="S69" s="8" t="n">
        <v>7.64</v>
      </c>
    </row>
    <row r="70">
      <c r="A70" s="4" t="n">
        <v>71</v>
      </c>
      <c r="B70" t="inlineStr">
        <is>
          <t>36</t>
        </is>
      </c>
      <c r="C70" s="1" t="n">
        <v>28.7</v>
      </c>
      <c r="D70" s="2">
        <f>HYPERLINK("https://torgi.gov.ru/new/public/lots/lot/22000022930000000029_10/(lotInfo:info)", "22000022930000000029_10")</f>
        <v/>
      </c>
      <c r="E70" t="inlineStr">
        <is>
          <t>Нежилое помещение, назначение: нежилое, этаж № 1расположенное по адресу:. Свободное</t>
        </is>
      </c>
      <c r="F70" s="3" t="n">
        <v>26858.29268292683</v>
      </c>
      <c r="G70" s="3" t="n">
        <v>770833</v>
      </c>
      <c r="H70" t="inlineStr">
        <is>
          <t>г Воронеж, ул Революции 1905 года, д 16, помещ 4</t>
        </is>
      </c>
      <c r="I70" t="inlineStr">
        <is>
          <t>08 07 22 13:00</t>
        </is>
      </c>
      <c r="J70" t="inlineStr">
        <is>
          <t xml:space="preserve">36:34:0606001:481, </t>
        </is>
      </c>
      <c r="L70" t="inlineStr">
        <is>
          <t>EA</t>
        </is>
      </c>
      <c r="M70" t="inlineStr">
        <is>
          <t>М</t>
        </is>
      </c>
      <c r="N70" s="2">
        <f>HYPERLINK("https://yandex.ru/maps/?&amp;text=51.673546, 39.197495", "51.673546, 39.197495")</f>
        <v/>
      </c>
      <c r="O70" t="n">
        <v>5048</v>
      </c>
      <c r="P70" s="7" t="n">
        <v>5.32</v>
      </c>
      <c r="R70" t="n">
        <v>5048</v>
      </c>
      <c r="S70" s="8" t="n">
        <v>5.32</v>
      </c>
    </row>
    <row r="71">
      <c r="A71" s="4" t="n">
        <v>72</v>
      </c>
      <c r="B71" t="inlineStr">
        <is>
          <t>14</t>
        </is>
      </c>
      <c r="C71" s="1" t="n">
        <v>116.9</v>
      </c>
      <c r="D71" s="2">
        <f>HYPERLINK("https://torgi.gov.ru/new/public/lots/lot/21000014540000000031_4/(lotInfo:info)", "21000014540000000031_4")</f>
        <v/>
      </c>
      <c r="E71" t="inlineStr">
        <is>
          <t>Нежилое помещение.адрес:. Собственник Егорова М.А.</t>
        </is>
      </c>
      <c r="F71" s="3" t="n">
        <v>32676.64670658682</v>
      </c>
      <c r="G71" s="3" t="n">
        <v>3819900</v>
      </c>
      <c r="H71" t="inlineStr">
        <is>
          <t>г Якутск, ул Жорницкого, д 7/10А</t>
        </is>
      </c>
      <c r="I71" t="inlineStr">
        <is>
          <t>21 06 22 09:00</t>
        </is>
      </c>
      <c r="J71" t="inlineStr">
        <is>
          <t xml:space="preserve">14:36:104003:5003, </t>
        </is>
      </c>
      <c r="L71" t="inlineStr">
        <is>
          <t>EA</t>
        </is>
      </c>
      <c r="M71" t="inlineStr">
        <is>
          <t>Д</t>
        </is>
      </c>
      <c r="N71" s="2">
        <f>HYPERLINK("https://yandex.ru/maps/?&amp;text=62.05524, 129.721371", "62.05524, 129.721371")</f>
        <v/>
      </c>
      <c r="O71" t="n">
        <v>3000</v>
      </c>
      <c r="P71" s="7" t="n">
        <v>10.89</v>
      </c>
      <c r="R71" t="n">
        <v>3000</v>
      </c>
      <c r="S71" s="8" t="n">
        <v>10.89</v>
      </c>
    </row>
    <row r="72">
      <c r="A72" s="4" t="n">
        <v>73</v>
      </c>
      <c r="B72" t="inlineStr">
        <is>
          <t>39</t>
        </is>
      </c>
      <c r="C72" s="1" t="n">
        <v>121.8</v>
      </c>
      <c r="D72" s="2">
        <f>HYPERLINK("https://torgi.gov.ru/new/public/lots/lot/21000029430000000015_16/(lotInfo:info)", "21000029430000000015_16")</f>
        <v/>
      </c>
      <c r="E72" t="inlineStr">
        <is>
          <t>Нежилое помещениеэтаж № 1</t>
        </is>
      </c>
      <c r="F72" s="3" t="n">
        <v>33424.40065681445</v>
      </c>
      <c r="G72" s="3" t="n">
        <v>4071092</v>
      </c>
      <c r="H72" t="inlineStr">
        <is>
          <t>г Калининград, ул Аксакова, д 131, помещ 13</t>
        </is>
      </c>
      <c r="I72" t="inlineStr">
        <is>
          <t>15 07 22 07:00</t>
        </is>
      </c>
      <c r="J72" t="inlineStr">
        <is>
          <t xml:space="preserve">39:15:133003:78, </t>
        </is>
      </c>
      <c r="L72" t="inlineStr">
        <is>
          <t>EA</t>
        </is>
      </c>
      <c r="M72" t="inlineStr">
        <is>
          <t>Д</t>
        </is>
      </c>
      <c r="N72">
        <f>HYPERLINK("https://yandex.ru/maps/?&amp;text=54.711868, 20.58202", "54.711868, 20.58202")</f>
        <v/>
      </c>
      <c r="O72" t="n">
        <v>1243</v>
      </c>
      <c r="P72" s="7" t="n">
        <v>26.89</v>
      </c>
      <c r="R72" t="n">
        <v>1243</v>
      </c>
      <c r="S72" s="8" t="n">
        <v>26.89</v>
      </c>
    </row>
    <row r="73">
      <c r="A73" s="4" t="n">
        <v>74</v>
      </c>
      <c r="B73" t="inlineStr">
        <is>
          <t>43</t>
        </is>
      </c>
      <c r="C73" s="1" t="n">
        <v>291</v>
      </c>
      <c r="D73" s="2">
        <f>HYPERLINK("https://torgi.gov.ru/new/public/lots/lot/22000006140000000033_1/(lotInfo:info)", "22000006140000000033_1")</f>
        <v/>
      </c>
      <c r="E73" t="inlineStr">
        <is>
          <t>помещение, назначение: нежилое, этаж цокольный, расположенное по адресу:, пом. 5:33:407:001:017067430:0100:20005</t>
        </is>
      </c>
      <c r="F73" s="3" t="n">
        <v>2852.233676975945</v>
      </c>
      <c r="G73" s="3" t="n">
        <v>830000</v>
      </c>
      <c r="H73" t="inlineStr">
        <is>
          <t>Кировская обл, г Кирово-Чепецк, ул Сосновая, д 3 к 2</t>
        </is>
      </c>
      <c r="I73" t="inlineStr">
        <is>
          <t>13 07 22 20:00</t>
        </is>
      </c>
      <c r="J73" t="inlineStr">
        <is>
          <t>43:42:000057:0012</t>
        </is>
      </c>
      <c r="L73" t="inlineStr">
        <is>
          <t>BOC</t>
        </is>
      </c>
      <c r="M73" t="inlineStr">
        <is>
          <t>М</t>
        </is>
      </c>
      <c r="N73" s="2">
        <f>HYPERLINK("https://yandex.ru/maps/?&amp;text=58.540024, 50.030798", "58.540024, 50.030798")</f>
        <v/>
      </c>
      <c r="O73" t="n">
        <v>139</v>
      </c>
      <c r="P73" s="7" t="n">
        <v>20.52</v>
      </c>
      <c r="R73" t="n">
        <v>1108</v>
      </c>
      <c r="S73" s="8" t="n">
        <v>2.57</v>
      </c>
    </row>
    <row r="74">
      <c r="A74" s="4" t="n">
        <v>75</v>
      </c>
      <c r="B74" t="inlineStr">
        <is>
          <t>68</t>
        </is>
      </c>
      <c r="C74" s="1" t="n">
        <v>95.59999999999999</v>
      </c>
      <c r="D74" s="2">
        <f>HYPERLINK("https://torgi.gov.ru/new/public/lots/lot/22000109930000000001_1/(lotInfo:info)", "22000109930000000001_1")</f>
        <v/>
      </c>
      <c r="E74" t="inlineStr">
        <is>
          <t>. Этаж: 1. Адрес (местоположение):.</t>
        </is>
      </c>
      <c r="F74" s="3" t="n">
        <v>11998.74476987448</v>
      </c>
      <c r="G74" s="3" t="n">
        <v>1147080</v>
      </c>
      <c r="H74" t="inlineStr">
        <is>
          <t>Тамбовская обл, г Кирсанов, ул Коммунистическая, д 29а, помещ 1</t>
        </is>
      </c>
      <c r="I74" t="inlineStr">
        <is>
          <t>08 07 22 14:00</t>
        </is>
      </c>
      <c r="J74" t="inlineStr">
        <is>
          <t>68:24:0100017:397</t>
        </is>
      </c>
      <c r="L74" t="inlineStr">
        <is>
          <t>EA</t>
        </is>
      </c>
      <c r="M74" t="inlineStr">
        <is>
          <t>М</t>
        </is>
      </c>
      <c r="N74" s="2">
        <f>HYPERLINK("https://yandex.ru/maps/?&amp;text=52.649563, 42.726326", "52.649563, 42.726326")</f>
        <v/>
      </c>
      <c r="O74" t="n">
        <v>2863</v>
      </c>
      <c r="P74" s="7" t="n">
        <v>4.19</v>
      </c>
      <c r="R74" t="n">
        <v>2231</v>
      </c>
      <c r="S74" s="8" t="n">
        <v>5.38</v>
      </c>
    </row>
    <row r="75">
      <c r="A75" s="4" t="n">
        <v>76</v>
      </c>
      <c r="B75" t="inlineStr">
        <is>
          <t>58</t>
        </is>
      </c>
      <c r="C75" s="1" t="n">
        <v>137.6</v>
      </c>
      <c r="D75" s="2">
        <f>HYPERLINK("https://torgi.gov.ru/new/public/lots/lot/22000072770000000002_1/(lotInfo:info)", "22000072770000000002_1")</f>
        <v/>
      </c>
      <c r="E75" t="inlineStr">
        <is>
          <t>нежилое зданиеадрес (местонахождение) объекта:, 1990 год постройки;земельный участок .адрес (местонахождение) объекта: Пензенская область, Спасский район, г. Спасск, ул. Красная, д.34, категория земель: земли населённых пунктов.</t>
        </is>
      </c>
      <c r="F75" s="3" t="n">
        <v>8997.093023255815</v>
      </c>
      <c r="G75" s="3" t="n">
        <v>1238000</v>
      </c>
      <c r="H75" t="inlineStr">
        <is>
          <t>Пензенская обл, г Спасск, ул Красная, влд 34</t>
        </is>
      </c>
      <c r="I75" t="inlineStr">
        <is>
          <t>01 07 22 14:00</t>
        </is>
      </c>
      <c r="J75" t="inlineStr">
        <is>
          <t xml:space="preserve">58:02:0240117:61 </t>
        </is>
      </c>
      <c r="L75" t="inlineStr">
        <is>
          <t>EA</t>
        </is>
      </c>
      <c r="M75" t="inlineStr">
        <is>
          <t>М</t>
        </is>
      </c>
      <c r="N75" s="2">
        <f>HYPERLINK("https://yandex.ru/maps/?&amp;text=53.932034, 43.188663", "53.932034, 43.188663")</f>
        <v/>
      </c>
      <c r="O75" t="n">
        <v>869</v>
      </c>
      <c r="P75" s="7" t="n">
        <v>10.35</v>
      </c>
      <c r="R75" t="n">
        <v>1175</v>
      </c>
      <c r="S75" s="8" t="n">
        <v>7.66</v>
      </c>
    </row>
    <row r="76">
      <c r="A76" s="4" t="n">
        <v>77</v>
      </c>
      <c r="B76" t="inlineStr">
        <is>
          <t>38</t>
        </is>
      </c>
      <c r="C76" s="1" t="n">
        <v>99.2</v>
      </c>
      <c r="D76" s="2">
        <f>HYPERLINK("https://torgi.gov.ru/new/public/lots/lot/21000030270000000003_1/(lotInfo:info)", "21000030270000000003_1")</f>
        <v/>
      </c>
      <c r="E76" t="inlineStr">
        <is>
          <t>Нежилое помещение ., находится в цокольном этаже многоквартирного панельного жилого дома. Требуется ремонт помещения.</t>
        </is>
      </c>
      <c r="F76" s="3" t="n">
        <v>20461.35080645161</v>
      </c>
      <c r="G76" s="3" t="n">
        <v>2029766</v>
      </c>
      <c r="H76" t="inlineStr">
        <is>
          <t>Иркутская обл, г Бодайбо, ул Карла Либкнехта, д 54, помещ 7</t>
        </is>
      </c>
      <c r="I76" t="inlineStr">
        <is>
          <t>04 07 22 09:00</t>
        </is>
      </c>
      <c r="J76" t="inlineStr">
        <is>
          <t>38:22:000054:1204</t>
        </is>
      </c>
      <c r="L76" t="inlineStr">
        <is>
          <t>EA</t>
        </is>
      </c>
      <c r="M76" t="inlineStr">
        <is>
          <t>М</t>
        </is>
      </c>
      <c r="N76" s="2">
        <f>HYPERLINK("https://yandex.ru/maps/?&amp;text=57.848919, 114.19763", "57.848919, 114.19763")</f>
        <v/>
      </c>
      <c r="O76" t="n">
        <v>2335</v>
      </c>
      <c r="P76" s="7" t="n">
        <v>8.76</v>
      </c>
      <c r="R76" t="n">
        <v>2335</v>
      </c>
      <c r="S76" s="8" t="n">
        <v>8.76</v>
      </c>
    </row>
    <row r="77">
      <c r="A77" s="4" t="n">
        <v>78</v>
      </c>
      <c r="B77" t="inlineStr">
        <is>
          <t>35</t>
        </is>
      </c>
      <c r="C77" s="1" t="n">
        <v>989</v>
      </c>
      <c r="D77" s="2">
        <f>HYPERLINK("https://torgi.gov.ru/new/public/lots/lot/22000003620000000002_1/(lotInfo:info)", "22000003620000000002_1")</f>
        <v/>
      </c>
      <c r="E77" t="inlineStr">
        <is>
          <t>Нежилое помещение ., состоящее из 3-х помещений (частей):- помещение ., помещение ., и помещение площадью 112,5 кв.</t>
        </is>
      </c>
      <c r="F77" s="3" t="n">
        <v>4620.829120323559</v>
      </c>
      <c r="G77" s="3" t="n">
        <v>4570000</v>
      </c>
      <c r="H77" t="inlineStr">
        <is>
          <t>Вологодская обл, г Бабаево, ул Ухтомского, д 21А, помещ 2</t>
        </is>
      </c>
      <c r="I77" t="inlineStr">
        <is>
          <t>01 07 22 21:00</t>
        </is>
      </c>
      <c r="J77" t="inlineStr">
        <is>
          <t xml:space="preserve">35:02:0103024:84, </t>
        </is>
      </c>
      <c r="L77" t="inlineStr">
        <is>
          <t>EA</t>
        </is>
      </c>
      <c r="M77" t="inlineStr">
        <is>
          <t>М</t>
        </is>
      </c>
      <c r="N77" s="2">
        <f>HYPERLINK("https://yandex.ru/maps/?&amp;text=59.386623, 35.951523", "59.386623, 35.951523")</f>
        <v/>
      </c>
      <c r="O77" t="n">
        <v>425</v>
      </c>
      <c r="P77" s="7" t="n">
        <v>10.87</v>
      </c>
      <c r="R77" t="n">
        <v>425</v>
      </c>
      <c r="S77" s="8" t="n">
        <v>10.87</v>
      </c>
    </row>
    <row r="78">
      <c r="A78" s="4" t="n">
        <v>79</v>
      </c>
      <c r="B78" t="inlineStr">
        <is>
          <t>47</t>
        </is>
      </c>
      <c r="C78" s="1" t="n">
        <v>122.23</v>
      </c>
      <c r="D78" s="2">
        <f>HYPERLINK("https://torgi.gov.ru/new/public/lots/lot/21000029540000000001_1/(lotInfo:info)", "21000029540000000001_1")</f>
        <v/>
      </c>
      <c r="E78" t="inlineStr">
        <is>
          <t>нежилое помещение . по адресу:</t>
        </is>
      </c>
      <c r="F78" s="3" t="n">
        <v>42361.94878507731</v>
      </c>
      <c r="G78" s="3" t="n">
        <v>5177901</v>
      </c>
      <c r="H78" t="inlineStr">
        <is>
          <t>Ленинградская обл, Волховский р-н, г Новая Ладога, пр-кт Карла Маркса, д 22</t>
        </is>
      </c>
      <c r="I78" t="inlineStr">
        <is>
          <t>29 06 22 07:59</t>
        </is>
      </c>
      <c r="J78" t="inlineStr">
        <is>
          <t>47:11:0101034:67</t>
        </is>
      </c>
      <c r="L78" t="inlineStr">
        <is>
          <t>EA</t>
        </is>
      </c>
      <c r="M78" t="inlineStr">
        <is>
          <t>М</t>
        </is>
      </c>
      <c r="N78" s="2">
        <f>HYPERLINK("https://yandex.ru/maps/?&amp;text=60.104836, 32.313137", "60.104836, 32.313137")</f>
        <v/>
      </c>
      <c r="O78" t="n">
        <v>402</v>
      </c>
      <c r="P78" s="7" t="n">
        <v>105.38</v>
      </c>
      <c r="R78" t="n">
        <v>402</v>
      </c>
      <c r="S78" s="8" t="n">
        <v>105.38</v>
      </c>
    </row>
    <row r="79">
      <c r="A79" s="4" t="n">
        <v>80</v>
      </c>
      <c r="B79" t="inlineStr">
        <is>
          <t>47</t>
        </is>
      </c>
      <c r="C79" s="1" t="n">
        <v>19.6</v>
      </c>
      <c r="D79" s="2">
        <f>HYPERLINK("https://torgi.gov.ru/new/public/lots/lot/22000031890000000003_1/(lotInfo:info)", "22000031890000000003_1")</f>
        <v/>
      </c>
      <c r="E79" t="inlineStr">
        <is>
          <t>Описание имущества в приложенном файле: «Описание имущества»</t>
        </is>
      </c>
      <c r="F79" s="3" t="n">
        <v>38877.55102040816</v>
      </c>
      <c r="G79" s="3" t="n">
        <v>762000</v>
      </c>
      <c r="H79" t="inlineStr">
        <is>
          <t>Ленинградская обл, Ломоносовский р-н, деревня Горбунки, д 9, помещ 1</t>
        </is>
      </c>
      <c r="I79" t="inlineStr">
        <is>
          <t>06 06 22 20:59</t>
        </is>
      </c>
      <c r="J79" t="inlineStr">
        <is>
          <t>47:14:0413001:2543</t>
        </is>
      </c>
      <c r="L79" t="inlineStr">
        <is>
          <t>EA</t>
        </is>
      </c>
      <c r="M79" t="inlineStr">
        <is>
          <t>М</t>
        </is>
      </c>
      <c r="N79">
        <f>HYPERLINK("https://yandex.ru/maps/?&amp;text=59.813889, 29.982126", "59.813889, 29.982126")</f>
        <v/>
      </c>
      <c r="O79" t="n">
        <v>145</v>
      </c>
      <c r="P79" s="7" t="n">
        <v>268.12</v>
      </c>
      <c r="R79" t="n">
        <v>155</v>
      </c>
      <c r="S79" s="8" t="n">
        <v>250.82</v>
      </c>
    </row>
    <row r="80">
      <c r="A80" s="4" t="n">
        <v>81</v>
      </c>
      <c r="B80" t="inlineStr">
        <is>
          <t>71</t>
        </is>
      </c>
      <c r="C80" s="1" t="n">
        <v>164.6</v>
      </c>
      <c r="D80" s="2">
        <f>HYPERLINK("https://torgi.gov.ru/new/public/lots/lot/21000018800000000009_1/(lotInfo:info)", "21000018800000000009_1")</f>
        <v/>
      </c>
      <c r="E80" t="inlineStr">
        <is>
          <t>Нежилое помещение, этаж 1,</t>
        </is>
      </c>
      <c r="F80" s="3" t="n">
        <v>7671.719319562576</v>
      </c>
      <c r="G80" s="3" t="n">
        <v>1262765</v>
      </c>
      <c r="H80" t="inlineStr">
        <is>
          <t>Тульская обл, Ленинский р-н, поселок Барсуки, ул Клубная, д 5, помещ 1</t>
        </is>
      </c>
      <c r="I80" t="inlineStr">
        <is>
          <t>29 06 22 21:00</t>
        </is>
      </c>
      <c r="J80" t="inlineStr">
        <is>
          <t xml:space="preserve">71:14:010901:1099 </t>
        </is>
      </c>
      <c r="L80" t="inlineStr">
        <is>
          <t>PP</t>
        </is>
      </c>
      <c r="M80" t="inlineStr">
        <is>
          <t>М</t>
        </is>
      </c>
      <c r="N80" s="2">
        <f>HYPERLINK("https://yandex.ru/maps/?&amp;text=54.265112, 37.486293", "54.265112, 37.486293")</f>
        <v/>
      </c>
      <c r="O80" t="n">
        <v>435</v>
      </c>
      <c r="P80" s="7" t="n">
        <v>17.64</v>
      </c>
      <c r="R80" t="n">
        <v>459</v>
      </c>
      <c r="S80" s="8" t="n">
        <v>16.71</v>
      </c>
    </row>
    <row r="81">
      <c r="A81" s="4" t="n">
        <v>82</v>
      </c>
      <c r="B81" t="inlineStr">
        <is>
          <t>33</t>
        </is>
      </c>
      <c r="C81" s="1" t="n">
        <v>467.8</v>
      </c>
      <c r="D81" s="2">
        <f>HYPERLINK("https://torgi.gov.ru/new/public/lots/lot/22000112030000000001_1/(lotInfo:info)", "22000112030000000001_1")</f>
        <v/>
      </c>
      <c r="E81" t="inlineStr">
        <is>
          <t>нежилое помещение, расположенное по адресу:.</t>
        </is>
      </c>
      <c r="F81" s="3" t="n">
        <v>3420.265070542967</v>
      </c>
      <c r="G81" s="3" t="n">
        <v>1600000</v>
      </c>
      <c r="H81" t="inlineStr">
        <is>
          <t>Владимирская обл, г Ковров, ул Запольная 2-я, д 4</t>
        </is>
      </c>
      <c r="I81" t="inlineStr">
        <is>
          <t>04 07 22 14:00</t>
        </is>
      </c>
      <c r="J81" t="inlineStr">
        <is>
          <t>33:20:014728:41</t>
        </is>
      </c>
      <c r="L81" t="inlineStr">
        <is>
          <t>EA</t>
        </is>
      </c>
      <c r="M81" t="inlineStr">
        <is>
          <t>М</t>
        </is>
      </c>
      <c r="N81" s="2">
        <f>HYPERLINK("https://yandex.ru/maps/?&amp;text=56.34432, 41.295544", "56.34432, 41.295544")</f>
        <v/>
      </c>
      <c r="O81" t="n">
        <v>3414</v>
      </c>
      <c r="P81" s="7" t="n">
        <v>1</v>
      </c>
      <c r="R81" t="n">
        <v>3414</v>
      </c>
      <c r="S81" s="8" t="n">
        <v>1</v>
      </c>
    </row>
    <row r="82">
      <c r="A82" s="4" t="n">
        <v>83</v>
      </c>
      <c r="B82" t="inlineStr">
        <is>
          <t>70</t>
        </is>
      </c>
      <c r="C82" s="1" t="n">
        <v>62.9</v>
      </c>
      <c r="D82" s="2">
        <f>HYPERLINK("https://torgi.gov.ru/new/public/lots/lot/21000012290000000007_4/(lotInfo:info)", "21000012290000000007_4")</f>
        <v/>
      </c>
      <c r="E82" t="inlineStr">
        <is>
          <t>.Год постройки: 1955; фундамент бетонный; стены деревянные; имеется отопление, водопровод канализация, электроснабжение</t>
        </is>
      </c>
      <c r="F82" s="3" t="n">
        <v>12337.04292527822</v>
      </c>
      <c r="G82" s="3" t="n">
        <v>776000</v>
      </c>
      <c r="H82" t="inlineStr">
        <is>
          <t>Томская обл, г Северск, ул Советская, д 9, помещ 1</t>
        </is>
      </c>
      <c r="I82" t="inlineStr">
        <is>
          <t>01 07 22 06:00</t>
        </is>
      </c>
      <c r="J82" t="inlineStr">
        <is>
          <t>70:22:0010103:4116</t>
        </is>
      </c>
      <c r="L82" t="inlineStr">
        <is>
          <t>EA</t>
        </is>
      </c>
      <c r="M82" t="inlineStr">
        <is>
          <t>М</t>
        </is>
      </c>
      <c r="N82" s="2">
        <f>HYPERLINK("https://yandex.ru/maps/?&amp;text=56.606663, 84.8876", "56.606663, 84.8876")</f>
        <v/>
      </c>
      <c r="O82" t="n">
        <v>3470</v>
      </c>
      <c r="P82" s="7" t="n">
        <v>3.56</v>
      </c>
      <c r="R82" t="n">
        <v>3569</v>
      </c>
      <c r="S82" s="8" t="n">
        <v>3.46</v>
      </c>
    </row>
    <row r="83">
      <c r="A83" s="4" t="n">
        <v>84</v>
      </c>
      <c r="B83" t="inlineStr">
        <is>
          <t>24</t>
        </is>
      </c>
      <c r="C83" s="1" t="n">
        <v>506.8</v>
      </c>
      <c r="D83" s="2">
        <f>HYPERLINK("https://torgi.gov.ru/new/public/lots/lot/22000034760000000117_1/(lotInfo:info)", "22000034760000000117_1")</f>
        <v/>
      </c>
      <c r="E83" t="inlineStr">
        <is>
          <t>В соответствии с Извещением.</t>
        </is>
      </c>
      <c r="F83" s="3" t="n">
        <v>9668.508287292818</v>
      </c>
      <c r="G83" s="3" t="n">
        <v>4900000</v>
      </c>
      <c r="H83" t="inlineStr">
        <is>
          <t>г Красноярск, ул Калинина, д 77 стр 9, помещ 3</t>
        </is>
      </c>
      <c r="I83" t="inlineStr">
        <is>
          <t>11 07 22 14:30</t>
        </is>
      </c>
      <c r="J83" t="inlineStr">
        <is>
          <t>24:50:0100109:1423, 24:50:0100109:1424, 24:50:0100109:1426, 24:50:0100109:1427</t>
        </is>
      </c>
      <c r="L83" t="inlineStr">
        <is>
          <t>EA</t>
        </is>
      </c>
      <c r="M83" t="inlineStr">
        <is>
          <t>М</t>
        </is>
      </c>
      <c r="N83" s="2">
        <f>HYPERLINK("https://yandex.ru/maps/?&amp;text=56.046383, 92.773331", "56.046383, 92.773331")</f>
        <v/>
      </c>
      <c r="O83" t="n">
        <v>4949</v>
      </c>
      <c r="P83" s="7" t="n">
        <v>1.95</v>
      </c>
      <c r="R83" t="n">
        <v>2383</v>
      </c>
      <c r="S83" s="8" t="n">
        <v>4.06</v>
      </c>
    </row>
    <row r="84">
      <c r="A84" s="4" t="n">
        <v>85</v>
      </c>
      <c r="B84" t="inlineStr">
        <is>
          <t>77</t>
        </is>
      </c>
      <c r="C84" s="1" t="n">
        <v>42.9</v>
      </c>
      <c r="D84" s="2">
        <f>HYPERLINK("https://torgi.gov.ru/new/public/lots/lot/21000005000000001941_1/(lotInfo:info)", "21000005000000001941_1")</f>
        <v/>
      </c>
      <c r="E84" t="inlineStr">
        <is>
          <t>Продажа имущества, находящегося в собственности города Москвы, нежилое помещение по адресу:., Цокольный этаж № 0.</t>
        </is>
      </c>
      <c r="F84" s="3" t="n">
        <v>111608.3916083916</v>
      </c>
      <c r="G84" s="3" t="n">
        <v>4788000</v>
      </c>
      <c r="H84" t="inlineStr">
        <is>
          <t>г Москва, ул Матвеевская, д 42 к 2, помещ 3Ц</t>
        </is>
      </c>
      <c r="I84" t="inlineStr">
        <is>
          <t>06 07 22 12:00</t>
        </is>
      </c>
      <c r="J84" t="inlineStr">
        <is>
          <t>77:07:0012010:14857</t>
        </is>
      </c>
      <c r="L84" t="inlineStr">
        <is>
          <t>EA</t>
        </is>
      </c>
      <c r="M84" t="inlineStr">
        <is>
          <t>М</t>
        </is>
      </c>
      <c r="N84" s="2">
        <f>HYPERLINK("https://yandex.ru/maps/?&amp;text=55.707573, 37.460421", "55.707573, 37.460421")</f>
        <v/>
      </c>
      <c r="O84" t="n">
        <v>4743</v>
      </c>
      <c r="P84" s="7" t="n">
        <v>23.53</v>
      </c>
      <c r="R84" t="n">
        <v>4743</v>
      </c>
      <c r="S84" s="8" t="n">
        <v>23.53</v>
      </c>
    </row>
    <row r="85">
      <c r="A85" s="4" t="n">
        <v>86</v>
      </c>
      <c r="B85" t="inlineStr">
        <is>
          <t>36</t>
        </is>
      </c>
      <c r="C85" s="1" t="n">
        <v>30.2</v>
      </c>
      <c r="D85" s="2">
        <f>HYPERLINK("https://torgi.gov.ru/new/public/lots/lot/22000008510000000003_1/(lotInfo:info)", "22000008510000000003_1")</f>
        <v/>
      </c>
      <c r="E85" t="inlineStr">
        <is>
          <t>Помещение, назначение: нежилое.расположенное по адресу:</t>
        </is>
      </c>
      <c r="F85" s="3" t="n">
        <v>16556.29139072848</v>
      </c>
      <c r="G85" s="3" t="n">
        <v>500000</v>
      </c>
      <c r="H85" t="inlineStr">
        <is>
          <t>Воронежская обл, г Бобров, ул 3 Интернационала, д 43, кв 3</t>
        </is>
      </c>
      <c r="I85" t="inlineStr">
        <is>
          <t>29 06 22 09:00</t>
        </is>
      </c>
      <c r="J85" t="inlineStr">
        <is>
          <t xml:space="preserve">36:02:0100118:109, </t>
        </is>
      </c>
      <c r="L85" t="inlineStr">
        <is>
          <t>EA</t>
        </is>
      </c>
      <c r="M85" t="inlineStr">
        <is>
          <t>М</t>
        </is>
      </c>
      <c r="N85" s="2">
        <f>HYPERLINK("https://yandex.ru/maps/?&amp;text=51.095874, 40.039853", "51.095874, 40.039853")</f>
        <v/>
      </c>
      <c r="O85" t="n">
        <v>1680</v>
      </c>
      <c r="P85" s="7" t="n">
        <v>9.85</v>
      </c>
      <c r="R85" t="n">
        <v>1465</v>
      </c>
      <c r="S85" s="8" t="n">
        <v>11.3</v>
      </c>
    </row>
    <row r="86">
      <c r="A86" s="4" t="n">
        <v>87</v>
      </c>
      <c r="B86" t="inlineStr">
        <is>
          <t>36</t>
        </is>
      </c>
      <c r="C86" s="1" t="n">
        <v>34.2</v>
      </c>
      <c r="D86" s="2">
        <f>HYPERLINK("https://torgi.gov.ru/new/public/lots/lot/22000008510000000002_1/(lotInfo:info)", "22000008510000000002_1")</f>
        <v/>
      </c>
      <c r="E86" t="inlineStr">
        <is>
          <t>Помещение, назначение: нежилое.расположенное по адресу:</t>
        </is>
      </c>
      <c r="F86" s="3" t="n">
        <v>17543.85964912281</v>
      </c>
      <c r="G86" s="3" t="n">
        <v>600000</v>
      </c>
      <c r="H86" t="inlineStr">
        <is>
          <t>Воронежская обл, г Бобров, ул 3 Интернационала, д 43, кв 4</t>
        </is>
      </c>
      <c r="I86" t="inlineStr">
        <is>
          <t>29 06 22 09:00</t>
        </is>
      </c>
      <c r="J86" t="inlineStr">
        <is>
          <t xml:space="preserve">36:02:0100118:43, </t>
        </is>
      </c>
      <c r="L86" t="inlineStr">
        <is>
          <t>EA</t>
        </is>
      </c>
      <c r="M86" t="inlineStr">
        <is>
          <t>М</t>
        </is>
      </c>
      <c r="N86" s="2">
        <f>HYPERLINK("https://yandex.ru/maps/?&amp;text=51.095874, 40.039853", "51.095874, 40.039853")</f>
        <v/>
      </c>
      <c r="O86" t="n">
        <v>1680</v>
      </c>
      <c r="P86" s="7" t="n">
        <v>10.44</v>
      </c>
      <c r="R86" t="n">
        <v>1465</v>
      </c>
      <c r="S86" s="8" t="n">
        <v>11.98</v>
      </c>
    </row>
    <row r="87">
      <c r="A87" s="4" t="n">
        <v>88</v>
      </c>
      <c r="B87" t="inlineStr">
        <is>
          <t>77</t>
        </is>
      </c>
      <c r="C87" s="1" t="n">
        <v>44.3</v>
      </c>
      <c r="D87" s="2">
        <f>HYPERLINK("https://torgi.gov.ru/new/public/lots/lot/21000005000000001935_1/(lotInfo:info)", "21000005000000001935_1")</f>
        <v/>
      </c>
      <c r="E87" t="inlineStr">
        <is>
          <t>Продажа имущества, находящегося в собственности города Москвы, нежилое помещение по адресу:., Цокольный этаж № 0.</t>
        </is>
      </c>
      <c r="F87" s="3" t="n">
        <v>211559.8194130926</v>
      </c>
      <c r="G87" s="3" t="n">
        <v>9372100</v>
      </c>
      <c r="H87" t="inlineStr">
        <is>
          <t>г Москва, ул 1-я Тверская-Ямская, д 11, помещ 6Н</t>
        </is>
      </c>
      <c r="I87" t="inlineStr">
        <is>
          <t>13 07 22 12:00</t>
        </is>
      </c>
      <c r="J87" t="inlineStr">
        <is>
          <t>77:01:0004012:5402</t>
        </is>
      </c>
      <c r="L87" t="inlineStr">
        <is>
          <t>EA</t>
        </is>
      </c>
      <c r="M87" t="inlineStr">
        <is>
          <t>М</t>
        </is>
      </c>
      <c r="N87" s="2">
        <f>HYPERLINK("https://yandex.ru/maps/?&amp;text=55.772578, 37.591027", "55.772578, 37.591027")</f>
        <v/>
      </c>
      <c r="O87" t="n">
        <v>7034</v>
      </c>
      <c r="P87" s="7" t="n">
        <v>30.08</v>
      </c>
      <c r="R87" t="n">
        <v>8231</v>
      </c>
      <c r="S87" s="8" t="n">
        <v>25.7</v>
      </c>
    </row>
    <row r="88">
      <c r="A88" s="4" t="n">
        <v>89</v>
      </c>
      <c r="B88" t="inlineStr">
        <is>
          <t>18</t>
        </is>
      </c>
      <c r="C88" s="1" t="n">
        <v>46.3</v>
      </c>
      <c r="D88" s="2">
        <f>HYPERLINK("https://torgi.gov.ru/new/public/lots/lot/21000015480000000017_1/(lotInfo:info)", "21000015480000000017_1")</f>
        <v/>
      </c>
      <c r="E88" t="inlineStr">
        <is>
          <t>нежилое помещение., этаж № цокольный, расположенное по адресу:</t>
        </is>
      </c>
      <c r="F88" s="3" t="n">
        <v>20656.58747300216</v>
      </c>
      <c r="G88" s="3" t="n">
        <v>956400</v>
      </c>
      <c r="H88" t="inlineStr">
        <is>
          <t>Удмуртская Респ, г Сарапул, ул Азина, д 62</t>
        </is>
      </c>
      <c r="I88" t="inlineStr">
        <is>
          <t>01 07 22 12:30</t>
        </is>
      </c>
      <c r="J88" t="inlineStr">
        <is>
          <t>18:30:000010:276</t>
        </is>
      </c>
      <c r="L88" t="inlineStr">
        <is>
          <t>PP</t>
        </is>
      </c>
      <c r="M88" t="inlineStr">
        <is>
          <t>М</t>
        </is>
      </c>
      <c r="N88" s="2">
        <f>HYPERLINK("https://yandex.ru/maps/?&amp;text=56.470835, 53.80348", "56.470835, 53.80348")</f>
        <v/>
      </c>
      <c r="O88" t="n">
        <v>4186</v>
      </c>
      <c r="P88" s="7" t="n">
        <v>4.93</v>
      </c>
      <c r="R88" t="n">
        <v>4186</v>
      </c>
      <c r="S88" s="8" t="n">
        <v>4.93</v>
      </c>
    </row>
    <row r="89">
      <c r="A89" s="4" t="n">
        <v>90</v>
      </c>
      <c r="B89" t="inlineStr">
        <is>
          <t>78</t>
        </is>
      </c>
      <c r="C89" s="1" t="n">
        <v>19</v>
      </c>
      <c r="D89" s="2">
        <f>HYPERLINK("https://torgi.gov.ru/new/public/lots/lot/21000002210000000578_1/(lotInfo:info)", "21000002210000000578_1")</f>
        <v/>
      </c>
      <c r="E89" t="inlineStr">
        <is>
          <t>Нежилое помещение, расположенное по адресу: Санкт-Петербург,, литера А, пом. 9-Н., назначение: нежилое помещение, этаж № 1</t>
        </is>
      </c>
      <c r="F89" s="3" t="n">
        <v>89684.21052631579</v>
      </c>
      <c r="G89" s="3" t="n">
        <v>1704000</v>
      </c>
      <c r="H89" t="inlineStr">
        <is>
          <t>г Санкт-Петербург, ул Чайковского, д 4 литера А, помещ 9-Н</t>
        </is>
      </c>
      <c r="I89" t="inlineStr">
        <is>
          <t>29 06 22 20:00</t>
        </is>
      </c>
      <c r="J89" t="inlineStr">
        <is>
          <t>78:31:0001108:2495</t>
        </is>
      </c>
      <c r="L89" t="inlineStr">
        <is>
          <t>EA</t>
        </is>
      </c>
      <c r="M89" t="inlineStr">
        <is>
          <t>М</t>
        </is>
      </c>
      <c r="N89" s="2">
        <f>HYPERLINK("https://yandex.ru/maps/?&amp;text=59.946851, 30.343689", "59.946851, 30.343689")</f>
        <v/>
      </c>
      <c r="O89" t="n">
        <v>14224</v>
      </c>
      <c r="P89" s="7" t="n">
        <v>6.31</v>
      </c>
      <c r="R89" t="n">
        <v>7708</v>
      </c>
      <c r="S89" s="8" t="n">
        <v>11.64</v>
      </c>
    </row>
    <row r="90">
      <c r="A90" s="4" t="n">
        <v>91</v>
      </c>
      <c r="B90" t="inlineStr">
        <is>
          <t>12</t>
        </is>
      </c>
      <c r="C90" s="1" t="n">
        <v>166.7</v>
      </c>
      <c r="D90" s="2">
        <f>HYPERLINK("https://torgi.gov.ru/new/public/lots/lot/22000043340000000002_1/(lotInfo:info)", "22000043340000000002_1")</f>
        <v/>
      </c>
      <c r="E90" t="inlineStr">
        <is>
          <t>Нежилое помещение, назначение - нежилое, 1-этажныйместоположение:.</t>
        </is>
      </c>
      <c r="F90" s="3" t="n">
        <v>3167.366526694661</v>
      </c>
      <c r="G90" s="3" t="n">
        <v>528000</v>
      </c>
      <c r="H90" t="inlineStr">
        <is>
          <t>Респ Марий Эл, Медведевский р-н, поселок Силикатный, ул Комсомольская, д 5, помещ 1</t>
        </is>
      </c>
      <c r="I90" t="inlineStr">
        <is>
          <t>27 06 22 14:00</t>
        </is>
      </c>
      <c r="J90" t="inlineStr">
        <is>
          <t xml:space="preserve">12:05:3501001:1537, </t>
        </is>
      </c>
      <c r="L90" t="inlineStr">
        <is>
          <t>EA</t>
        </is>
      </c>
      <c r="M90" t="inlineStr">
        <is>
          <t>М</t>
        </is>
      </c>
      <c r="N90" s="2">
        <f>HYPERLINK("https://yandex.ru/maps/?&amp;text=56.378365, 48.200499", "56.378365, 48.200499")</f>
        <v/>
      </c>
      <c r="O90" t="n">
        <v>770</v>
      </c>
      <c r="P90" s="7" t="n">
        <v>4.11</v>
      </c>
      <c r="R90" t="n">
        <v>371</v>
      </c>
      <c r="S90" s="8" t="n">
        <v>8.539999999999999</v>
      </c>
    </row>
    <row r="91">
      <c r="A91" s="4" t="n">
        <v>92</v>
      </c>
      <c r="B91" t="inlineStr">
        <is>
          <t>5</t>
        </is>
      </c>
      <c r="C91" s="1" t="n">
        <v>104.2</v>
      </c>
      <c r="D91" s="2">
        <f>HYPERLINK("https://torgi.gov.ru/new/public/lots/lot/21000013200000000031_1/(lotInfo:info)", "21000013200000000031_1")</f>
        <v/>
      </c>
      <c r="E91" t="inlineStr">
        <is>
          <t>Нежилое помещение., этаж 2-йместоположение:, стоимость 3 145 680 руб., задаток 157 284 руб.;</t>
        </is>
      </c>
      <c r="F91" s="3" t="n">
        <v>50717.29750479847</v>
      </c>
      <c r="G91" s="3" t="n">
        <v>5284742.4</v>
      </c>
      <c r="H91" t="inlineStr">
        <is>
          <t>г Махачкала, ул Дзержинского, д 6, помещ 20</t>
        </is>
      </c>
      <c r="I91" t="inlineStr">
        <is>
          <t>16 06 22 15:00</t>
        </is>
      </c>
      <c r="J91" t="inlineStr">
        <is>
          <t xml:space="preserve">05:40:000047:1440, </t>
        </is>
      </c>
      <c r="L91" t="inlineStr">
        <is>
          <t>EA</t>
        </is>
      </c>
      <c r="M91" t="inlineStr">
        <is>
          <t>Д</t>
        </is>
      </c>
      <c r="N91" s="2">
        <f>HYPERLINK("https://yandex.ru/maps/?&amp;text=42.982006, 47.500378", "42.982006, 47.500378")</f>
        <v/>
      </c>
      <c r="O91" t="n">
        <v>6795</v>
      </c>
      <c r="P91" s="7" t="n">
        <v>7.46</v>
      </c>
      <c r="R91" t="n">
        <v>6795</v>
      </c>
      <c r="S91" s="8" t="n">
        <v>7.46</v>
      </c>
    </row>
    <row r="92">
      <c r="A92" s="4" t="n">
        <v>93</v>
      </c>
      <c r="B92" t="inlineStr">
        <is>
          <t>46</t>
        </is>
      </c>
      <c r="C92" s="1" t="n">
        <v>59.6</v>
      </c>
      <c r="D92" s="2">
        <f>HYPERLINK("https://torgi.gov.ru/new/public/lots/lot/21000003800000000001_1/(lotInfo:info)", "21000003800000000001_1")</f>
        <v/>
      </c>
      <c r="E92" t="inlineStr">
        <is>
          <t>Нежилое помещение. Этаж № 1. . расположенное по адресу:. Маркса, д. 21, пом. II;</t>
        </is>
      </c>
      <c r="F92" s="3" t="n">
        <v>36332.29026845637</v>
      </c>
      <c r="G92" s="3" t="n">
        <v>2165404.5</v>
      </c>
      <c r="H92" t="inlineStr">
        <is>
          <t>Курская обл, г Льгов, ул Курская</t>
        </is>
      </c>
      <c r="I92" t="inlineStr">
        <is>
          <t>30 06 22 13:00</t>
        </is>
      </c>
      <c r="J92" t="inlineStr">
        <is>
          <t xml:space="preserve">46:32:010101:11347, </t>
        </is>
      </c>
      <c r="L92" t="inlineStr">
        <is>
          <t>EA</t>
        </is>
      </c>
      <c r="M92" t="inlineStr">
        <is>
          <t>М</t>
        </is>
      </c>
      <c r="N92" s="2">
        <f>HYPERLINK("https://yandex.ru/maps/?&amp;text=51.628544, 35.268783", "51.628544, 35.268783")</f>
        <v/>
      </c>
      <c r="O92" t="n">
        <v>566</v>
      </c>
      <c r="P92" s="7" t="n">
        <v>64.19</v>
      </c>
      <c r="R92" t="n">
        <v>566</v>
      </c>
      <c r="S92" s="8" t="n">
        <v>64.19</v>
      </c>
    </row>
    <row r="93">
      <c r="A93" s="4" t="n">
        <v>94</v>
      </c>
      <c r="B93" t="inlineStr">
        <is>
          <t>58</t>
        </is>
      </c>
      <c r="C93" s="1" t="n">
        <v>90.09999999999999</v>
      </c>
      <c r="D93" s="2">
        <f>HYPERLINK("https://torgi.gov.ru/new/public/lots/lot/21000025550000000019_8/(lotInfo:info)", "21000025550000000019_8")</f>
        <v/>
      </c>
      <c r="E93" t="inlineStr">
        <is>
          <t>Заложенное имущество: нежилое помещение, общ.адрес:.Горького, д. 162</t>
        </is>
      </c>
      <c r="F93" s="3" t="n">
        <v>23985.04916759157</v>
      </c>
      <c r="G93" s="3" t="n">
        <v>2161052.93</v>
      </c>
      <c r="H93" t="inlineStr">
        <is>
          <t>Пензенская обл, г Сердобск, ул К.Маркса</t>
        </is>
      </c>
      <c r="I93" t="inlineStr">
        <is>
          <t>15 06 22 14:00</t>
        </is>
      </c>
      <c r="J93" t="inlineStr">
        <is>
          <t xml:space="preserve">58:32:0020605:1647, </t>
        </is>
      </c>
      <c r="L93" t="inlineStr">
        <is>
          <t>EA</t>
        </is>
      </c>
      <c r="M93" t="inlineStr">
        <is>
          <t>Д</t>
        </is>
      </c>
      <c r="N93" s="2">
        <f>HYPERLINK("https://yandex.ru/maps/?&amp;text=52.479477, 44.229496", "52.479477, 44.229496")</f>
        <v/>
      </c>
      <c r="O93" t="n">
        <v>1112</v>
      </c>
      <c r="P93" s="7" t="n">
        <v>21.57</v>
      </c>
      <c r="R93" t="n">
        <v>1112</v>
      </c>
      <c r="S93" s="8" t="n">
        <v>21.57</v>
      </c>
    </row>
    <row r="94">
      <c r="A94" s="4" t="n">
        <v>95</v>
      </c>
      <c r="B94" t="inlineStr">
        <is>
          <t>77</t>
        </is>
      </c>
      <c r="C94" s="1" t="n">
        <v>13.7</v>
      </c>
      <c r="D94" s="2">
        <f>HYPERLINK("https://torgi.gov.ru/new/public/lots/lot/21000005000000001853_1/(lotInfo:info)", "21000005000000001853_1")</f>
        <v/>
      </c>
      <c r="E94" t="inlineStr">
        <is>
          <t>Продажа имущества, находящегося в хозяйственном ведении ГУП "ЦУГИ", расположенного по адресу:</t>
        </is>
      </c>
      <c r="F94" s="3" t="n">
        <v>385459.8540145985</v>
      </c>
      <c r="G94" s="3" t="n">
        <v>5280800</v>
      </c>
      <c r="H94" t="inlineStr">
        <is>
          <t>г Москва, ул 1905 года, д 17</t>
        </is>
      </c>
      <c r="I94" t="inlineStr">
        <is>
          <t>07 07 22 12:00</t>
        </is>
      </c>
      <c r="J94" t="inlineStr">
        <is>
          <t>77:01:0004026:3986</t>
        </is>
      </c>
      <c r="L94" t="inlineStr">
        <is>
          <t>EA</t>
        </is>
      </c>
      <c r="M94" t="inlineStr">
        <is>
          <t>М</t>
        </is>
      </c>
      <c r="N94" s="2">
        <f>HYPERLINK("https://yandex.ru/maps/?&amp;text=55.766106, 37.559245", "55.766106, 37.559245")</f>
        <v/>
      </c>
      <c r="O94" t="n">
        <v>8155</v>
      </c>
      <c r="P94" s="7" t="n">
        <v>47.27</v>
      </c>
      <c r="R94" t="n">
        <v>8155</v>
      </c>
      <c r="S94" s="8" t="n">
        <v>47.27</v>
      </c>
    </row>
    <row r="95">
      <c r="A95" s="4" t="n">
        <v>96</v>
      </c>
      <c r="B95" t="inlineStr">
        <is>
          <t>2</t>
        </is>
      </c>
      <c r="C95" s="1" t="n">
        <v>29.1</v>
      </c>
      <c r="D95" s="2">
        <f>HYPERLINK("https://torgi.gov.ru/new/public/lots/lot/21000002210000000564_3/(lotInfo:info)", "21000002210000000564_3")</f>
        <v/>
      </c>
      <c r="E95" t="inlineStr">
        <is>
      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объекта:. 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      </is>
      </c>
      <c r="F95" s="3" t="n">
        <v>159231.9649484536</v>
      </c>
      <c r="G95" s="3" t="n">
        <v>4633650.18</v>
      </c>
      <c r="H95" t="inlineStr">
        <is>
          <t>г Уфа, ул Ленина, д 9/11</t>
        </is>
      </c>
      <c r="I95" t="inlineStr">
        <is>
          <t>29 06 22 19:00</t>
        </is>
      </c>
      <c r="J95" t="inlineStr">
        <is>
          <t>02:55:010205:423</t>
        </is>
      </c>
      <c r="L95" t="inlineStr">
        <is>
          <t>EA</t>
        </is>
      </c>
      <c r="M95" t="inlineStr">
        <is>
          <t>М</t>
        </is>
      </c>
      <c r="N95" s="2">
        <f>HYPERLINK("https://yandex.ru/maps/?&amp;text=54.727588, 55.947723", "54.727588, 55.947723")</f>
        <v/>
      </c>
      <c r="O95" t="n">
        <v>5694</v>
      </c>
      <c r="P95" s="7" t="n">
        <v>27.96</v>
      </c>
      <c r="R95" t="n">
        <v>6930</v>
      </c>
      <c r="S95" s="8" t="n">
        <v>22.98</v>
      </c>
    </row>
    <row r="96">
      <c r="A96" s="4" t="n">
        <v>97</v>
      </c>
      <c r="B96" t="inlineStr">
        <is>
          <t>77</t>
        </is>
      </c>
      <c r="C96" s="1" t="n">
        <v>35.7</v>
      </c>
      <c r="D96" s="2">
        <f>HYPERLINK("https://torgi.gov.ru/new/public/lots/lot/21000005000000001869_1/(lotInfo:info)", "21000005000000001869_1")</f>
        <v/>
      </c>
      <c r="E96" t="inlineStr">
        <is>
          <t>Продажа имущества, находящегося в собственности города Москвы, нежилое помещение по адресу:., Этаж № 1.</t>
        </is>
      </c>
      <c r="F96" s="3" t="n">
        <v>217009.8039215686</v>
      </c>
      <c r="G96" s="3" t="n">
        <v>7747250</v>
      </c>
      <c r="H96" t="inlineStr">
        <is>
          <t>г Москва, ул Онежская, д 53 к 4</t>
        </is>
      </c>
      <c r="I96" t="inlineStr">
        <is>
          <t>05 07 22 12:00</t>
        </is>
      </c>
      <c r="J96" t="inlineStr">
        <is>
          <t>77:09:0001013:10378</t>
        </is>
      </c>
      <c r="L96" t="inlineStr">
        <is>
          <t>EA</t>
        </is>
      </c>
      <c r="M96" t="inlineStr">
        <is>
          <t>М</t>
        </is>
      </c>
      <c r="N96" s="2">
        <f>HYPERLINK("https://yandex.ru/maps/?&amp;text=55.859302, 37.504942", "55.859302, 37.504942")</f>
        <v/>
      </c>
      <c r="O96" t="n">
        <v>14241</v>
      </c>
      <c r="P96" s="7" t="n">
        <v>15.24</v>
      </c>
      <c r="R96" t="n">
        <v>11024</v>
      </c>
      <c r="S96" s="8" t="n">
        <v>19.69</v>
      </c>
    </row>
    <row r="97">
      <c r="A97" s="4" t="n">
        <v>98</v>
      </c>
      <c r="B97" t="inlineStr">
        <is>
          <t>58</t>
        </is>
      </c>
      <c r="C97" s="1" t="n">
        <v>308</v>
      </c>
      <c r="D97" s="2">
        <f>HYPERLINK("https://torgi.gov.ru/new/public/lots/lot/21000015830000000002_1/(lotInfo:info)", "21000015830000000002_1")</f>
        <v/>
      </c>
      <c r="E97" t="inlineStr">
        <is>
          <t>нежилое помещение . расположенное по адресу:</t>
        </is>
      </c>
      <c r="F97" s="3" t="n">
        <v>2344.155844155844</v>
      </c>
      <c r="G97" s="3" t="n">
        <v>722000</v>
      </c>
      <c r="H97" t="inlineStr">
        <is>
          <t>Пензенская обл, село Неверкино, ул Куйбышева, влд 16</t>
        </is>
      </c>
      <c r="I97" t="inlineStr">
        <is>
          <t>15 06 22 13:00</t>
        </is>
      </c>
      <c r="J97" t="inlineStr">
        <is>
          <t>58:20:0320301:1456</t>
        </is>
      </c>
      <c r="L97" t="inlineStr">
        <is>
          <t>PP</t>
        </is>
      </c>
      <c r="M97" t="inlineStr">
        <is>
          <t>М</t>
        </is>
      </c>
      <c r="N97" s="2">
        <f>HYPERLINK("https://yandex.ru/maps/?&amp;text=52.785229, 46.748714", "52.785229, 46.748714")</f>
        <v/>
      </c>
      <c r="O97" t="n">
        <v>493</v>
      </c>
      <c r="P97" s="7" t="n">
        <v>4.75</v>
      </c>
      <c r="R97" t="n">
        <v>414</v>
      </c>
      <c r="S97" s="8" t="n">
        <v>5.66</v>
      </c>
    </row>
    <row r="98">
      <c r="A98" s="4" t="n">
        <v>99</v>
      </c>
      <c r="B98" t="inlineStr">
        <is>
          <t>45</t>
        </is>
      </c>
      <c r="C98" s="1" t="n">
        <v>67.40000000000001</v>
      </c>
      <c r="D98" s="2">
        <f>HYPERLINK("https://torgi.gov.ru/new/public/lots/lot/21000020130000000007_1/(lotInfo:info)", "21000020130000000007_1")</f>
        <v/>
      </c>
      <c r="E98" t="inlineStr">
        <is>
          <t>помещение, назначение: нежилое; ., номера на поэтажном плане: №18-20адрес (местоположение):</t>
        </is>
      </c>
      <c r="F98" s="3" t="n">
        <v>10459.94065281899</v>
      </c>
      <c r="G98" s="3" t="n">
        <v>705000</v>
      </c>
      <c r="H98" t="inlineStr">
        <is>
          <t>Курганская обл, рп Лебяжье, ул Спортивная, д 36, помещ 2</t>
        </is>
      </c>
      <c r="I98" t="inlineStr">
        <is>
          <t>03 07 22 18:00</t>
        </is>
      </c>
      <c r="J98" t="inlineStr">
        <is>
          <t xml:space="preserve">45:10:030105:230, </t>
        </is>
      </c>
      <c r="L98" t="inlineStr">
        <is>
          <t>EA</t>
        </is>
      </c>
      <c r="M98" t="inlineStr">
        <is>
          <t>М</t>
        </is>
      </c>
      <c r="N98" s="2">
        <f>HYPERLINK("https://yandex.ru/maps/?&amp;text=55.277565, 66.509808", "55.277565, 66.509808")</f>
        <v/>
      </c>
      <c r="O98" t="n">
        <v>559</v>
      </c>
      <c r="P98" s="7" t="n">
        <v>18.71</v>
      </c>
      <c r="R98" t="n">
        <v>559</v>
      </c>
      <c r="S98" s="8" t="n">
        <v>18.71</v>
      </c>
    </row>
    <row r="99">
      <c r="A99" s="4" t="n">
        <v>100</v>
      </c>
      <c r="B99" t="inlineStr">
        <is>
          <t>74</t>
        </is>
      </c>
      <c r="C99" s="1" t="n">
        <v>52.2</v>
      </c>
      <c r="D99" s="2">
        <f>HYPERLINK("https://torgi.gov.ru/new/public/lots/lot/22000022920000000014_1/(lotInfo:info)", "22000022920000000014_1")</f>
        <v/>
      </c>
      <c r="E99" t="inlineStr">
        <is>
          <t>нежилые помещения № 2,3,4 в помещении № 4.. Адрес:.</t>
        </is>
      </c>
      <c r="F99" s="3" t="n">
        <v>19875.47892720306</v>
      </c>
      <c r="G99" s="3" t="n">
        <v>1037500</v>
      </c>
      <c r="H99" t="inlineStr">
        <is>
          <t>Челябинская обл, г Магнитогорск, пр-кт Ленина, д 98 к 1</t>
        </is>
      </c>
      <c r="I99" t="inlineStr">
        <is>
          <t>05 07 22 10:00</t>
        </is>
      </c>
      <c r="J99" t="inlineStr">
        <is>
          <t>74:33:0213002:2886</t>
        </is>
      </c>
      <c r="L99" t="inlineStr">
        <is>
          <t>EA</t>
        </is>
      </c>
      <c r="M99" t="inlineStr">
        <is>
          <t>М</t>
        </is>
      </c>
      <c r="N99" s="2">
        <f>HYPERLINK("https://yandex.ru/maps/?&amp;text=53.392962, 58.986705", "53.392962, 58.986705")</f>
        <v/>
      </c>
      <c r="O99" t="n">
        <v>1876</v>
      </c>
      <c r="P99" s="7" t="n">
        <v>10.59</v>
      </c>
      <c r="R99" t="n">
        <v>1876</v>
      </c>
      <c r="S99" s="8" t="n">
        <v>10.59</v>
      </c>
    </row>
    <row r="100">
      <c r="A100" s="4" t="n">
        <v>101</v>
      </c>
      <c r="B100" t="inlineStr">
        <is>
          <t>74</t>
        </is>
      </c>
      <c r="C100" s="1" t="n">
        <v>43</v>
      </c>
      <c r="D100" s="2">
        <f>HYPERLINK("https://torgi.gov.ru/new/public/lots/lot/22000022920000000012_1/(lotInfo:info)", "22000022920000000012_1")</f>
        <v/>
      </c>
      <c r="E100" t="inlineStr">
        <is>
          <t>нежилое помещение № 10.. Адрес:.</t>
        </is>
      </c>
      <c r="F100" s="3" t="n">
        <v>15244.18604651163</v>
      </c>
      <c r="G100" s="3" t="n">
        <v>655500</v>
      </c>
      <c r="H100" t="inlineStr">
        <is>
          <t>Челябинская обл, г Магнитогорск, ул имени газеты Правда, д 27 к 1</t>
        </is>
      </c>
      <c r="I100" t="inlineStr">
        <is>
          <t>05 07 22 10:00</t>
        </is>
      </c>
      <c r="J100" t="inlineStr">
        <is>
          <t>74:33:0212002:3566</t>
        </is>
      </c>
      <c r="L100" t="inlineStr">
        <is>
          <t>EA</t>
        </is>
      </c>
      <c r="M100" t="inlineStr">
        <is>
          <t>М</t>
        </is>
      </c>
      <c r="N100" s="2">
        <f>HYPERLINK("https://yandex.ru/maps/?&amp;text=53.407378, 58.975422", "53.407378, 58.975422")</f>
        <v/>
      </c>
      <c r="O100" t="n">
        <v>2753</v>
      </c>
      <c r="P100" s="7" t="n">
        <v>5.54</v>
      </c>
      <c r="R100" t="n">
        <v>2878</v>
      </c>
      <c r="S100" s="8" t="n">
        <v>5.3</v>
      </c>
    </row>
    <row r="101">
      <c r="A101" s="4" t="n">
        <v>102</v>
      </c>
      <c r="B101" t="inlineStr">
        <is>
          <t>69</t>
        </is>
      </c>
      <c r="C101" s="1" t="n">
        <v>64.59999999999999</v>
      </c>
      <c r="D101" s="2">
        <f>HYPERLINK("https://torgi.gov.ru/new/public/lots/lot/21000007870000000002_1/(lotInfo:info)", "21000007870000000002_1")</f>
        <v/>
      </c>
      <c r="E101" t="inlineStr">
        <is>
          <t>Административное здание, назначение: нежилое.расположенное по адресу:, категория земель: земли населенных пунктов, вид разрешенного использования: для общественно-деловых целей.по адресу: Тверская область, Конаковский район, Козловское сельское</t>
        </is>
      </c>
      <c r="F101" s="3" t="n">
        <v>45213.62229102167</v>
      </c>
      <c r="G101" s="3" t="n">
        <v>2920800</v>
      </c>
      <c r="H101" t="inlineStr">
        <is>
          <t>Тверская обл, Конаковский р-н, деревня Синцово, зд 40</t>
        </is>
      </c>
      <c r="I101" t="inlineStr">
        <is>
          <t>27 06 22 07:00</t>
        </is>
      </c>
      <c r="J101" t="inlineStr">
        <is>
          <t xml:space="preserve">69:15:0242601:255, </t>
        </is>
      </c>
      <c r="L101" t="inlineStr">
        <is>
          <t>EA</t>
        </is>
      </c>
      <c r="M101" t="inlineStr">
        <is>
          <t>М</t>
        </is>
      </c>
      <c r="N101" s="2">
        <f>HYPERLINK("https://yandex.ru/maps/?&amp;text=56.428722, 36.065472", "56.428722, 36.065472")</f>
        <v/>
      </c>
      <c r="O101" t="n">
        <v>112</v>
      </c>
      <c r="P101" s="7" t="n">
        <v>403.69</v>
      </c>
      <c r="R101" t="n">
        <v>58</v>
      </c>
      <c r="S101" s="8" t="n">
        <v>779.55</v>
      </c>
    </row>
    <row r="102">
      <c r="A102" s="4" t="n">
        <v>103</v>
      </c>
      <c r="B102" t="inlineStr">
        <is>
          <t>55</t>
        </is>
      </c>
      <c r="C102" s="1" t="n">
        <v>449.7</v>
      </c>
      <c r="D102" s="2">
        <f>HYPERLINK("https://torgi.gov.ru/new/public/lots/lot/22000083180000000002_1/(lotInfo:info)", "22000083180000000002_1")</f>
        <v/>
      </c>
      <c r="E102" t="inlineStr">
        <is>
          <t>Нежилые помещения №№ 39-66 на поэтажном плане 1 этажа ., расположенные в нежилом здании по адресу:</t>
        </is>
      </c>
      <c r="F102" s="3" t="n">
        <v>7827.440515899489</v>
      </c>
      <c r="G102" s="3" t="n">
        <v>3520000</v>
      </c>
      <c r="H102" t="inlineStr">
        <is>
          <t>Омская обл, Омский р-н, поселок Ростовка, д 21</t>
        </is>
      </c>
      <c r="I102" t="inlineStr">
        <is>
          <t>03 06 22 12:00</t>
        </is>
      </c>
      <c r="J102" t="inlineStr">
        <is>
          <t>55:20:210101:3333</t>
        </is>
      </c>
      <c r="L102" t="inlineStr">
        <is>
          <t>EA</t>
        </is>
      </c>
      <c r="M102" t="inlineStr">
        <is>
          <t>М</t>
        </is>
      </c>
      <c r="N102" s="2">
        <f>HYPERLINK("https://yandex.ru/maps/?&amp;text=55.018154, 73.578786", "55.018154, 73.578786")</f>
        <v/>
      </c>
      <c r="O102" t="n">
        <v>553</v>
      </c>
      <c r="P102" s="7" t="n">
        <v>14.15</v>
      </c>
      <c r="R102" t="n">
        <v>578</v>
      </c>
      <c r="S102" s="8" t="n">
        <v>13.54</v>
      </c>
    </row>
    <row r="103">
      <c r="A103" s="4" t="n">
        <v>104</v>
      </c>
      <c r="B103" t="inlineStr">
        <is>
          <t>32</t>
        </is>
      </c>
      <c r="C103" s="1" t="n">
        <v>37.6</v>
      </c>
      <c r="D103" s="2">
        <f>HYPERLINK("https://torgi.gov.ru/new/public/lots/lot/21000008500000000083_1/(lotInfo:info)", "21000008500000000083_1")</f>
        <v/>
      </c>
      <c r="E103" t="inlineStr">
        <is>
          <t>Находящаяся в муниципальной собственности лифтерная . (этаж № 1), расположенная по адресу:</t>
        </is>
      </c>
      <c r="F103" s="3" t="n">
        <v>26063.82978723404</v>
      </c>
      <c r="G103" s="3" t="n">
        <v>980000</v>
      </c>
      <c r="H103" t="inlineStr">
        <is>
          <t>г Брянск, ул Камозина, д 38</t>
        </is>
      </c>
      <c r="I103" t="inlineStr">
        <is>
          <t>30 06 22 10:00</t>
        </is>
      </c>
      <c r="J103" t="inlineStr">
        <is>
          <t>32:28:0015006:609</t>
        </is>
      </c>
      <c r="L103" t="inlineStr">
        <is>
          <t>EA</t>
        </is>
      </c>
      <c r="M103" t="inlineStr">
        <is>
          <t>М</t>
        </is>
      </c>
      <c r="N103" s="2">
        <f>HYPERLINK("https://yandex.ru/maps/?&amp;text=53.301632, 34.29324", "53.301632, 34.29324")</f>
        <v/>
      </c>
      <c r="O103" t="n">
        <v>958</v>
      </c>
      <c r="P103" s="7" t="n">
        <v>27.21</v>
      </c>
      <c r="R103" t="n">
        <v>958</v>
      </c>
      <c r="S103" s="8" t="n">
        <v>27.21</v>
      </c>
    </row>
    <row r="104">
      <c r="A104" s="4" t="n">
        <v>105</v>
      </c>
      <c r="B104" t="inlineStr">
        <is>
          <t>77</t>
        </is>
      </c>
      <c r="C104" s="1" t="n">
        <v>54.8</v>
      </c>
      <c r="D104" s="2">
        <f>HYPERLINK("https://torgi.gov.ru/new/public/lots/lot/21000005000000001838_1/(lotInfo:info)", "21000005000000001838_1")</f>
        <v/>
      </c>
      <c r="E104" t="inlineStr">
        <is>
          <t>Продажа имущества, находящегося в хозяйственном ведении ГУП "ЦУГИ", нежилое помещение, расположенное по адресу:</t>
        </is>
      </c>
      <c r="F104" s="3" t="n">
        <v>121672.4452554745</v>
      </c>
      <c r="G104" s="3" t="n">
        <v>6667650</v>
      </c>
      <c r="H104" t="inlineStr">
        <is>
          <t>г Москва, наб Тараса Шевченко, д 1, помещ 30/9</t>
        </is>
      </c>
      <c r="I104" t="inlineStr">
        <is>
          <t>30 06 22 12:00</t>
        </is>
      </c>
      <c r="J104" t="inlineStr">
        <is>
          <t>77:07:0007003:7034</t>
        </is>
      </c>
      <c r="L104" t="inlineStr">
        <is>
          <t>EA</t>
        </is>
      </c>
      <c r="M104" t="inlineStr">
        <is>
          <t>М</t>
        </is>
      </c>
      <c r="N104" s="2">
        <f>HYPERLINK("https://yandex.ru/maps/?&amp;text=55.746292, 37.57193", "55.746292, 37.57193")</f>
        <v/>
      </c>
      <c r="O104" t="n">
        <v>7465</v>
      </c>
      <c r="P104" s="7" t="n">
        <v>16.3</v>
      </c>
      <c r="R104" t="n">
        <v>7465</v>
      </c>
      <c r="S104" s="8" t="n">
        <v>16.3</v>
      </c>
    </row>
    <row r="105">
      <c r="A105" s="4" t="n">
        <v>106</v>
      </c>
      <c r="B105" t="inlineStr">
        <is>
          <t>21</t>
        </is>
      </c>
      <c r="C105" s="1" t="n">
        <v>171</v>
      </c>
      <c r="D105" s="2">
        <f>HYPERLINK("https://torgi.gov.ru/new/public/lots/lot/21000010370000000036_1/(lotInfo:info)", "21000010370000000036_1")</f>
        <v/>
      </c>
      <c r="E105" t="inlineStr">
        <is>
          <t>Земельный участок, местонахождение установлено относительно ориентира, расположенного в границах участка. Почтовый адрес ориентира:, дом 22в с расположенным на нем следующим объектом недвижимого имущества: нежилое помещение находящееся по адресу: Чувашская Республика, г. Чебоксары, ул. Хузангая, дом 22в.</t>
        </is>
      </c>
      <c r="F105" s="3" t="n">
        <v>12980.70175438597</v>
      </c>
      <c r="G105" s="3" t="n">
        <v>2219700</v>
      </c>
      <c r="H105" t="inlineStr">
        <is>
          <t>г Чебоксары, ул Хузангая</t>
        </is>
      </c>
      <c r="I105" t="inlineStr">
        <is>
          <t>27 06 22 13:00</t>
        </is>
      </c>
      <c r="J105" t="inlineStr">
        <is>
          <t xml:space="preserve">21:01:020906:166, </t>
        </is>
      </c>
      <c r="L105" t="inlineStr">
        <is>
          <t>PP</t>
        </is>
      </c>
      <c r="M105" t="inlineStr">
        <is>
          <t>М</t>
        </is>
      </c>
      <c r="N105" s="2">
        <f>HYPERLINK("https://yandex.ru/maps/?&amp;text=56.095072, 47.275486", "56.095072, 47.275486")</f>
        <v/>
      </c>
      <c r="O105" t="n">
        <v>5453</v>
      </c>
      <c r="P105" s="7" t="n">
        <v>2.38</v>
      </c>
      <c r="R105" t="n">
        <v>5453</v>
      </c>
      <c r="S105" s="8" t="n">
        <v>2.38</v>
      </c>
    </row>
    <row r="106">
      <c r="A106" s="4" t="n">
        <v>107</v>
      </c>
      <c r="B106" t="inlineStr">
        <is>
          <t>78</t>
        </is>
      </c>
      <c r="C106" s="1" t="n">
        <v>19</v>
      </c>
      <c r="D106" s="2">
        <f>HYPERLINK("https://torgi.gov.ru/new/public/lots/lot/21000002210000000562_1/(lotInfo:info)", "21000002210000000562_1")</f>
        <v/>
      </c>
      <c r="E106" t="inlineStr">
        <is>
          <t>Нежилое помещение, расположенное по адресу: Санкт-Петербург,, литера А, пом. 2-Н, назначение: нежилое помещение, наименование: нежилое помещение, этаж №1</t>
        </is>
      </c>
      <c r="F106" s="3" t="n">
        <v>151578.947368421</v>
      </c>
      <c r="G106" s="3" t="n">
        <v>2880000</v>
      </c>
      <c r="H106" t="inlineStr">
        <is>
          <t>г Санкт-Петербург, ул Жени Егоровой, д 10 к 1 литера А, помещ 2-Н</t>
        </is>
      </c>
      <c r="I106" t="inlineStr">
        <is>
          <t>27 06 22 20:00</t>
        </is>
      </c>
      <c r="J106" t="inlineStr">
        <is>
          <t>78:36:0005502:2316</t>
        </is>
      </c>
      <c r="L106" t="inlineStr">
        <is>
          <t>EA</t>
        </is>
      </c>
      <c r="M106" t="inlineStr">
        <is>
          <t>М</t>
        </is>
      </c>
      <c r="N106" s="2">
        <f>HYPERLINK("https://yandex.ru/maps/?&amp;text=60.064953, 30.311377", "60.064953, 30.311377")</f>
        <v/>
      </c>
      <c r="O106" t="n">
        <v>11560</v>
      </c>
      <c r="P106" s="7" t="n">
        <v>13.11</v>
      </c>
      <c r="R106" t="n">
        <v>5251</v>
      </c>
      <c r="S106" s="8" t="n">
        <v>28.87</v>
      </c>
    </row>
    <row r="107">
      <c r="A107" s="4" t="n">
        <v>108</v>
      </c>
      <c r="B107" t="inlineStr">
        <is>
          <t>78</t>
        </is>
      </c>
      <c r="C107" s="1" t="n">
        <v>14.5</v>
      </c>
      <c r="D107" s="2">
        <f>HYPERLINK("https://torgi.gov.ru/new/public/lots/lot/21000002210000000560_1/(lotInfo:info)", "21000002210000000560_1")</f>
        <v/>
      </c>
      <c r="E107" t="inlineStr">
        <is>
          <t>Нежилое помещение, расположенное по адресу: Санкт-Петербург,, литера А, пом. 3-Н, назначение: нежилое помещение, этаж №1</t>
        </is>
      </c>
      <c r="F107" s="3" t="n">
        <v>207586.2068965517</v>
      </c>
      <c r="G107" s="3" t="n">
        <v>3010000</v>
      </c>
      <c r="H107" t="inlineStr">
        <is>
          <t>г Санкт-Петербург, Угловой пер, д 9 литера А, помещ 3-Н</t>
        </is>
      </c>
      <c r="I107" t="inlineStr">
        <is>
          <t>27 06 22 20:00</t>
        </is>
      </c>
      <c r="J107" t="inlineStr">
        <is>
          <t>78:32:0001717:1810</t>
        </is>
      </c>
      <c r="L107" t="inlineStr">
        <is>
          <t>EA</t>
        </is>
      </c>
      <c r="M107" t="inlineStr">
        <is>
          <t>М</t>
        </is>
      </c>
      <c r="N107" s="2">
        <f>HYPERLINK("https://yandex.ru/maps/?&amp;text=59.909815, 30.315787", "59.909815, 30.315787")</f>
        <v/>
      </c>
      <c r="O107" t="n">
        <v>7052</v>
      </c>
      <c r="P107" s="7" t="n">
        <v>29.44</v>
      </c>
      <c r="R107" t="n">
        <v>5224</v>
      </c>
      <c r="S107" s="8" t="n">
        <v>39.74</v>
      </c>
    </row>
    <row r="108">
      <c r="A108" s="4" t="n">
        <v>109</v>
      </c>
      <c r="B108" t="inlineStr">
        <is>
          <t>26</t>
        </is>
      </c>
      <c r="C108" s="1" t="n">
        <v>108.1</v>
      </c>
      <c r="D108" s="2">
        <f>HYPERLINK("https://torgi.gov.ru/new/public/lots/lot/22000102650000000001_2/(lotInfo:info)", "22000102650000000001_2")</f>
        <v/>
      </c>
      <c r="E108" t="inlineStr">
        <is>
          <t xml:space="preserve">нежилое помещение </t>
        </is>
      </c>
      <c r="F108" s="3" t="n">
        <v>86225.71692876966</v>
      </c>
      <c r="G108" s="3" t="n">
        <v>9321000</v>
      </c>
      <c r="H108" t="inlineStr">
        <is>
          <t>Ставропольский край, г Кисловодск, ул Красноармейская, д 10</t>
        </is>
      </c>
      <c r="I108" t="inlineStr">
        <is>
          <t>24 06 22 14:00</t>
        </is>
      </c>
      <c r="J108" t="inlineStr">
        <is>
          <t>26:34:020117:141</t>
        </is>
      </c>
      <c r="L108" t="inlineStr">
        <is>
          <t>EA</t>
        </is>
      </c>
      <c r="M108" t="inlineStr">
        <is>
          <t>М</t>
        </is>
      </c>
      <c r="N108" s="2">
        <f>HYPERLINK("https://yandex.ru/maps/?&amp;text=43.897697, 42.713787", "43.897697, 42.713787")</f>
        <v/>
      </c>
      <c r="O108" t="n">
        <v>4069</v>
      </c>
      <c r="P108" s="7" t="n">
        <v>21.19</v>
      </c>
      <c r="R108" t="n">
        <v>3404</v>
      </c>
      <c r="S108" s="8" t="n">
        <v>25.33</v>
      </c>
    </row>
    <row r="109">
      <c r="A109" s="4" t="n">
        <v>110</v>
      </c>
      <c r="B109" t="inlineStr">
        <is>
          <t>16</t>
        </is>
      </c>
      <c r="C109" s="1" t="n">
        <v>22.4</v>
      </c>
      <c r="D109" s="2">
        <f>HYPERLINK("https://torgi.gov.ru/new/public/lots/lot/21000026240000000015_8/(lotInfo:info)", "21000026240000000015_8")</f>
        <v/>
      </c>
      <c r="E109" t="inlineStr">
        <is>
          <t>помещения 1 этажа по</t>
        </is>
      </c>
      <c r="F109" s="3" t="n">
        <v>123247.5</v>
      </c>
      <c r="G109" s="3" t="n">
        <v>2760744</v>
      </c>
      <c r="H109" t="inlineStr">
        <is>
          <t>Респ Саха /Якутия/, Мирнинский улус, кв-л Энергетиков (поселок Чернышевский), д 3, помещ 1101</t>
        </is>
      </c>
      <c r="I109" t="inlineStr">
        <is>
          <t>21 06 22 09:00</t>
        </is>
      </c>
      <c r="J109" t="inlineStr">
        <is>
          <t>16:50:100419:1277</t>
        </is>
      </c>
      <c r="L109" t="inlineStr">
        <is>
          <t>EA</t>
        </is>
      </c>
      <c r="M109" t="inlineStr">
        <is>
          <t>М</t>
        </is>
      </c>
      <c r="N109" s="2">
        <f>HYPERLINK("https://yandex.ru/maps/?&amp;text=63.018836, 112.468867", "63.018836, 112.468867")</f>
        <v/>
      </c>
      <c r="O109" t="n">
        <v>15</v>
      </c>
      <c r="P109" s="7" t="n">
        <v>8216.5</v>
      </c>
      <c r="R109" t="n">
        <v>14</v>
      </c>
      <c r="S109" s="8" t="n">
        <v>8803.389999999999</v>
      </c>
    </row>
    <row r="110">
      <c r="A110" s="4" t="n">
        <v>111</v>
      </c>
      <c r="B110" t="inlineStr">
        <is>
          <t>16</t>
        </is>
      </c>
      <c r="C110" s="1" t="n">
        <v>114.2</v>
      </c>
      <c r="D110" s="2">
        <f>HYPERLINK("https://torgi.gov.ru/new/public/lots/lot/21000026240000000015_5/(lotInfo:info)", "21000026240000000015_5")</f>
        <v/>
      </c>
      <c r="E110" t="inlineStr">
        <is>
          <t>помещения 1 этажа по</t>
        </is>
      </c>
      <c r="F110" s="3" t="n">
        <v>72638.87915936952</v>
      </c>
      <c r="G110" s="3" t="n">
        <v>8295360</v>
      </c>
      <c r="H110" t="inlineStr">
        <is>
          <t>г Москва, ул Профсоюзная, д 12, помещ 1017</t>
        </is>
      </c>
      <c r="I110" t="inlineStr">
        <is>
          <t>21 06 22 09:00</t>
        </is>
      </c>
      <c r="J110" t="inlineStr">
        <is>
          <t>16:50:010209:109</t>
        </is>
      </c>
      <c r="L110" t="inlineStr">
        <is>
          <t>EA</t>
        </is>
      </c>
      <c r="M110" t="inlineStr">
        <is>
          <t>М</t>
        </is>
      </c>
      <c r="N110" s="2">
        <f>HYPERLINK("https://yandex.ru/maps/?&amp;text=55.685432, 37.570123", "55.685432, 37.570123")</f>
        <v/>
      </c>
      <c r="O110" t="n">
        <v>15595</v>
      </c>
      <c r="P110" s="7" t="n">
        <v>4.66</v>
      </c>
      <c r="R110" t="n">
        <v>14945</v>
      </c>
      <c r="S110" s="8" t="n">
        <v>4.86</v>
      </c>
    </row>
    <row r="111">
      <c r="A111" s="4" t="n">
        <v>112</v>
      </c>
      <c r="B111" t="inlineStr">
        <is>
          <t>16</t>
        </is>
      </c>
      <c r="C111" s="1" t="n">
        <v>124.9</v>
      </c>
      <c r="D111" s="2">
        <f>HYPERLINK("https://torgi.gov.ru/new/public/lots/lot/21000026240000000015_4/(lotInfo:info)", "21000026240000000015_4")</f>
        <v/>
      </c>
      <c r="E111" t="inlineStr">
        <is>
          <t>помещения 1 этажа по</t>
        </is>
      </c>
      <c r="F111" s="3" t="n">
        <v>19091.72137710168</v>
      </c>
      <c r="G111" s="3" t="n">
        <v>2384556</v>
      </c>
      <c r="H111" t="inlineStr">
        <is>
          <t>г Санкт-Петербург, ул Маяковского, д 8, помещ 1000</t>
        </is>
      </c>
      <c r="I111" t="inlineStr">
        <is>
          <t>21 06 22 09:00</t>
        </is>
      </c>
      <c r="J111" t="inlineStr">
        <is>
          <t>16:50:011104:379</t>
        </is>
      </c>
      <c r="L111" t="inlineStr">
        <is>
          <t>EA</t>
        </is>
      </c>
      <c r="M111" t="inlineStr">
        <is>
          <t>М</t>
        </is>
      </c>
      <c r="N111" s="2">
        <f>HYPERLINK("https://yandex.ru/maps/?&amp;text=59.933352, 30.354055", "59.933352, 30.354055")</f>
        <v/>
      </c>
      <c r="O111" t="n">
        <v>15575</v>
      </c>
      <c r="P111" s="7" t="n">
        <v>1.23</v>
      </c>
      <c r="R111" t="n">
        <v>14514</v>
      </c>
      <c r="S111" s="8" t="n">
        <v>1.32</v>
      </c>
    </row>
    <row r="112">
      <c r="A112" s="4" t="n">
        <v>113</v>
      </c>
      <c r="B112" t="inlineStr">
        <is>
          <t>56</t>
        </is>
      </c>
      <c r="C112" s="1" t="n">
        <v>179.7</v>
      </c>
      <c r="D112" s="2">
        <f>HYPERLINK("https://torgi.gov.ru/new/public/lots/lot/22000101880000000001_1/(lotInfo:info)", "22000101880000000001_1")</f>
        <v/>
      </c>
      <c r="E112" t="inlineStr">
        <is>
          <t>помещение, назначение: нежилое., этаж 1,2расположенное по адресу:.</t>
        </is>
      </c>
      <c r="F112" s="3" t="n">
        <v>3338.89816360601</v>
      </c>
      <c r="G112" s="3" t="n">
        <v>600000</v>
      </c>
      <c r="H112" t="inlineStr">
        <is>
          <t>Оренбургская обл, Переволоцкий р-н, село Зубочистка Вторая, ул Центральная, д 11, помещ 2</t>
        </is>
      </c>
      <c r="I112" t="inlineStr">
        <is>
          <t>20 06 22 07:00</t>
        </is>
      </c>
      <c r="J112" t="inlineStr">
        <is>
          <t xml:space="preserve">56:23:0401001:321, </t>
        </is>
      </c>
      <c r="L112" t="inlineStr">
        <is>
          <t>EA</t>
        </is>
      </c>
      <c r="M112" t="inlineStr">
        <is>
          <t>М</t>
        </is>
      </c>
      <c r="N112" s="2">
        <f>HYPERLINK("https://yandex.ru/maps/?&amp;text=51.667953, 54.198029", "51.667953, 54.198029")</f>
        <v/>
      </c>
      <c r="O112" t="n">
        <v>233</v>
      </c>
      <c r="P112" s="7" t="n">
        <v>14.33</v>
      </c>
      <c r="R112" t="n">
        <v>233</v>
      </c>
      <c r="S112" s="8" t="n">
        <v>14.33</v>
      </c>
    </row>
    <row r="113">
      <c r="A113" s="4" t="n">
        <v>114</v>
      </c>
      <c r="B113" t="inlineStr">
        <is>
          <t>29</t>
        </is>
      </c>
      <c r="C113" s="1" t="n">
        <v>17.4</v>
      </c>
      <c r="D113" s="2">
        <f>HYPERLINK("https://torgi.gov.ru/new/public/lots/lot/21000006750000000006_8/(lotInfo:info)", "21000006750000000006_8")</f>
        <v/>
      </c>
      <c r="E113" t="inlineStr">
        <is>
          <t>Характеристика объекта: нежилое помещение расположено в девятиэтажном панельном жилом доме, год постройки – 1981.</t>
        </is>
      </c>
      <c r="F113" s="3" t="n">
        <v>75632.18390804599</v>
      </c>
      <c r="G113" s="3" t="n">
        <v>1316000</v>
      </c>
      <c r="H113" t="inlineStr">
        <is>
          <t>г Архангельск, ул Тимме Я.</t>
        </is>
      </c>
      <c r="I113" t="inlineStr">
        <is>
          <t>22 06 22 09:00</t>
        </is>
      </c>
      <c r="J113" t="inlineStr">
        <is>
          <t xml:space="preserve">29:22:050102:3741, </t>
        </is>
      </c>
      <c r="L113" t="inlineStr">
        <is>
          <t>EA</t>
        </is>
      </c>
      <c r="M113" t="inlineStr">
        <is>
          <t>М</t>
        </is>
      </c>
      <c r="N113" s="2">
        <f>HYPERLINK("https://yandex.ru/maps/?&amp;text=64.546236, 40.5641", "64.546236, 40.5641")</f>
        <v/>
      </c>
      <c r="O113" t="n">
        <v>3572</v>
      </c>
      <c r="P113" s="7" t="n">
        <v>21.17</v>
      </c>
      <c r="R113" t="n">
        <v>3572</v>
      </c>
      <c r="S113" s="8" t="n">
        <v>21.17</v>
      </c>
    </row>
    <row r="114">
      <c r="A114" s="4" t="n">
        <v>115</v>
      </c>
      <c r="B114" t="inlineStr">
        <is>
          <t>29</t>
        </is>
      </c>
      <c r="C114" s="1" t="n">
        <v>17.2</v>
      </c>
      <c r="D114" s="2">
        <f>HYPERLINK("https://torgi.gov.ru/new/public/lots/lot/21000006750000000006_2/(lotInfo:info)", "21000006750000000006_2")</f>
        <v/>
      </c>
      <c r="E114" t="inlineStr">
        <is>
          <t>Характеристика объекта: нежилое помещение расположено в девятиэтажном панельном жилом доме, год постройки – 1982.</t>
        </is>
      </c>
      <c r="F114" s="3" t="n">
        <v>50232.55813953489</v>
      </c>
      <c r="G114" s="3" t="n">
        <v>864000</v>
      </c>
      <c r="H114" t="inlineStr">
        <is>
          <t>г Архангельск, ул Ильича, д 2 к 1</t>
        </is>
      </c>
      <c r="I114" t="inlineStr">
        <is>
          <t>22 06 22 09:00</t>
        </is>
      </c>
      <c r="J114" t="inlineStr">
        <is>
          <t xml:space="preserve">29:22:031614:795, </t>
        </is>
      </c>
      <c r="L114" t="inlineStr">
        <is>
          <t>EA</t>
        </is>
      </c>
      <c r="M114" t="inlineStr">
        <is>
          <t>М</t>
        </is>
      </c>
      <c r="N114" s="2">
        <f>HYPERLINK("https://yandex.ru/maps/?&amp;text=64.5886, 40.580044", "64.5886, 40.580044")</f>
        <v/>
      </c>
      <c r="O114" t="n">
        <v>2932</v>
      </c>
      <c r="P114" s="7" t="n">
        <v>17.13</v>
      </c>
      <c r="R114" t="n">
        <v>1842</v>
      </c>
      <c r="S114" s="8" t="n">
        <v>27.27</v>
      </c>
    </row>
    <row r="115">
      <c r="A115" s="4" t="n">
        <v>116</v>
      </c>
      <c r="B115" t="inlineStr">
        <is>
          <t>77</t>
        </is>
      </c>
      <c r="C115" s="1" t="n">
        <v>12.4</v>
      </c>
      <c r="D115" s="2">
        <f>HYPERLINK("https://torgi.gov.ru/new/public/lots/lot/21000005000000001753_1/(lotInfo:info)", "21000005000000001753_1")</f>
        <v/>
      </c>
      <c r="E115" t="inlineStr">
        <is>
          <t>Продажа имущества, находящегося в собственности города Москвы, нежилое помещение по адресу:., Этаж № 1.</t>
        </is>
      </c>
      <c r="F115" s="3" t="n">
        <v>203854.8387096774</v>
      </c>
      <c r="G115" s="3" t="n">
        <v>2527800</v>
      </c>
      <c r="H115" t="inlineStr">
        <is>
          <t>г Москва, Варшавское шоссе, д 114 к 1, помещ 3/1</t>
        </is>
      </c>
      <c r="I115" t="inlineStr">
        <is>
          <t>28 06 22 12:00</t>
        </is>
      </c>
      <c r="J115" t="inlineStr">
        <is>
          <t>77:05:0001020:3772</t>
        </is>
      </c>
      <c r="L115" t="inlineStr">
        <is>
          <t>EA</t>
        </is>
      </c>
      <c r="M115" t="inlineStr">
        <is>
          <t>М</t>
        </is>
      </c>
      <c r="N115" s="2">
        <f>HYPERLINK("https://yandex.ru/maps/?&amp;text=55.638114, 37.617159", "55.638114, 37.617159")</f>
        <v/>
      </c>
      <c r="O115" t="n">
        <v>13754</v>
      </c>
      <c r="P115" s="7" t="n">
        <v>14.82</v>
      </c>
      <c r="R115" t="n">
        <v>11969</v>
      </c>
      <c r="S115" s="8" t="n">
        <v>17.03</v>
      </c>
    </row>
    <row r="116">
      <c r="A116" s="4" t="n">
        <v>117</v>
      </c>
      <c r="B116" t="inlineStr">
        <is>
          <t>13</t>
        </is>
      </c>
      <c r="C116" s="1" t="n">
        <v>82.8</v>
      </c>
      <c r="D116" s="2">
        <f>HYPERLINK("https://torgi.gov.ru/new/public/lots/lot/22000059440000000022_10/(lotInfo:info)", "22000059440000000022_10")</f>
        <v/>
      </c>
      <c r="E116" t="inlineStr">
        <is>
          <t>Краткая характеристика помещения: год постройки – 1972. 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      </is>
      </c>
      <c r="F116" s="3" t="n">
        <v>23743.96135265701</v>
      </c>
      <c r="G116" s="3" t="n">
        <v>1966000</v>
      </c>
      <c r="H116" t="inlineStr">
        <is>
          <t>г Саранск, ул М.Расковой</t>
        </is>
      </c>
      <c r="I116" t="inlineStr">
        <is>
          <t>20 06 22 12:00</t>
        </is>
      </c>
      <c r="L116" t="inlineStr">
        <is>
          <t>EA</t>
        </is>
      </c>
      <c r="M116" t="inlineStr">
        <is>
          <t>М</t>
        </is>
      </c>
      <c r="N116" s="2">
        <f>HYPERLINK("https://yandex.ru/maps/?&amp;text=54.17086, 45.142283", "54.17086, 45.142283")</f>
        <v/>
      </c>
      <c r="O116" t="n">
        <v>3594</v>
      </c>
      <c r="P116" s="7" t="n">
        <v>6.61</v>
      </c>
      <c r="R116" t="n">
        <v>3626</v>
      </c>
      <c r="S116" s="8" t="n">
        <v>6.55</v>
      </c>
    </row>
    <row r="117">
      <c r="A117" s="4" t="n">
        <v>118</v>
      </c>
      <c r="B117" t="inlineStr">
        <is>
          <t>42</t>
        </is>
      </c>
      <c r="C117" s="1" t="n">
        <v>104.2</v>
      </c>
      <c r="D117" s="2">
        <f>HYPERLINK("https://torgi.gov.ru/new/public/lots/lot/21000033300000000011_8/(lotInfo:info)", "21000033300000000011_8")</f>
        <v/>
      </c>
      <c r="E117" t="inlineStr">
        <is>
          <t>Нежилое помещение.расположенное по адресу:.</t>
        </is>
      </c>
      <c r="F117" s="3" t="n">
        <v>21252.39923224568</v>
      </c>
      <c r="G117" s="3" t="n">
        <v>2214500</v>
      </c>
      <c r="H117" t="inlineStr">
        <is>
          <t>Кемеровская область - Кузбасс, г Прокопьевск, ул 10-й микрорайон, д 7, помещ 1п</t>
        </is>
      </c>
      <c r="I117" t="inlineStr">
        <is>
          <t>20 06 22 08:00</t>
        </is>
      </c>
      <c r="J117" t="inlineStr">
        <is>
          <t xml:space="preserve">42:32:0103013:32317, </t>
        </is>
      </c>
      <c r="L117" t="inlineStr">
        <is>
          <t>EA</t>
        </is>
      </c>
      <c r="M117" t="inlineStr">
        <is>
          <t>М</t>
        </is>
      </c>
      <c r="N117" s="2">
        <f>HYPERLINK("https://yandex.ru/maps/?&amp;text=53.879721, 86.611293", "53.879721, 86.611293")</f>
        <v/>
      </c>
      <c r="O117" t="n">
        <v>1979</v>
      </c>
      <c r="P117" s="7" t="n">
        <v>10.74</v>
      </c>
      <c r="R117" t="n">
        <v>1103</v>
      </c>
      <c r="S117" s="8" t="n">
        <v>19.27</v>
      </c>
    </row>
    <row r="118">
      <c r="A118" s="4" t="n">
        <v>119</v>
      </c>
      <c r="B118" t="inlineStr">
        <is>
          <t>32</t>
        </is>
      </c>
      <c r="C118" s="1" t="n">
        <v>105.3</v>
      </c>
      <c r="D118" s="2">
        <f>HYPERLINK("https://torgi.gov.ru/new/public/lots/lot/21000008500000000063_1/(lotInfo:info)", "21000008500000000063_1")</f>
        <v/>
      </c>
      <c r="E118" t="inlineStr">
        <is>
          <t>Находящееся в муниципальной собственности нежилое помещение . (этаж № 1), расположенное по адресу:</t>
        </is>
      </c>
      <c r="F118" s="3" t="n">
        <v>15669.51566951567</v>
      </c>
      <c r="G118" s="3" t="n">
        <v>1650000</v>
      </c>
      <c r="H118" t="inlineStr">
        <is>
          <t>г Брянск, ул Орловская, д 16</t>
        </is>
      </c>
      <c r="I118" t="inlineStr">
        <is>
          <t>21 06 22 10:00</t>
        </is>
      </c>
      <c r="J118" t="inlineStr">
        <is>
          <t>32:28:0015002:2753</t>
        </is>
      </c>
      <c r="L118" t="inlineStr">
        <is>
          <t>EA</t>
        </is>
      </c>
      <c r="M118" t="inlineStr">
        <is>
          <t>М</t>
        </is>
      </c>
      <c r="N118" s="2">
        <f>HYPERLINK("https://yandex.ru/maps/?&amp;text=53.304996, 34.2944", "53.304996, 34.2944")</f>
        <v/>
      </c>
      <c r="O118" t="n">
        <v>958</v>
      </c>
      <c r="P118" s="7" t="n">
        <v>16.36</v>
      </c>
      <c r="R118" t="n">
        <v>958</v>
      </c>
      <c r="S118" s="8" t="n">
        <v>16.36</v>
      </c>
    </row>
    <row r="119">
      <c r="A119" s="4" t="n">
        <v>120</v>
      </c>
      <c r="B119" t="inlineStr">
        <is>
          <t>27</t>
        </is>
      </c>
      <c r="C119" s="1" t="n">
        <v>261.8</v>
      </c>
      <c r="D119" s="2">
        <f>HYPERLINK("https://torgi.gov.ru/new/public/lots/lot/21000019020000000011_1/(lotInfo:info)", "21000019020000000011_1")</f>
        <v/>
      </c>
      <c r="E119" t="inlineStr">
        <is>
          <t>Функциональное помещение I (1-26), назначение: нежилое., этаж 1, расположенное по адресу:</t>
        </is>
      </c>
      <c r="F119" s="3" t="n">
        <v>19174.94270435447</v>
      </c>
      <c r="G119" s="3" t="n">
        <v>5020000</v>
      </c>
      <c r="H119" t="inlineStr">
        <is>
          <t>Хабаровский край, г Амурск, пр-кт Мира, д 14</t>
        </is>
      </c>
      <c r="I119" t="inlineStr">
        <is>
          <t>17 06 22 14:00</t>
        </is>
      </c>
      <c r="L119" t="inlineStr">
        <is>
          <t>EA</t>
        </is>
      </c>
      <c r="M119" t="inlineStr">
        <is>
          <t>М</t>
        </is>
      </c>
      <c r="N119" s="2">
        <f>HYPERLINK("https://yandex.ru/maps/?&amp;text=50.218704, 136.90366", "50.218704, 136.90366")</f>
        <v/>
      </c>
      <c r="O119" t="n">
        <v>766</v>
      </c>
      <c r="P119" s="7" t="n">
        <v>25.03</v>
      </c>
      <c r="R119" t="n">
        <v>1296</v>
      </c>
      <c r="S119" s="8" t="n">
        <v>14.8</v>
      </c>
    </row>
    <row r="120">
      <c r="A120" s="4" t="n">
        <v>121</v>
      </c>
      <c r="B120" t="inlineStr">
        <is>
          <t>50</t>
        </is>
      </c>
      <c r="C120" s="1" t="n">
        <v>16.6</v>
      </c>
      <c r="D120" s="2">
        <f>HYPERLINK("https://torgi.gov.ru/new/public/lots/lot/21000004710000001532_1/(lotInfo:info)", "21000004710000001532_1")</f>
        <v/>
      </c>
      <c r="E120" t="inlineStr">
        <is>
          <t>Продажа нежилого помещения 16,6 кв.м в Раменском г.о.</t>
        </is>
      </c>
      <c r="F120" s="3" t="n">
        <v>41820</v>
      </c>
      <c r="G120" s="3" t="n">
        <v>694212</v>
      </c>
      <c r="H120" t="inlineStr">
        <is>
          <t>Московская обл, г Раменское, Донинское шоссе, д 6, помещ 1</t>
        </is>
      </c>
      <c r="I120" t="inlineStr">
        <is>
          <t>27 06 22 15:00</t>
        </is>
      </c>
      <c r="J120" t="inlineStr">
        <is>
          <t>50:23:0000000:101055</t>
        </is>
      </c>
      <c r="L120" t="inlineStr">
        <is>
          <t>EA</t>
        </is>
      </c>
      <c r="M120" t="inlineStr">
        <is>
          <t>М</t>
        </is>
      </c>
      <c r="N120" s="2">
        <f>HYPERLINK("https://yandex.ru/maps/?&amp;text=55.577638, 38.24289", "55.577638, 38.24289")</f>
        <v/>
      </c>
      <c r="O120" t="n">
        <v>994</v>
      </c>
      <c r="P120" s="7" t="n">
        <v>42.07</v>
      </c>
      <c r="R120" t="n">
        <v>1090</v>
      </c>
      <c r="S120" s="8" t="n">
        <v>38.37</v>
      </c>
    </row>
    <row r="121">
      <c r="A121" s="4" t="n">
        <v>122</v>
      </c>
      <c r="B121" t="inlineStr">
        <is>
          <t>2</t>
        </is>
      </c>
      <c r="C121" s="1" t="n">
        <v>491.1</v>
      </c>
      <c r="D121" s="2">
        <f>HYPERLINK("https://torgi.gov.ru/new/public/lots/lot/22000022990000000003_1/(lotInfo:info)", "22000022990000000003_1")</f>
        <v/>
      </c>
      <c r="E121" t="inlineStr">
        <is>
          <t>- .,- этажность: двухэтажное,- год постройки: 1917,- материал стен: кирпичные- наличие коммуникаций: отсутствуют.</t>
        </is>
      </c>
      <c r="F121" s="3" t="n">
        <v>3182.651191203421</v>
      </c>
      <c r="G121" s="3" t="n">
        <v>1563000</v>
      </c>
      <c r="H121" t="inlineStr">
        <is>
          <t>Респ Башкортостан, г Благовещенск, ул Российская, уч 1</t>
        </is>
      </c>
      <c r="I121" t="inlineStr">
        <is>
          <t>21 06 22 12:00</t>
        </is>
      </c>
      <c r="J121" t="inlineStr">
        <is>
          <t>02:69:010101:134</t>
        </is>
      </c>
      <c r="L121" t="inlineStr">
        <is>
          <t>EA</t>
        </is>
      </c>
      <c r="M121" t="inlineStr">
        <is>
          <t>М</t>
        </is>
      </c>
      <c r="N121" s="2">
        <f>HYPERLINK("https://yandex.ru/maps/?&amp;text=55.052923, 55.993393", "55.052923, 55.993393")</f>
        <v/>
      </c>
      <c r="O121" t="n">
        <v>66</v>
      </c>
      <c r="P121" s="7" t="n">
        <v>48.22</v>
      </c>
      <c r="R121" t="n">
        <v>336</v>
      </c>
      <c r="S121" s="8" t="n">
        <v>9.470000000000001</v>
      </c>
    </row>
    <row r="122">
      <c r="A122" s="4" t="n">
        <v>123</v>
      </c>
      <c r="B122" t="inlineStr">
        <is>
          <t>76</t>
        </is>
      </c>
      <c r="C122" s="1" t="n">
        <v>30.6</v>
      </c>
      <c r="D122" s="2">
        <f>HYPERLINK("https://torgi.gov.ru/new/public/lots/lot/21000012550000000039_1/(lotInfo:info)", "21000012550000000039_1")</f>
        <v/>
      </c>
      <c r="E122" t="inlineStr">
        <is>
          <t>помещения, назначение: нежилое, этаж: 1, номера на поэтажном плане 1, 2, 4, 5, расположенные по адресу:, существующие ограничения (обременения) права: не зарегистрировано.</t>
        </is>
      </c>
      <c r="F122" s="3" t="n">
        <v>71699.34640522876</v>
      </c>
      <c r="G122" s="3" t="n">
        <v>2194000</v>
      </c>
      <c r="H122" t="inlineStr">
        <is>
          <t>г Ярославль, ул Гагарина, д 53</t>
        </is>
      </c>
      <c r="I122" t="inlineStr">
        <is>
          <t>22 06 22 12:00</t>
        </is>
      </c>
      <c r="L122" t="inlineStr">
        <is>
          <t>EA</t>
        </is>
      </c>
      <c r="M122" t="inlineStr">
        <is>
          <t>М</t>
        </is>
      </c>
      <c r="N122" s="2">
        <f>HYPERLINK("https://yandex.ru/maps/?&amp;text=57.580948, 39.8358", "57.580948, 39.8358")</f>
        <v/>
      </c>
      <c r="O122" t="n">
        <v>2857</v>
      </c>
      <c r="P122" s="7" t="n">
        <v>25.1</v>
      </c>
      <c r="R122" t="n">
        <v>3194</v>
      </c>
      <c r="S122" s="8" t="n">
        <v>22.45</v>
      </c>
    </row>
    <row r="123">
      <c r="A123" s="4" t="n">
        <v>124</v>
      </c>
      <c r="B123" t="inlineStr">
        <is>
          <t>2</t>
        </is>
      </c>
      <c r="C123" s="1" t="n">
        <v>13.7</v>
      </c>
      <c r="D123" s="2">
        <f>HYPERLINK("https://torgi.gov.ru/new/public/lots/lot/21000028230000000013_1/(lotInfo:info)", "21000028230000000013_1")</f>
        <v/>
      </c>
      <c r="E123" t="inlineStr">
        <is>
          <t>часть встроенного нежилого помещения на первом этаже в пятиэтажном жилом доме, номер на поэтажном плане №31расположенное по адресу:. М.Г. Амирова, д.2.</t>
        </is>
      </c>
      <c r="F123" s="3" t="n">
        <v>39930.65693430657</v>
      </c>
      <c r="G123" s="3" t="n">
        <v>547050</v>
      </c>
      <c r="H123" t="inlineStr">
        <is>
          <t>Респ Башкортостан, г Белебей, ул им М.Г. Амирова, д 2</t>
        </is>
      </c>
      <c r="I123" t="inlineStr">
        <is>
          <t>15 06 22 15:30</t>
        </is>
      </c>
      <c r="J123" t="inlineStr">
        <is>
          <t xml:space="preserve">02:63:011516:490, </t>
        </is>
      </c>
      <c r="L123" t="inlineStr">
        <is>
          <t>EA</t>
        </is>
      </c>
      <c r="M123" t="inlineStr">
        <is>
          <t>М</t>
        </is>
      </c>
      <c r="N123" s="2">
        <f>HYPERLINK("https://yandex.ru/maps/?&amp;text=54.099747, 54.104973", "54.099747, 54.104973")</f>
        <v/>
      </c>
      <c r="O123" t="n">
        <v>1960</v>
      </c>
      <c r="P123" s="7" t="n">
        <v>20.37</v>
      </c>
      <c r="R123" t="n">
        <v>1960</v>
      </c>
      <c r="S123" s="8" t="n">
        <v>20.37</v>
      </c>
    </row>
    <row r="124">
      <c r="A124" s="4" t="n">
        <v>125</v>
      </c>
      <c r="B124" t="inlineStr">
        <is>
          <t>38</t>
        </is>
      </c>
      <c r="C124" s="1" t="n">
        <v>49.7</v>
      </c>
      <c r="D124" s="2">
        <f>HYPERLINK("https://torgi.gov.ru/new/public/lots/lot/22000092900000000001_1/(lotInfo:info)", "22000092900000000001_1")</f>
        <v/>
      </c>
      <c r="E124" t="inlineStr">
        <is>
          <t>Нежилое помещение, назначение: нежилое помещение., этаж №1расположенное по адресу:,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производства.расположенный по адресу:,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      </is>
      </c>
      <c r="F124" s="3" t="n">
        <v>135815.6941649899</v>
      </c>
      <c r="G124" s="3" t="n">
        <v>6750040</v>
      </c>
      <c r="H124" t="inlineStr">
        <is>
          <t>Иркутская обл, Иркутский р-н, село Мамоны, ул Центральная</t>
        </is>
      </c>
      <c r="I124" t="inlineStr">
        <is>
          <t>16 06 22 15:00</t>
        </is>
      </c>
      <c r="J124" t="inlineStr">
        <is>
          <t xml:space="preserve">38:06:130101:2679, </t>
        </is>
      </c>
      <c r="L124" t="inlineStr">
        <is>
          <t>EA</t>
        </is>
      </c>
      <c r="M124" t="inlineStr">
        <is>
          <t>М</t>
        </is>
      </c>
      <c r="N124" s="2">
        <f>HYPERLINK("https://yandex.ru/maps/?&amp;text=52.308495, 104.176096", "52.308495, 104.176096")</f>
        <v/>
      </c>
      <c r="O124" t="n">
        <v>120</v>
      </c>
      <c r="P124" s="7" t="n">
        <v>1131.8</v>
      </c>
      <c r="R124" t="n">
        <v>235</v>
      </c>
      <c r="S124" s="8" t="n">
        <v>577.9400000000001</v>
      </c>
    </row>
    <row r="125">
      <c r="A125" s="4" t="n">
        <v>126</v>
      </c>
      <c r="B125" t="inlineStr">
        <is>
          <t>50</t>
        </is>
      </c>
      <c r="C125" s="1" t="n">
        <v>169.9</v>
      </c>
      <c r="D125" s="2">
        <f>HYPERLINK("https://torgi.gov.ru/new/public/lots/lot/21000004710000000856_1/(lotInfo:info)", "21000004710000000856_1")</f>
        <v/>
      </c>
      <c r="E125" t="inlineStr">
        <is>
          <t>Продажа нежилого помещения 169,9 в Сергиево-Посадском г.о.</t>
        </is>
      </c>
      <c r="F125" s="3" t="n">
        <v>12875.80929958799</v>
      </c>
      <c r="G125" s="3" t="n">
        <v>2187600</v>
      </c>
      <c r="H125" t="inlineStr">
        <is>
          <t>Московская обл, г Сергиев Посад, ул Куликова, д 21, помещ 1</t>
        </is>
      </c>
      <c r="I125" t="inlineStr">
        <is>
          <t>04 07 22 15:00</t>
        </is>
      </c>
      <c r="J125" t="inlineStr">
        <is>
          <t>50:05:0000000:26263</t>
        </is>
      </c>
      <c r="L125" t="inlineStr">
        <is>
          <t>PP</t>
        </is>
      </c>
      <c r="M125" t="inlineStr">
        <is>
          <t>М</t>
        </is>
      </c>
      <c r="N125" s="2">
        <f>HYPERLINK("https://yandex.ru/maps/?&amp;text=56.293163, 38.119316", "56.293163, 38.119316")</f>
        <v/>
      </c>
      <c r="O125" t="n">
        <v>934</v>
      </c>
      <c r="P125" s="7" t="n">
        <v>13.79</v>
      </c>
      <c r="R125" t="n">
        <v>934</v>
      </c>
      <c r="S125" s="8" t="n">
        <v>13.79</v>
      </c>
    </row>
    <row r="126">
      <c r="A126" s="4" t="n">
        <v>127</v>
      </c>
      <c r="B126" t="inlineStr">
        <is>
          <t>51</t>
        </is>
      </c>
      <c r="C126" s="1" t="n">
        <v>642.6</v>
      </c>
      <c r="D126" s="2">
        <f>HYPERLINK("https://torgi.gov.ru/new/public/lots/lot/22000011690000000016_3/(lotInfo:info)", "22000011690000000016_3")</f>
        <v/>
      </c>
      <c r="E126" t="inlineStr">
        <is>
          <t>помещение, назначение: нежилое., этаж: цокольный, номера на поэтажном плане I(1-15), II(1-20), расположенное по адресу:</t>
        </is>
      </c>
      <c r="F126" s="3" t="n">
        <v>4979.769685652039</v>
      </c>
      <c r="G126" s="3" t="n">
        <v>3200000</v>
      </c>
      <c r="H126" t="inlineStr">
        <is>
          <t>Мурманская обл, г Кировск, ул Кирова, д 3</t>
        </is>
      </c>
      <c r="I126" t="inlineStr">
        <is>
          <t>19 06 22 14:00</t>
        </is>
      </c>
      <c r="J126" t="inlineStr">
        <is>
          <t>51:16:0010102:595</t>
        </is>
      </c>
      <c r="L126" t="inlineStr">
        <is>
          <t>EA</t>
        </is>
      </c>
      <c r="M126" t="inlineStr">
        <is>
          <t>М</t>
        </is>
      </c>
      <c r="N126" s="2">
        <f>HYPERLINK("https://yandex.ru/maps/?&amp;text=67.661255, 33.721024", "67.661255, 33.721024")</f>
        <v/>
      </c>
      <c r="O126" t="n">
        <v>337</v>
      </c>
      <c r="P126" s="7" t="n">
        <v>14.78</v>
      </c>
      <c r="R126" t="n">
        <v>337</v>
      </c>
      <c r="S126" s="8" t="n">
        <v>14.78</v>
      </c>
    </row>
    <row r="127">
      <c r="A127" s="4" t="n">
        <v>128</v>
      </c>
      <c r="B127" t="inlineStr">
        <is>
          <t>33</t>
        </is>
      </c>
      <c r="C127" s="1" t="n">
        <v>21.3</v>
      </c>
      <c r="D127" s="2">
        <f>HYPERLINK("https://torgi.gov.ru/new/public/lots/lot/21000004310000000145_4/(lotInfo:info)", "21000004310000000145_4")</f>
        <v/>
      </c>
      <c r="E127" t="inlineStr">
        <is>
          <t>Нежилое помещение (место на подземной парковке), пл. 16,8 кв.м, к.н. 33:22:000000:4854, адрес:. Собственник: Курышев С.В.</t>
        </is>
      </c>
      <c r="F127" s="3" t="n">
        <v>31228.26291079812</v>
      </c>
      <c r="G127" s="3" t="n">
        <v>665162</v>
      </c>
      <c r="H127" t="inlineStr">
        <is>
          <t>г Владимир, ул Стрелецкая, д 2</t>
        </is>
      </c>
      <c r="I127" t="inlineStr">
        <is>
          <t>15 06 22 20:59</t>
        </is>
      </c>
      <c r="J127" t="inlineStr">
        <is>
          <t>33:22:000000:4854</t>
        </is>
      </c>
      <c r="L127" t="inlineStr">
        <is>
          <t>EA</t>
        </is>
      </c>
      <c r="M127" t="inlineStr">
        <is>
          <t>Д</t>
        </is>
      </c>
      <c r="N127" s="2">
        <f>HYPERLINK("https://yandex.ru/maps/?&amp;text=56.132138, 40.389944", "56.132138, 40.389944")</f>
        <v/>
      </c>
      <c r="O127" t="n">
        <v>4673</v>
      </c>
      <c r="P127" s="7" t="n">
        <v>6.68</v>
      </c>
      <c r="R127" t="n">
        <v>4673</v>
      </c>
      <c r="S127" s="8" t="n">
        <v>6.68</v>
      </c>
    </row>
    <row r="128">
      <c r="A128" s="4" t="n">
        <v>129</v>
      </c>
      <c r="B128" t="inlineStr">
        <is>
          <t>78</t>
        </is>
      </c>
      <c r="C128" s="1" t="n">
        <v>12.9</v>
      </c>
      <c r="D128" s="2">
        <f>HYPERLINK("https://torgi.gov.ru/new/public/lots/lot/21000002210000000535_1/(lotInfo:info)", "21000002210000000535_1")</f>
        <v/>
      </c>
      <c r="E128" t="inlineStr">
        <is>
          <t>Нежилое помещение, расположенное по адресу: Санкт-Петербург,, литера А, пом. 3-Н, назначение: нежилое помещение, наименование: нежилое помещение, этаж №1</t>
        </is>
      </c>
      <c r="F128" s="3" t="n">
        <v>130232.5581395349</v>
      </c>
      <c r="G128" s="3" t="n">
        <v>1680000</v>
      </c>
      <c r="H128" t="inlineStr">
        <is>
          <t>г Санкт-Петербург, ул Кирочная, д 11 литера А, помещ 3-Н</t>
        </is>
      </c>
      <c r="I128" t="inlineStr">
        <is>
          <t>15 06 22 20:00</t>
        </is>
      </c>
      <c r="J128" t="inlineStr">
        <is>
          <t>78:31:0001271:2127</t>
        </is>
      </c>
      <c r="L128" t="inlineStr">
        <is>
          <t>EA</t>
        </is>
      </c>
      <c r="M128" t="inlineStr">
        <is>
          <t>М</t>
        </is>
      </c>
      <c r="N128" s="2">
        <f>HYPERLINK("https://yandex.ru/maps/?&amp;text=59.943787, 30.354559", "59.943787, 30.354559")</f>
        <v/>
      </c>
      <c r="O128" t="n">
        <v>14224</v>
      </c>
      <c r="P128" s="7" t="n">
        <v>9.16</v>
      </c>
      <c r="R128" t="n">
        <v>10320</v>
      </c>
      <c r="S128" s="8" t="n">
        <v>12.62</v>
      </c>
    </row>
    <row r="129">
      <c r="A129" s="4" t="n">
        <v>130</v>
      </c>
      <c r="B129" t="inlineStr">
        <is>
          <t>77</t>
        </is>
      </c>
      <c r="C129" s="1" t="n">
        <v>50.1</v>
      </c>
      <c r="D129" s="2">
        <f>HYPERLINK("https://torgi.gov.ru/new/public/lots/lot/21000005000000001605_1/(lotInfo:info)", "21000005000000001605_1")</f>
        <v/>
      </c>
      <c r="E129" t="inlineStr">
        <is>
          <t>Продажа имущества, находящегося в собственности города Москвы, нежилое помещение по адресу:</t>
        </is>
      </c>
      <c r="F129" s="3" t="n">
        <v>179609.4161676647</v>
      </c>
      <c r="G129" s="3" t="n">
        <v>8998431.75</v>
      </c>
      <c r="H129" t="inlineStr">
        <is>
          <t>г Москва, Ленинский пр-кт, д 7, помещ 1/1</t>
        </is>
      </c>
      <c r="I129" t="inlineStr">
        <is>
          <t>05 07 22 12:00</t>
        </is>
      </c>
      <c r="J129" t="inlineStr">
        <is>
          <t>77:01:0006004:3374</t>
        </is>
      </c>
      <c r="L129" t="inlineStr">
        <is>
          <t>EA</t>
        </is>
      </c>
      <c r="M129" t="inlineStr">
        <is>
          <t>М</t>
        </is>
      </c>
      <c r="N129" s="2">
        <f>HYPERLINK("https://yandex.ru/maps/?&amp;text=55.724738, 37.60637", "55.724738, 37.60637")</f>
        <v/>
      </c>
      <c r="O129" t="n">
        <v>5107</v>
      </c>
      <c r="P129" s="7" t="n">
        <v>35.17</v>
      </c>
      <c r="R129" t="n">
        <v>4909</v>
      </c>
      <c r="S129" s="8" t="n">
        <v>36.59</v>
      </c>
    </row>
    <row r="130">
      <c r="A130" s="4" t="n">
        <v>131</v>
      </c>
      <c r="B130" t="inlineStr">
        <is>
          <t>42</t>
        </is>
      </c>
      <c r="C130" s="1" t="n">
        <v>47.3</v>
      </c>
      <c r="D130" s="2">
        <f>HYPERLINK("https://torgi.gov.ru/new/public/lots/lot/21000016050000000017_5/(lotInfo:info)", "21000016050000000017_5")</f>
        <v/>
      </c>
      <c r="E130" t="inlineStr">
        <is>
          <t>См. в документах по лоту</t>
        </is>
      </c>
      <c r="F130" s="3" t="n">
        <v>31966.1733615222</v>
      </c>
      <c r="G130" s="3" t="n">
        <v>1512000</v>
      </c>
      <c r="H130" t="inlineStr">
        <is>
          <t>Кемеровская область - Кузбасс, г Новокузнецк, р-н Центральный, пр-кт Строителей, д 45, помещ 52</t>
        </is>
      </c>
      <c r="I130" t="inlineStr">
        <is>
          <t>17 06 22 14:00</t>
        </is>
      </c>
      <c r="J130" t="inlineStr">
        <is>
          <t>42:30:0301035: 1488</t>
        </is>
      </c>
      <c r="L130" t="inlineStr">
        <is>
          <t>EA</t>
        </is>
      </c>
      <c r="M130" t="inlineStr">
        <is>
          <t>М</t>
        </is>
      </c>
      <c r="N130" s="2">
        <f>HYPERLINK("https://yandex.ru/maps/?&amp;text=53.770125, 87.117745", "53.770125, 87.117745")</f>
        <v/>
      </c>
      <c r="O130" t="n">
        <v>3741</v>
      </c>
      <c r="P130" s="7" t="n">
        <v>8.539999999999999</v>
      </c>
      <c r="R130" t="n">
        <v>3565</v>
      </c>
      <c r="S130" s="8" t="n">
        <v>8.970000000000001</v>
      </c>
    </row>
    <row r="131">
      <c r="A131" s="4" t="n">
        <v>132</v>
      </c>
      <c r="B131" t="inlineStr">
        <is>
          <t>69</t>
        </is>
      </c>
      <c r="C131" s="1" t="n">
        <v>72.8</v>
      </c>
      <c r="D131" s="2">
        <f>HYPERLINK("https://torgi.gov.ru/new/public/lots/lot/22000009580000000001_1/(lotInfo:info)", "22000009580000000001_1")</f>
        <v/>
      </c>
      <c r="E131" t="inlineStr">
        <is>
          <t>нежилое помещение I. расположенное по адресу:.</t>
        </is>
      </c>
      <c r="F131" s="3" t="n">
        <v>39987.98076923077</v>
      </c>
      <c r="G131" s="3" t="n">
        <v>2911125</v>
      </c>
      <c r="H131" t="inlineStr">
        <is>
          <t>Тверская обл, г Ржев, Ленинградское шоссе, д 52, помещ 1</t>
        </is>
      </c>
      <c r="I131" t="inlineStr">
        <is>
          <t>10 06 22 14:00</t>
        </is>
      </c>
      <c r="J131" t="inlineStr">
        <is>
          <t xml:space="preserve">69:46:0070230:304, </t>
        </is>
      </c>
      <c r="L131" t="inlineStr">
        <is>
          <t>EA</t>
        </is>
      </c>
      <c r="M131" t="inlineStr">
        <is>
          <t>М</t>
        </is>
      </c>
      <c r="N131" s="2">
        <f>HYPERLINK("https://yandex.ru/maps/?&amp;text=56.269581, 34.328391", "56.269581, 34.328391")</f>
        <v/>
      </c>
      <c r="O131" t="n">
        <v>1723</v>
      </c>
      <c r="P131" s="7" t="n">
        <v>23.21</v>
      </c>
      <c r="R131" t="n">
        <v>1723</v>
      </c>
      <c r="S131" s="8" t="n">
        <v>23.21</v>
      </c>
    </row>
    <row r="132">
      <c r="A132" s="4" t="n">
        <v>133</v>
      </c>
      <c r="B132" t="inlineStr">
        <is>
          <t>32</t>
        </is>
      </c>
      <c r="C132" s="1" t="n">
        <v>54</v>
      </c>
      <c r="D132" s="2">
        <f>HYPERLINK("https://torgi.gov.ru/new/public/lots/lot/21000008500000000043_1/(lotInfo:info)", "21000008500000000043_1")</f>
        <v/>
      </c>
      <c r="E132" t="inlineStr">
        <is>
          <t>Находящееся в муниципальной собственности нежилое помещение . (этаж № 1), расположенное по адресу:</t>
        </is>
      </c>
      <c r="F132" s="3" t="n">
        <v>24888.88888888889</v>
      </c>
      <c r="G132" s="3" t="n">
        <v>1344000</v>
      </c>
      <c r="H132" t="inlineStr">
        <is>
          <t>г Брянск, ул Фосфоритная, д 11 к 2</t>
        </is>
      </c>
      <c r="I132" t="inlineStr">
        <is>
          <t>14 06 22 10:00</t>
        </is>
      </c>
      <c r="J132" t="inlineStr">
        <is>
          <t>32:28:0021603:1104</t>
        </is>
      </c>
      <c r="L132" t="inlineStr">
        <is>
          <t>EA</t>
        </is>
      </c>
      <c r="M132" t="inlineStr">
        <is>
          <t>М</t>
        </is>
      </c>
      <c r="N132" s="2">
        <f>HYPERLINK("https://yandex.ru/maps/?&amp;text=53.248675, 34.448226", "53.248675, 34.448226")</f>
        <v/>
      </c>
      <c r="O132" t="n">
        <v>5625</v>
      </c>
      <c r="P132" s="7" t="n">
        <v>4.42</v>
      </c>
      <c r="R132" t="n">
        <v>3434</v>
      </c>
      <c r="S132" s="8" t="n">
        <v>7.25</v>
      </c>
    </row>
    <row r="133">
      <c r="A133" s="4" t="n">
        <v>134</v>
      </c>
      <c r="B133" t="inlineStr">
        <is>
          <t>77</t>
        </is>
      </c>
      <c r="C133" s="1" t="n">
        <v>79.7</v>
      </c>
      <c r="D133" s="2">
        <f>HYPERLINK("https://torgi.gov.ru/new/public/lots/lot/21000005000000001540_1/(lotInfo:info)", "21000005000000001540_1")</f>
        <v/>
      </c>
      <c r="E133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адресу:.</t>
        </is>
      </c>
      <c r="F133" s="3" t="n">
        <v>120439.774153074</v>
      </c>
      <c r="G133" s="3" t="n">
        <v>9599050</v>
      </c>
      <c r="H133" t="inlineStr">
        <is>
          <t>г Москва, ул Руднёвка, д 14, помещ 20/1</t>
        </is>
      </c>
      <c r="I133" t="inlineStr">
        <is>
          <t>16 06 22 12:00</t>
        </is>
      </c>
      <c r="J133" t="inlineStr">
        <is>
          <t>77:03:0010008:5350</t>
        </is>
      </c>
      <c r="L133" t="inlineStr">
        <is>
          <t>EA</t>
        </is>
      </c>
      <c r="M133" t="inlineStr">
        <is>
          <t>М</t>
        </is>
      </c>
      <c r="N133" s="2">
        <f>HYPERLINK("https://yandex.ru/maps/?&amp;text=55.715124, 37.89181", "55.715124, 37.89181")</f>
        <v/>
      </c>
      <c r="O133" t="n">
        <v>6518</v>
      </c>
      <c r="P133" s="7" t="n">
        <v>18.48</v>
      </c>
      <c r="R133" t="n">
        <v>4146</v>
      </c>
      <c r="S133" s="8" t="n">
        <v>29.05</v>
      </c>
    </row>
    <row r="134">
      <c r="A134" s="4" t="n">
        <v>135</v>
      </c>
      <c r="B134" t="inlineStr">
        <is>
          <t>34</t>
        </is>
      </c>
      <c r="C134" s="1" t="n">
        <v>45.3</v>
      </c>
      <c r="D134" s="2">
        <f>HYPERLINK("https://torgi.gov.ru/new/public/lots/lot/21000028510000000004_1/(lotInfo:info)", "21000028510000000004_1")</f>
        <v/>
      </c>
      <c r="E134" t="inlineStr">
        <is>
          <t>нежилое помещение.расположенное по адресу:</t>
        </is>
      </c>
      <c r="F134" s="3" t="n">
        <v>40846.55982339956</v>
      </c>
      <c r="G134" s="3" t="n">
        <v>1850349.16</v>
      </c>
      <c r="H134" t="inlineStr">
        <is>
          <t>Волгоградская обл, г Фролово, ул Фроловская, д 16/2а</t>
        </is>
      </c>
      <c r="I134" t="inlineStr">
        <is>
          <t>12 06 22 21:00</t>
        </is>
      </c>
      <c r="J134" t="inlineStr">
        <is>
          <t xml:space="preserve">34:39:000023:2596, </t>
        </is>
      </c>
      <c r="L134" t="inlineStr">
        <is>
          <t>EA</t>
        </is>
      </c>
      <c r="M134" t="inlineStr">
        <is>
          <t>М</t>
        </is>
      </c>
      <c r="N134" s="2">
        <f>HYPERLINK("https://yandex.ru/maps/?&amp;text=49.767542, 43.640022", "49.767542, 43.640022")</f>
        <v/>
      </c>
      <c r="O134" t="n">
        <v>1267</v>
      </c>
      <c r="P134" s="7" t="n">
        <v>32.24</v>
      </c>
      <c r="R134" t="n">
        <v>1267</v>
      </c>
      <c r="S134" s="8" t="n">
        <v>32.24</v>
      </c>
    </row>
    <row r="135">
      <c r="A135" s="4" t="n">
        <v>136</v>
      </c>
      <c r="B135" t="inlineStr">
        <is>
          <t>32</t>
        </is>
      </c>
      <c r="C135" s="1" t="n">
        <v>1092.5</v>
      </c>
      <c r="D135" s="2">
        <f>HYPERLINK("https://torgi.gov.ru/new/public/lots/lot/21000030690000000016_2/(lotInfo:info)", "21000030690000000016_2")</f>
        <v/>
      </c>
      <c r="E135" t="inlineStr">
        <is>
          <t>нежилое 2-этажное здание., инв.№32/201/13-171882, расположенная по адресу: , к/н 32:04:0110101:160</t>
        </is>
      </c>
      <c r="F135" s="3" t="n">
        <v>1043.743707093822</v>
      </c>
      <c r="G135" s="3" t="n">
        <v>1140290</v>
      </c>
      <c r="H135" t="inlineStr">
        <is>
          <t>Брянская обл, Гордеевский р-н, село Глинное, ул Зеленая, д 10</t>
        </is>
      </c>
      <c r="I135" t="inlineStr">
        <is>
          <t>06 06 22 08:00</t>
        </is>
      </c>
      <c r="L135" t="inlineStr">
        <is>
          <t>EA</t>
        </is>
      </c>
      <c r="M135" t="inlineStr">
        <is>
          <t>Д</t>
        </is>
      </c>
      <c r="N135" s="2">
        <f>HYPERLINK("https://yandex.ru/maps/?&amp;text=53.051819, 32.084606", "53.051819, 32.084606")</f>
        <v/>
      </c>
      <c r="O135" t="n">
        <v>181</v>
      </c>
      <c r="P135" s="7" t="n">
        <v>5.77</v>
      </c>
      <c r="R135" t="n">
        <v>181</v>
      </c>
      <c r="S135" s="8" t="n">
        <v>5.77</v>
      </c>
    </row>
    <row r="136">
      <c r="A136" s="4" t="n">
        <v>137</v>
      </c>
      <c r="B136" t="inlineStr">
        <is>
          <t>32</t>
        </is>
      </c>
      <c r="C136" s="1" t="n">
        <v>813.2</v>
      </c>
      <c r="D136" s="2">
        <f>HYPERLINK("https://torgi.gov.ru/new/public/lots/lot/21000030690000000016_3/(lotInfo:info)", "21000030690000000016_3")</f>
        <v/>
      </c>
      <c r="E136" t="inlineStr">
        <is>
          <t>нежилое 2-этажное здание., инв.№32/201/13-171907, расположенная по адресу: , к/н 32:04:0150101:300</t>
        </is>
      </c>
      <c r="F136" s="3" t="n">
        <v>1114.60895228726</v>
      </c>
      <c r="G136" s="3" t="n">
        <v>906400</v>
      </c>
      <c r="H136" t="inlineStr">
        <is>
          <t>Брянская обл, Гордеевский р-н, деревня Рудня-Воробьевка, ул Центральная, д 20</t>
        </is>
      </c>
      <c r="I136" t="inlineStr">
        <is>
          <t>06 06 22 08:00</t>
        </is>
      </c>
      <c r="L136" t="inlineStr">
        <is>
          <t>EA</t>
        </is>
      </c>
      <c r="M136" t="inlineStr">
        <is>
          <t>Д</t>
        </is>
      </c>
      <c r="N136" s="2">
        <f>HYPERLINK("https://yandex.ru/maps/?&amp;text=52.993109, 31.955347", "52.993109, 31.955347")</f>
        <v/>
      </c>
      <c r="O136" t="n">
        <v>117</v>
      </c>
      <c r="P136" s="7" t="n">
        <v>9.529999999999999</v>
      </c>
      <c r="R136" t="n">
        <v>64</v>
      </c>
      <c r="S136" s="8" t="n">
        <v>17.42</v>
      </c>
    </row>
    <row r="137">
      <c r="A137" s="4" t="n">
        <v>138</v>
      </c>
      <c r="B137" t="inlineStr">
        <is>
          <t>32</t>
        </is>
      </c>
      <c r="C137" s="1" t="n">
        <v>1033.7</v>
      </c>
      <c r="D137" s="2">
        <f>HYPERLINK("https://torgi.gov.ru/new/public/lots/lot/21000030690000000016_1/(lotInfo:info)", "21000030690000000016_1")</f>
        <v/>
      </c>
      <c r="E137" t="inlineStr">
        <is>
          <t>административное нежилое 2-этажное здание, литер А., инв.№4960:0000/А, расположенная по адресу: , к/н 32:04:0220301:44</t>
        </is>
      </c>
      <c r="F137" s="3" t="n">
        <v>1108.977459611106</v>
      </c>
      <c r="G137" s="3" t="n">
        <v>1146350</v>
      </c>
      <c r="H137" t="inlineStr">
        <is>
          <t>Брянская обл, село Гордеевка, ул Кирова, д 18А</t>
        </is>
      </c>
      <c r="I137" t="inlineStr">
        <is>
          <t>06 06 22 08:00</t>
        </is>
      </c>
      <c r="L137" t="inlineStr">
        <is>
          <t>EA</t>
        </is>
      </c>
      <c r="M137" t="inlineStr">
        <is>
          <t>Д</t>
        </is>
      </c>
      <c r="N137" s="2">
        <f>HYPERLINK("https://yandex.ru/maps/?&amp;text=52.965224, 31.968822", "52.965224, 31.968822")</f>
        <v/>
      </c>
      <c r="O137" t="n">
        <v>239</v>
      </c>
      <c r="P137" s="7" t="n">
        <v>4.64</v>
      </c>
      <c r="R137" t="n">
        <v>239</v>
      </c>
      <c r="S137" s="8" t="n">
        <v>4.64</v>
      </c>
    </row>
    <row r="138">
      <c r="A138" s="4" t="n">
        <v>139</v>
      </c>
      <c r="B138" t="inlineStr">
        <is>
          <t>18</t>
        </is>
      </c>
      <c r="C138" s="1" t="n">
        <v>51.4</v>
      </c>
      <c r="D138" s="2">
        <f>HYPERLINK("https://torgi.gov.ru/new/public/lots/lot/21000005540000000005_1/(lotInfo:info)", "21000005540000000005_1")</f>
        <v/>
      </c>
      <c r="E138" t="inlineStr">
        <is>
          <t>Нежилое помещение (назначение: нежилое помещение, этаж 2)</t>
        </is>
      </c>
      <c r="F138" s="3" t="n">
        <v>34840.46692607004</v>
      </c>
      <c r="G138" s="3" t="n">
        <v>1790800</v>
      </c>
      <c r="H138" t="inlineStr">
        <is>
          <t>Удмуртская Респ, г Воткинск, ул Ленина, д 18</t>
        </is>
      </c>
      <c r="I138" t="inlineStr">
        <is>
          <t>14 06 22 13:00</t>
        </is>
      </c>
      <c r="J138" t="inlineStr">
        <is>
          <t>18:27:030609:194</t>
        </is>
      </c>
      <c r="L138" t="inlineStr">
        <is>
          <t>EA</t>
        </is>
      </c>
      <c r="M138" t="inlineStr">
        <is>
          <t>М</t>
        </is>
      </c>
      <c r="N138" s="2">
        <f>HYPERLINK("https://yandex.ru/maps/?&amp;text=57.053043, 53.99023", "57.053043, 53.99023")</f>
        <v/>
      </c>
      <c r="O138" t="n">
        <v>3548</v>
      </c>
      <c r="P138" s="7" t="n">
        <v>9.82</v>
      </c>
      <c r="R138" t="n">
        <v>3548</v>
      </c>
      <c r="S138" s="8" t="n">
        <v>9.82</v>
      </c>
    </row>
    <row r="139">
      <c r="A139" s="4" t="n">
        <v>140</v>
      </c>
      <c r="B139" t="inlineStr">
        <is>
          <t>37</t>
        </is>
      </c>
      <c r="C139" s="1" t="n">
        <v>53.3</v>
      </c>
      <c r="D139" s="2">
        <f>HYPERLINK("https://torgi.gov.ru/new/public/lots/lot/22000079930000000006_1/(lotInfo:info)", "22000079930000000006_1")</f>
        <v/>
      </c>
      <c r="E139" t="inlineStr">
        <is>
          <t>- помещение, назначение: нежилое, этаж 1, 2, номера на поэтажном плане: 1 этаж – пом. 1, 2, 2 этаж – 1, 2, 3, 4, 5адрес объекта:- помещение, назначение: нежилое, этаж – 1, 2, номера на поэтажном плане – 19 на 1 этаже, с 6 по 20 включительно на 2 этажеадрес объекта: Ивановская область, Кинешемский район, г. Наволоки, ул. Советская, д. 15.</t>
        </is>
      </c>
      <c r="F139" s="3" t="n">
        <v>15196.99812382739</v>
      </c>
      <c r="G139" s="3" t="n">
        <v>810000</v>
      </c>
      <c r="H139" t="inlineStr">
        <is>
          <t>Ивановская обл, Кинешемский р-н, г Наволоки, ул Советская, д 15</t>
        </is>
      </c>
      <c r="I139" t="inlineStr">
        <is>
          <t>07 06 22 14:00</t>
        </is>
      </c>
      <c r="J139" t="inlineStr">
        <is>
          <t xml:space="preserve">37:07:010103:112, </t>
        </is>
      </c>
      <c r="L139" t="inlineStr">
        <is>
          <t>EA</t>
        </is>
      </c>
      <c r="M139" t="inlineStr">
        <is>
          <t>М</t>
        </is>
      </c>
      <c r="N139" s="2">
        <f>HYPERLINK("https://yandex.ru/maps/?&amp;text=57.4741, 41.961277", "57.4741, 41.961277")</f>
        <v/>
      </c>
      <c r="O139" t="n">
        <v>622</v>
      </c>
      <c r="P139" s="7" t="n">
        <v>24.43</v>
      </c>
      <c r="R139" t="n">
        <v>1135</v>
      </c>
      <c r="S139" s="8" t="n">
        <v>13.39</v>
      </c>
    </row>
    <row r="140">
      <c r="A140" s="4" t="n">
        <v>141</v>
      </c>
      <c r="B140" t="inlineStr">
        <is>
          <t>2</t>
        </is>
      </c>
      <c r="C140" s="1" t="n">
        <v>98.7</v>
      </c>
      <c r="D140" s="2">
        <f>HYPERLINK("https://torgi.gov.ru/new/public/lots/lot/21000022850000000030_11/(lotInfo:info)", "21000022850000000030_11")</f>
        <v/>
      </c>
      <c r="E140" t="inlineStr">
        <is>
          <t>(повторно): Нежилое помещение.,. Собственник (правообладатель) – Зайдуллин Роберт Сулейманович. Обременение: арест. Начальная стоимость: 3 271 055,00 руб. Сумма задатка: 817 763,75 руб. Шаг аукциона (1% от начальной цены): 32 710,55 руб.</t>
        </is>
      </c>
      <c r="F140" s="3" t="n">
        <v>34135.62968591692</v>
      </c>
      <c r="G140" s="3" t="n">
        <v>3369186.65</v>
      </c>
      <c r="H140" t="inlineStr">
        <is>
          <t>Респ Башкортостан, г Янаул, ул Ленина, д 6</t>
        </is>
      </c>
      <c r="I140" t="inlineStr">
        <is>
          <t>12 06 22 20:59</t>
        </is>
      </c>
      <c r="J140" t="inlineStr">
        <is>
          <t>02:72:020119:440</t>
        </is>
      </c>
      <c r="L140" t="inlineStr">
        <is>
          <t>EA</t>
        </is>
      </c>
      <c r="M140" t="inlineStr">
        <is>
          <t>Д</t>
        </is>
      </c>
      <c r="N140" s="2">
        <f>HYPERLINK("https://yandex.ru/maps/?&amp;text=56.267822, 54.9341", "56.267822, 54.9341")</f>
        <v/>
      </c>
      <c r="O140" t="n">
        <v>1744</v>
      </c>
      <c r="P140" s="7" t="n">
        <v>19.57</v>
      </c>
      <c r="R140" t="n">
        <v>1744</v>
      </c>
      <c r="S140" s="8" t="n">
        <v>19.57</v>
      </c>
    </row>
    <row r="141">
      <c r="A141" s="4" t="n">
        <v>142</v>
      </c>
      <c r="B141" t="inlineStr">
        <is>
          <t>77</t>
        </is>
      </c>
      <c r="C141" s="1" t="n">
        <v>38.3</v>
      </c>
      <c r="D141" s="2">
        <f>HYPERLINK("https://torgi.gov.ru/new/public/lots/lot/21000005000000001486_1/(lotInfo:info)", "21000005000000001486_1")</f>
        <v/>
      </c>
      <c r="E141" t="inlineStr">
        <is>
          <t>Продажа имущества, находящегося в собственности города Москвы, нежилое помещение по адресу:  (Этаж № 1)</t>
        </is>
      </c>
      <c r="F141" s="3" t="n">
        <v>231973.8903394256</v>
      </c>
      <c r="G141" s="3" t="n">
        <v>8884600</v>
      </c>
      <c r="H141" t="inlineStr">
        <is>
          <t>г Москва, ул Раменки, д 21</t>
        </is>
      </c>
      <c r="I141" t="inlineStr">
        <is>
          <t>14 06 22 12:00</t>
        </is>
      </c>
      <c r="J141" t="inlineStr">
        <is>
          <t>77:07:0013005:12684</t>
        </is>
      </c>
      <c r="L141" t="inlineStr">
        <is>
          <t>EA</t>
        </is>
      </c>
      <c r="M141" t="inlineStr">
        <is>
          <t>М</t>
        </is>
      </c>
      <c r="N141" s="2">
        <f>HYPERLINK("https://yandex.ru/maps/?&amp;text=55.69008, 37.492006", "55.69008, 37.492006")</f>
        <v/>
      </c>
      <c r="O141" t="n">
        <v>6088</v>
      </c>
      <c r="P141" s="7" t="n">
        <v>38.1</v>
      </c>
      <c r="R141" t="n">
        <v>5952</v>
      </c>
      <c r="S141" s="8" t="n">
        <v>38.97</v>
      </c>
    </row>
    <row r="142">
      <c r="A142" s="4" t="n">
        <v>143</v>
      </c>
      <c r="B142" t="inlineStr">
        <is>
          <t>47</t>
        </is>
      </c>
      <c r="C142" s="1" t="n">
        <v>14.4</v>
      </c>
      <c r="D142" s="2">
        <f>HYPERLINK("https://torgi.gov.ru/new/public/lots/lot/22000031890000000002_1/(lotInfo:info)", "22000031890000000002_1")</f>
        <v/>
      </c>
      <c r="E142" t="inlineStr">
        <is>
          <t>Описание имущества в приложенном файле: «Описание имущества»</t>
        </is>
      </c>
      <c r="F142" s="3" t="n">
        <v>45833.33333333334</v>
      </c>
      <c r="G142" s="3" t="n">
        <v>660000</v>
      </c>
      <c r="H142" t="inlineStr">
        <is>
          <t>Ленинградская обл, Ломоносовский р-н, деревня Горбунки, д 16 к 1</t>
        </is>
      </c>
      <c r="I142" t="inlineStr">
        <is>
          <t>06 06 22 20:59</t>
        </is>
      </c>
      <c r="J142" t="inlineStr">
        <is>
          <t>47:14:0000000:32179</t>
        </is>
      </c>
      <c r="L142" t="inlineStr">
        <is>
          <t>EA</t>
        </is>
      </c>
      <c r="M142" t="inlineStr">
        <is>
          <t>М</t>
        </is>
      </c>
      <c r="N142">
        <f>HYPERLINK("https://yandex.ru/maps/?&amp;text=59.81674, 29.980823", "59.81674, 29.980823")</f>
        <v/>
      </c>
      <c r="O142" t="n">
        <v>145</v>
      </c>
      <c r="P142" s="7" t="n">
        <v>316.09</v>
      </c>
      <c r="R142" t="n">
        <v>163</v>
      </c>
      <c r="S142" s="8" t="n">
        <v>281.19</v>
      </c>
    </row>
    <row r="143">
      <c r="A143" s="4" t="n">
        <v>144</v>
      </c>
      <c r="B143" t="inlineStr">
        <is>
          <t>78</t>
        </is>
      </c>
      <c r="C143" s="1" t="n">
        <v>17.2</v>
      </c>
      <c r="D143" s="2">
        <f>HYPERLINK("https://torgi.gov.ru/new/public/lots/lot/21000002210000000514_1/(lotInfo:info)", "21000002210000000514_1")</f>
        <v/>
      </c>
      <c r="E143" t="inlineStr">
        <is>
          <t>Нежилое помещение, расположенное по адресу: Санкт-Петербург,, литера А, пом. 11-Н, назначение: нежилое помещение, наименование: нежилое помещение, этаж №2</t>
        </is>
      </c>
      <c r="F143" s="3" t="n">
        <v>180232.5581395349</v>
      </c>
      <c r="G143" s="3" t="n">
        <v>3100000</v>
      </c>
      <c r="H143" t="inlineStr">
        <is>
          <t>г Санкт-Петербург, пр-кт Римского-Корсакова, д 31 литера А, помещ 11-Н</t>
        </is>
      </c>
      <c r="I143" t="inlineStr">
        <is>
          <t>09 06 22 20:00</t>
        </is>
      </c>
      <c r="J143" t="inlineStr">
        <is>
          <t>78:32:0001250:2312</t>
        </is>
      </c>
      <c r="L143" t="inlineStr">
        <is>
          <t>EA</t>
        </is>
      </c>
      <c r="M143" t="inlineStr">
        <is>
          <t>М</t>
        </is>
      </c>
      <c r="N143" s="2">
        <f>HYPERLINK("https://yandex.ru/maps/?&amp;text=59.924055, 30.300794", "59.924055, 30.300794")</f>
        <v/>
      </c>
      <c r="O143" t="n">
        <v>7754</v>
      </c>
      <c r="P143" s="7" t="n">
        <v>23.24</v>
      </c>
      <c r="R143" t="n">
        <v>9906</v>
      </c>
      <c r="S143" s="8" t="n">
        <v>18.19</v>
      </c>
    </row>
    <row r="144">
      <c r="A144" s="4" t="n">
        <v>145</v>
      </c>
      <c r="B144" t="inlineStr">
        <is>
          <t>23</t>
        </is>
      </c>
      <c r="C144" s="1" t="n">
        <v>228.3</v>
      </c>
      <c r="D144" s="2">
        <f>HYPERLINK("https://torgi.gov.ru/new/public/lots/lot/22000097040000000001_1/(lotInfo:info)", "22000097040000000001_1")</f>
        <v/>
      </c>
      <c r="E144" t="inlineStr">
        <is>
          <t>«Нежилое помещение., включающее в себя помещения № 77-81, 83-96 :136/6, расположенное по адресу:, 1 «В»</t>
        </is>
      </c>
      <c r="F144" s="3" t="n">
        <v>19811.65133596145</v>
      </c>
      <c r="G144" s="3" t="n">
        <v>4523000</v>
      </c>
      <c r="H144" t="inlineStr">
        <is>
          <t>Краснодарский край, Туапсинский р-н, пгт Джубга, ул Новороссийское шоссе</t>
        </is>
      </c>
      <c r="I144" t="inlineStr">
        <is>
          <t>07 06 22 14:00</t>
        </is>
      </c>
      <c r="J144" t="inlineStr">
        <is>
          <t>23:33:0606011:0</t>
        </is>
      </c>
      <c r="L144" t="inlineStr">
        <is>
          <t>EA</t>
        </is>
      </c>
      <c r="M144" t="inlineStr">
        <is>
          <t>М</t>
        </is>
      </c>
      <c r="N144" s="2">
        <f>HYPERLINK("https://yandex.ru/maps/?&amp;text=44.32913, 38.699252", "44.32913, 38.699252")</f>
        <v/>
      </c>
      <c r="O144" t="n">
        <v>779</v>
      </c>
      <c r="P144" s="7" t="n">
        <v>25.43</v>
      </c>
      <c r="R144" t="n">
        <v>843</v>
      </c>
      <c r="S144" s="8" t="n">
        <v>23.5</v>
      </c>
    </row>
    <row r="145">
      <c r="A145" s="4" t="n">
        <v>146</v>
      </c>
      <c r="B145" t="inlineStr">
        <is>
          <t>52</t>
        </is>
      </c>
      <c r="C145" s="1" t="n">
        <v>150.8</v>
      </c>
      <c r="D145" s="2">
        <f>HYPERLINK("https://torgi.gov.ru/new/public/lots/lot/21000019800000000012_1/(lotInfo:info)", "21000019800000000012_1")</f>
        <v/>
      </c>
      <c r="E145" t="inlineStr">
        <is>
          <t>Нежилое помещение расположено на 2-м и 3-м этажах 3-этажного нежилого здания по адресу:.Горького, д. 36</t>
        </is>
      </c>
      <c r="F145" s="3" t="n">
        <v>3448.275862068965</v>
      </c>
      <c r="G145" s="3" t="n">
        <v>520000</v>
      </c>
      <c r="H145" t="inlineStr">
        <is>
          <t>Нижегородская обл, г Городец, ул М.Горького, д 36</t>
        </is>
      </c>
      <c r="I145" t="inlineStr">
        <is>
          <t>14 06 22 20:00</t>
        </is>
      </c>
      <c r="J145" t="inlineStr">
        <is>
          <t xml:space="preserve">52:15:0080503:1737 </t>
        </is>
      </c>
      <c r="L145" t="inlineStr">
        <is>
          <t>BOC</t>
        </is>
      </c>
      <c r="M145" t="inlineStr">
        <is>
          <t>М</t>
        </is>
      </c>
      <c r="N145" s="2">
        <f>HYPERLINK("https://yandex.ru/maps/?&amp;text=56.6463735, 43.4647325", "56.6463735, 43.4647325")</f>
        <v/>
      </c>
      <c r="O145" t="n">
        <v>1469</v>
      </c>
      <c r="P145" s="7" t="n">
        <v>2.35</v>
      </c>
      <c r="R145" t="n">
        <v>1469</v>
      </c>
      <c r="S145" s="8" t="n">
        <v>2.35</v>
      </c>
    </row>
    <row r="146">
      <c r="A146" s="4" t="n">
        <v>147</v>
      </c>
      <c r="B146" t="inlineStr">
        <is>
          <t>52</t>
        </is>
      </c>
      <c r="C146" s="1" t="n">
        <v>213.3</v>
      </c>
      <c r="D146" s="2">
        <f>HYPERLINK("https://torgi.gov.ru/new/public/lots/lot/21000019800000000012_2/(lotInfo:info)", "21000019800000000012_2")</f>
        <v/>
      </c>
      <c r="E146" t="inlineStr">
        <is>
          <t>Нежилое помещение П1 расположено на 1-м и 2-м этажах 2-этажного нежилого здания по адресу:.Горького, д. 38, пом П1</t>
        </is>
      </c>
      <c r="F146" s="3" t="n">
        <v>3375.527426160337</v>
      </c>
      <c r="G146" s="3" t="n">
        <v>720000</v>
      </c>
      <c r="H146" t="inlineStr">
        <is>
          <t xml:space="preserve"> Нижегородская область, Городецкий район, г. Городец, ул.М.Горького, д. 38, пом П1</t>
        </is>
      </c>
      <c r="I146" t="inlineStr">
        <is>
          <t>14 06 22 20:00</t>
        </is>
      </c>
      <c r="J146" t="inlineStr">
        <is>
          <t xml:space="preserve">52:15:0080503:613 </t>
        </is>
      </c>
      <c r="L146" t="inlineStr">
        <is>
          <t>BOC</t>
        </is>
      </c>
      <c r="M146" t="inlineStr">
        <is>
          <t>М</t>
        </is>
      </c>
      <c r="N146" t="inlineStr">
        <is>
          <t>56.646534, 43.464725</t>
        </is>
      </c>
      <c r="O146" t="n">
        <v>1469</v>
      </c>
      <c r="P146" s="7" t="n">
        <v>2.3</v>
      </c>
      <c r="R146" t="n">
        <v>1469</v>
      </c>
      <c r="S146" s="8" t="n">
        <v>2.3</v>
      </c>
    </row>
    <row r="147">
      <c r="A147" s="4" t="n">
        <v>148</v>
      </c>
      <c r="B147" t="inlineStr">
        <is>
          <t>76</t>
        </is>
      </c>
      <c r="C147" s="1" t="n">
        <v>94.8</v>
      </c>
      <c r="D147" s="2">
        <f>HYPERLINK("https://torgi.gov.ru/new/public/lots/lot/21000012550000000033_1/(lotInfo:info)", "21000012550000000033_1")</f>
        <v/>
      </c>
      <c r="E147" t="inlineStr">
        <is>
          <t>помещения 6-10, назначение: нежилое, этаж № 1, расположенные по адресу:,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      </is>
      </c>
      <c r="F147" s="3" t="n">
        <v>56645.56962025317</v>
      </c>
      <c r="G147" s="3" t="n">
        <v>5370000</v>
      </c>
      <c r="H147" t="inlineStr">
        <is>
          <t>г Ярославль, ул Собинова, д 41б</t>
        </is>
      </c>
      <c r="I147" t="inlineStr">
        <is>
          <t>15 06 22 12:00</t>
        </is>
      </c>
      <c r="L147" t="inlineStr">
        <is>
          <t>EK</t>
        </is>
      </c>
      <c r="M147" t="inlineStr">
        <is>
          <t>М</t>
        </is>
      </c>
      <c r="N147" s="2">
        <f>HYPERLINK("https://yandex.ru/maps/?&amp;text=57.623642, 39.88226", "57.623642, 39.88226")</f>
        <v/>
      </c>
      <c r="O147" t="n">
        <v>4524</v>
      </c>
      <c r="P147" s="7" t="n">
        <v>12.52</v>
      </c>
      <c r="R147" t="n">
        <v>3734</v>
      </c>
      <c r="S147" s="8" t="n">
        <v>15.17</v>
      </c>
    </row>
    <row r="148">
      <c r="A148" s="4" t="n">
        <v>149</v>
      </c>
      <c r="B148" t="inlineStr">
        <is>
          <t>21</t>
        </is>
      </c>
      <c r="C148" s="1" t="n">
        <v>108.6</v>
      </c>
      <c r="D148" s="2">
        <f>HYPERLINK("https://torgi.gov.ru/new/public/lots/lot/21000010370000000033_1/(lotInfo:info)", "21000010370000000033_1")</f>
        <v/>
      </c>
      <c r="E148" t="inlineStr">
        <is>
          <t>Нежилое помещение № 1 расположенное на первом этаже жилого пятиэтажного панельного дома (литера А), находящегося по адресу:.</t>
        </is>
      </c>
      <c r="F148" s="3" t="n">
        <v>41461.32596685083</v>
      </c>
      <c r="G148" s="3" t="n">
        <v>4502700</v>
      </c>
      <c r="H148" t="inlineStr">
        <is>
          <t>г Чебоксары, ул Кадыкова, д 12</t>
        </is>
      </c>
      <c r="I148" t="inlineStr">
        <is>
          <t>14 06 22 13:00</t>
        </is>
      </c>
      <c r="J148" t="inlineStr">
        <is>
          <t xml:space="preserve">21:01:030405:6161, </t>
        </is>
      </c>
      <c r="L148" t="inlineStr">
        <is>
          <t>PP</t>
        </is>
      </c>
      <c r="M148" t="inlineStr">
        <is>
          <t>М</t>
        </is>
      </c>
      <c r="N148" s="2">
        <f>HYPERLINK("https://yandex.ru/maps/?&amp;text=56.10183, 47.294243", "56.10183, 47.294243")</f>
        <v/>
      </c>
      <c r="O148" t="n">
        <v>4363</v>
      </c>
      <c r="P148" s="7" t="n">
        <v>9.5</v>
      </c>
      <c r="R148" t="n">
        <v>4363</v>
      </c>
      <c r="S148" s="8" t="n">
        <v>9.5</v>
      </c>
    </row>
    <row r="149">
      <c r="A149" s="4" t="n">
        <v>150</v>
      </c>
      <c r="B149" t="inlineStr">
        <is>
          <t>78</t>
        </is>
      </c>
      <c r="C149" s="1" t="n">
        <v>37.5</v>
      </c>
      <c r="D149" s="2">
        <f>HYPERLINK("https://torgi.gov.ru/new/public/lots/lot/21000002210000000508_1/(lotInfo:info)", "21000002210000000508_1")</f>
        <v/>
      </c>
      <c r="E149" t="inlineStr">
        <is>
          <t>Нежилое помещение, расположенное по адресу: Санкт-Петербург,, назначение: нежилое помещение, наименование: нежилое помещение, этаж: цокольный</t>
        </is>
      </c>
      <c r="F149" s="3" t="n">
        <v>195200</v>
      </c>
      <c r="G149" s="3" t="n">
        <v>7320000</v>
      </c>
      <c r="H149" t="inlineStr">
        <is>
          <t>г Санкт-Петербург, Каменноостровский пр-кт, д 45 литера Г, помещ 6-н</t>
        </is>
      </c>
      <c r="I149" t="inlineStr">
        <is>
          <t>09 06 22 20:00</t>
        </is>
      </c>
      <c r="J149" t="inlineStr">
        <is>
          <t>78:07:0003116:2244</t>
        </is>
      </c>
      <c r="L149" t="inlineStr">
        <is>
          <t>EA</t>
        </is>
      </c>
      <c r="M149" t="inlineStr">
        <is>
          <t>М</t>
        </is>
      </c>
      <c r="N149" s="2">
        <f>HYPERLINK("https://yandex.ru/maps/?&amp;text=59.968871, 30.308996", "59.968871, 30.308996")</f>
        <v/>
      </c>
      <c r="O149" t="n">
        <v>6041</v>
      </c>
      <c r="P149" s="7" t="n">
        <v>32.31</v>
      </c>
      <c r="R149" t="n">
        <v>6501</v>
      </c>
      <c r="S149" s="8" t="n">
        <v>30.03</v>
      </c>
    </row>
    <row r="150">
      <c r="A150" s="4" t="n">
        <v>151</v>
      </c>
      <c r="B150" t="inlineStr">
        <is>
          <t>78</t>
        </is>
      </c>
      <c r="C150" s="1" t="n">
        <v>13</v>
      </c>
      <c r="D150" s="2">
        <f>HYPERLINK("https://torgi.gov.ru/new/public/lots/lot/21000002210000000505_1/(lotInfo:info)", "21000002210000000505_1")</f>
        <v/>
      </c>
      <c r="E150" t="inlineStr">
        <is>
          <t>Нежилое помещение, расположенное по адресу: Санкт-Петербург, 10-я линия В.О., д. 15б, литера А, пом. 2-Н, назначение: нежилое помещение, наименование: нежилое помещение, этаж: цокольный</t>
        </is>
      </c>
      <c r="F150" s="3" t="n">
        <v>168461.5384615385</v>
      </c>
      <c r="G150" s="3" t="n">
        <v>2190000</v>
      </c>
      <c r="H150" t="inlineStr">
        <is>
          <t>г Санкт-Петербург, линия 10-я В.О., д 15б литера А, помещ 2-Н</t>
        </is>
      </c>
      <c r="I150" t="inlineStr">
        <is>
          <t>09 06 22 20:00</t>
        </is>
      </c>
      <c r="J150" t="inlineStr">
        <is>
          <t>78:06:0002039:2704</t>
        </is>
      </c>
      <c r="L150" t="inlineStr">
        <is>
          <t>EA</t>
        </is>
      </c>
      <c r="M150" t="inlineStr">
        <is>
          <t>М</t>
        </is>
      </c>
      <c r="N150" s="2">
        <f>HYPERLINK("https://yandex.ru/maps/?&amp;text=59.939753, 30.276163", "59.939753, 30.276163")</f>
        <v/>
      </c>
      <c r="O150" t="n">
        <v>10155</v>
      </c>
      <c r="P150" s="7" t="n">
        <v>16.59</v>
      </c>
      <c r="R150" t="n">
        <v>7210</v>
      </c>
      <c r="S150" s="8" t="n">
        <v>23.36</v>
      </c>
    </row>
    <row r="151">
      <c r="A151" s="4" t="n">
        <v>152</v>
      </c>
      <c r="B151" t="inlineStr">
        <is>
          <t>50</t>
        </is>
      </c>
      <c r="C151" s="1" t="n">
        <v>108</v>
      </c>
      <c r="D151" s="2">
        <f>HYPERLINK("https://torgi.gov.ru/new/public/lots/lot/21000004710000001361_1/(lotInfo:info)", "21000004710000001361_1")</f>
        <v/>
      </c>
      <c r="E151" t="inlineStr">
        <is>
          <t>Продажа нежилого помещения 108 кв.м в Дмитровском г.о.</t>
        </is>
      </c>
      <c r="F151" s="3" t="n">
        <v>32741.31944444445</v>
      </c>
      <c r="G151" s="3" t="n">
        <v>3536062.5</v>
      </c>
      <c r="H151" t="inlineStr">
        <is>
          <t>Московская область, Дмитровский район, Большерогачевское с/п, с. Рогачево, пл. Осипова</t>
        </is>
      </c>
      <c r="I151" t="inlineStr">
        <is>
          <t>16 06 22 15:00</t>
        </is>
      </c>
      <c r="J151" t="inlineStr">
        <is>
          <t>50:04:0080501:4733</t>
        </is>
      </c>
      <c r="L151" t="inlineStr">
        <is>
          <t>EA</t>
        </is>
      </c>
      <c r="M151" t="inlineStr">
        <is>
          <t>М</t>
        </is>
      </c>
      <c r="N151" t="inlineStr">
        <is>
          <t>56.433814, 37.158228</t>
        </is>
      </c>
      <c r="O151" t="n">
        <v>426</v>
      </c>
      <c r="P151" s="7" t="n">
        <v>76.86</v>
      </c>
      <c r="R151" t="n">
        <v>280</v>
      </c>
      <c r="S151" s="8" t="n">
        <v>116.93</v>
      </c>
    </row>
    <row r="152">
      <c r="A152" s="4" t="n">
        <v>153</v>
      </c>
      <c r="B152" t="inlineStr">
        <is>
          <t>46</t>
        </is>
      </c>
      <c r="C152" s="1" t="n">
        <v>26.1</v>
      </c>
      <c r="D152" s="2">
        <f>HYPERLINK("https://torgi.gov.ru/new/public/lots/lot/21000016220000000010_2/(lotInfo:info)", "21000016220000000010_2")</f>
        <v/>
      </c>
      <c r="E152" t="inlineStr">
        <is>
          <t>Нежилое помещение VI 1-го этажа (к/н 46:29:102330:513). (объект культурного наследия) расположенное по адресу:.</t>
        </is>
      </c>
      <c r="F152" s="3" t="n">
        <v>69731.80076628352</v>
      </c>
      <c r="G152" s="3" t="n">
        <v>1820000</v>
      </c>
      <c r="H152" t="inlineStr">
        <is>
          <t>г Курск, ул Ленина, д 95</t>
        </is>
      </c>
      <c r="I152" t="inlineStr">
        <is>
          <t>10 06 22 06:00</t>
        </is>
      </c>
      <c r="J152" t="inlineStr">
        <is>
          <t>46:29:102330:513</t>
        </is>
      </c>
      <c r="L152" t="inlineStr">
        <is>
          <t>EK</t>
        </is>
      </c>
      <c r="M152" t="inlineStr">
        <is>
          <t>М</t>
        </is>
      </c>
      <c r="N152" s="2">
        <f>HYPERLINK("https://yandex.ru/maps/?&amp;text=51.74719, 36.19498", "51.74719, 36.19498")</f>
        <v/>
      </c>
      <c r="O152" t="n">
        <v>3183</v>
      </c>
      <c r="P152" s="7" t="n">
        <v>21.91</v>
      </c>
      <c r="R152" t="n">
        <v>2600</v>
      </c>
      <c r="S152" s="8" t="n">
        <v>26.82</v>
      </c>
    </row>
    <row r="153">
      <c r="A153" s="4" t="n">
        <v>154</v>
      </c>
      <c r="B153" t="inlineStr">
        <is>
          <t>34</t>
        </is>
      </c>
      <c r="C153" s="1" t="n">
        <v>65.40000000000001</v>
      </c>
      <c r="D153" s="2">
        <f>HYPERLINK("https://torgi.gov.ru/new/public/lots/lot/21000029410000000004_1/(lotInfo:info)", "21000029410000000004_1")</f>
        <v/>
      </c>
      <c r="E153" t="inlineStr">
        <is>
          <t>нежилое здание., расположенное на земельном участке .по адресу:</t>
        </is>
      </c>
      <c r="F153" s="3" t="n">
        <v>13470.94801223241</v>
      </c>
      <c r="G153" s="3" t="n">
        <v>881000</v>
      </c>
      <c r="H153" t="inlineStr">
        <is>
          <t>Волгоградская обл, г Михайловка, ул Ленина, д 92</t>
        </is>
      </c>
      <c r="I153" t="inlineStr">
        <is>
          <t>10 06 22 14:00</t>
        </is>
      </c>
      <c r="J153" t="inlineStr">
        <is>
          <t>34:37:010268:263</t>
        </is>
      </c>
      <c r="L153" t="inlineStr">
        <is>
          <t>EA</t>
        </is>
      </c>
      <c r="M153" t="inlineStr">
        <is>
          <t>М</t>
        </is>
      </c>
      <c r="N153" s="2">
        <f>HYPERLINK("https://yandex.ru/maps/?&amp;text=50.049374, 43.224488", "50.049374, 43.224488")</f>
        <v/>
      </c>
      <c r="O153" t="n">
        <v>1561</v>
      </c>
      <c r="P153" s="7" t="n">
        <v>8.630000000000001</v>
      </c>
      <c r="R153" t="n">
        <v>1766</v>
      </c>
      <c r="S153" s="8" t="n">
        <v>7.63</v>
      </c>
    </row>
    <row r="154">
      <c r="A154" s="4" t="n">
        <v>155</v>
      </c>
      <c r="B154" t="inlineStr">
        <is>
          <t>12</t>
        </is>
      </c>
      <c r="C154" s="1" t="n">
        <v>141</v>
      </c>
      <c r="D154" s="2">
        <f>HYPERLINK("https://torgi.gov.ru/new/public/lots/lot/21000025550000000003_1/(lotInfo:info)", "21000025550000000003_1")</f>
        <v/>
      </c>
      <c r="E154" t="inlineStr">
        <is>
          <t>Нежилое помещение .расположено по адресу: РМЭ,, принадлежащее Гаврилову М.В.</t>
        </is>
      </c>
      <c r="F154" s="3" t="n">
        <v>21368.79432624114</v>
      </c>
      <c r="G154" s="3" t="n">
        <v>3013000</v>
      </c>
      <c r="H154" t="inlineStr">
        <is>
          <t>г Йошкар-Ола, ул Мира, д 70</t>
        </is>
      </c>
      <c r="I154" t="inlineStr">
        <is>
          <t>24 05 22 14:00</t>
        </is>
      </c>
      <c r="J154" t="inlineStr">
        <is>
          <t xml:space="preserve">12:05:0702001:718, </t>
        </is>
      </c>
      <c r="L154" t="inlineStr">
        <is>
          <t>EA</t>
        </is>
      </c>
      <c r="M154" t="inlineStr">
        <is>
          <t>Д</t>
        </is>
      </c>
      <c r="N154" s="2">
        <f>HYPERLINK("https://yandex.ru/maps/?&amp;text=56.637802, 47.935234", "56.637802, 47.935234")</f>
        <v/>
      </c>
      <c r="O154" t="n">
        <v>3493</v>
      </c>
      <c r="P154" s="7" t="n">
        <v>6.12</v>
      </c>
      <c r="R154" t="n">
        <v>3917</v>
      </c>
      <c r="S154" s="8" t="n">
        <v>5.46</v>
      </c>
    </row>
    <row r="155">
      <c r="A155" s="4" t="n">
        <v>156</v>
      </c>
      <c r="B155" t="inlineStr">
        <is>
          <t>78</t>
        </is>
      </c>
      <c r="C155" s="1" t="n">
        <v>26.2</v>
      </c>
      <c r="D155" s="2">
        <f>HYPERLINK("https://torgi.gov.ru/new/public/lots/lot/21000002210000000495_1/(lotInfo:info)", "21000002210000000495_1")</f>
        <v/>
      </c>
      <c r="E155" t="inlineStr">
        <is>
          <t>Нежилое помещение, расположенное по адресу: Санкт-Петербург,, литера А, пом. 3-Н, назначение: нежилое, наименование: нежилое помещение, этаж №1</t>
        </is>
      </c>
      <c r="F155" s="3" t="n">
        <v>142748.0916030534</v>
      </c>
      <c r="G155" s="3" t="n">
        <v>3740000</v>
      </c>
      <c r="H155" t="inlineStr">
        <is>
          <t>г Санкт-Петербург, ул Конторская, д 14 литера А, помещ 3-Н</t>
        </is>
      </c>
      <c r="I155" t="inlineStr">
        <is>
          <t>07 06 22 20:00</t>
        </is>
      </c>
      <c r="J155" t="inlineStr">
        <is>
          <t>78:11:0006065:3340</t>
        </is>
      </c>
      <c r="L155" t="inlineStr">
        <is>
          <t>EA</t>
        </is>
      </c>
      <c r="M155" t="inlineStr">
        <is>
          <t>М</t>
        </is>
      </c>
      <c r="N155" s="2">
        <f>HYPERLINK("https://yandex.ru/maps/?&amp;text=59.947167, 30.412132", "59.947167, 30.412132")</f>
        <v/>
      </c>
      <c r="O155" t="n">
        <v>8155</v>
      </c>
      <c r="P155" s="7" t="n">
        <v>17.5</v>
      </c>
      <c r="R155" t="n">
        <v>8155</v>
      </c>
      <c r="S155" s="8" t="n">
        <v>17.5</v>
      </c>
    </row>
    <row r="156">
      <c r="A156" s="4" t="n">
        <v>157</v>
      </c>
      <c r="B156" t="inlineStr">
        <is>
          <t>77</t>
        </is>
      </c>
      <c r="C156" s="1" t="n">
        <v>88.59999999999999</v>
      </c>
      <c r="D156" s="2">
        <f>HYPERLINK("https://torgi.gov.ru/new/public/lots/lot/21000005000000001432_1/(lotInfo:info)", "21000005000000001432_1")</f>
        <v/>
      </c>
      <c r="E156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156" s="3" t="n">
        <v>94221.21896162529</v>
      </c>
      <c r="G156" s="3" t="n">
        <v>8348000</v>
      </c>
      <c r="H156" t="inlineStr">
        <is>
          <t>г Москва, ул Изюмская, д 57 к 1, помещ 1/Н</t>
        </is>
      </c>
      <c r="I156" t="inlineStr">
        <is>
          <t>07 06 22 12:00</t>
        </is>
      </c>
      <c r="J156" t="inlineStr">
        <is>
          <t>77:06:0012001:9252</t>
        </is>
      </c>
      <c r="L156" t="inlineStr">
        <is>
          <t>EA</t>
        </is>
      </c>
      <c r="M156" t="inlineStr">
        <is>
          <t>М</t>
        </is>
      </c>
      <c r="N156" s="2">
        <f>HYPERLINK("https://yandex.ru/maps/?&amp;text=55.543526, 37.563548", "55.543526, 37.563548")</f>
        <v/>
      </c>
      <c r="O156" t="n">
        <v>2725</v>
      </c>
      <c r="P156" s="7" t="n">
        <v>34.58</v>
      </c>
      <c r="R156" t="n">
        <v>2931</v>
      </c>
      <c r="S156" s="8" t="n">
        <v>32.15</v>
      </c>
    </row>
    <row r="157">
      <c r="A157" s="4" t="n">
        <v>158</v>
      </c>
      <c r="B157" t="inlineStr">
        <is>
          <t>36</t>
        </is>
      </c>
      <c r="C157" s="1" t="n">
        <v>43.2</v>
      </c>
      <c r="D157" s="2">
        <f>HYPERLINK("https://torgi.gov.ru/new/public/lots/lot/21000033070000000010_1/(lotInfo:info)", "21000033070000000010_1")</f>
        <v/>
      </c>
      <c r="E157" t="inlineStr">
        <is>
          <t xml:space="preserve"> адрес (местоположение):, по. 109</t>
        </is>
      </c>
      <c r="F157" s="3" t="n">
        <v>70717.59259259258</v>
      </c>
      <c r="G157" s="3" t="n">
        <v>3055000</v>
      </c>
      <c r="H157" t="inlineStr">
        <is>
          <t>г Воронеж, ул Красных Зорь, д 36</t>
        </is>
      </c>
      <c r="I157" t="inlineStr">
        <is>
          <t>01 06 22 13:00</t>
        </is>
      </c>
      <c r="J157" t="inlineStr">
        <is>
          <t>36:34:0208065:21</t>
        </is>
      </c>
      <c r="L157" t="inlineStr">
        <is>
          <t>EA</t>
        </is>
      </c>
      <c r="M157" t="inlineStr">
        <is>
          <t>М</t>
        </is>
      </c>
      <c r="N157" s="2">
        <f>HYPERLINK("https://yandex.ru/maps/?&amp;text=51.67364, 39.15688", "51.67364, 39.15688")</f>
        <v/>
      </c>
      <c r="O157" t="n">
        <v>4513</v>
      </c>
      <c r="P157" s="7" t="n">
        <v>15.67</v>
      </c>
      <c r="R157" t="n">
        <v>4421</v>
      </c>
      <c r="S157" s="8" t="n">
        <v>16</v>
      </c>
    </row>
    <row r="158">
      <c r="A158" s="4" t="n">
        <v>159</v>
      </c>
      <c r="B158" t="inlineStr">
        <is>
          <t>57</t>
        </is>
      </c>
      <c r="C158" s="1" t="n">
        <v>101</v>
      </c>
      <c r="D158" s="2">
        <f>HYPERLINK("https://torgi.gov.ru/new/public/lots/lot/22000042460000000004_5/(lotInfo:info)", "22000042460000000004_5")</f>
        <v/>
      </c>
      <c r="E158" t="inlineStr">
        <is>
          <t>Нежилое помещение ., этаж цокольный, расположенное по адресу:.</t>
        </is>
      </c>
      <c r="F158" s="3" t="n">
        <v>13630</v>
      </c>
      <c r="G158" s="3" t="n">
        <v>1376630</v>
      </c>
      <c r="H158" t="inlineStr">
        <is>
          <t>г Орёл, ул Дмитрия Блынского, д 12, помещ 237</t>
        </is>
      </c>
      <c r="I158" t="inlineStr">
        <is>
          <t>02 06 22 15:00</t>
        </is>
      </c>
      <c r="L158" t="inlineStr">
        <is>
          <t>EA</t>
        </is>
      </c>
      <c r="M158" t="inlineStr">
        <is>
          <t>М</t>
        </is>
      </c>
      <c r="N158" s="2">
        <f>HYPERLINK("https://yandex.ru/maps/?&amp;text=53.00078, 36.1259", "53.00078, 36.1259")</f>
        <v/>
      </c>
      <c r="O158" t="n">
        <v>689</v>
      </c>
      <c r="P158" s="7" t="n">
        <v>19.78</v>
      </c>
      <c r="R158" t="n">
        <v>689</v>
      </c>
      <c r="S158" s="8" t="n">
        <v>19.78</v>
      </c>
    </row>
    <row r="159">
      <c r="A159" s="4" t="n">
        <v>160</v>
      </c>
      <c r="B159" t="inlineStr">
        <is>
          <t>26</t>
        </is>
      </c>
      <c r="C159" s="1" t="n">
        <v>67</v>
      </c>
      <c r="D159" s="2">
        <f>HYPERLINK("https://torgi.gov.ru/new/public/lots/lot/21000003150000000002_5/(lotInfo:info)", "21000003150000000002_5")</f>
        <v/>
      </c>
      <c r="E159" t="inlineStr">
        <is>
          <t>нежилое помещение, этаж 1площадью 67,0 кв. метра,»</t>
        </is>
      </c>
      <c r="F159" s="3" t="n">
        <v>30820.89552238806</v>
      </c>
      <c r="G159" s="3" t="n">
        <v>2065000</v>
      </c>
      <c r="H159" t="inlineStr">
        <is>
          <t>Ставропольский край, г Невинномысск, ул Северная, д 12</t>
        </is>
      </c>
      <c r="I159" t="inlineStr">
        <is>
          <t>27 05 22 15:00</t>
        </is>
      </c>
      <c r="J159" t="inlineStr">
        <is>
          <t xml:space="preserve">26:16:040804:5924, </t>
        </is>
      </c>
      <c r="L159" t="inlineStr">
        <is>
          <t>EA</t>
        </is>
      </c>
      <c r="M159" t="inlineStr">
        <is>
          <t>М</t>
        </is>
      </c>
      <c r="N159">
        <f>HYPERLINK("https://yandex.ru/maps/?&amp;text=44.637857, 41.952402", "44.637857, 41.952402")</f>
        <v/>
      </c>
      <c r="O159" t="n">
        <v>2419</v>
      </c>
      <c r="P159" s="7" t="n">
        <v>12.74</v>
      </c>
      <c r="R159" t="n">
        <v>2419</v>
      </c>
      <c r="S159" s="8" t="n">
        <v>12.74</v>
      </c>
    </row>
    <row r="160">
      <c r="A160" s="4" t="n">
        <v>161</v>
      </c>
      <c r="B160" t="inlineStr">
        <is>
          <t>59</t>
        </is>
      </c>
      <c r="C160" s="1" t="n">
        <v>662.3</v>
      </c>
      <c r="D160" s="2">
        <f>HYPERLINK("https://torgi.gov.ru/new/public/lots/lot/22000022050000000014_1/(lotInfo:info)", "22000022050000000014_1")</f>
        <v/>
      </c>
      <c r="E160" t="inlineStr">
        <is>
          <t>Помещение, назначение: нежилое, этаж № 4расположенное по адресу:.</t>
        </is>
      </c>
      <c r="F160" s="3" t="n">
        <v>3774.724445115507</v>
      </c>
      <c r="G160" s="3" t="n">
        <v>2500000</v>
      </c>
      <c r="H160" t="inlineStr">
        <is>
          <t>Пермский край, г Краснокамск, ул Энтузиастов, д 5</t>
        </is>
      </c>
      <c r="I160" t="inlineStr">
        <is>
          <t>31 05 22 14:00</t>
        </is>
      </c>
      <c r="J160" t="inlineStr">
        <is>
          <t xml:space="preserve">59:07:0011007:1170, </t>
        </is>
      </c>
      <c r="L160" t="inlineStr">
        <is>
          <t>PP</t>
        </is>
      </c>
      <c r="M160" t="inlineStr">
        <is>
          <t>М</t>
        </is>
      </c>
      <c r="N160" s="2">
        <f>HYPERLINK("https://yandex.ru/maps/?&amp;text=58.085632, 55.76859", "58.085632, 55.76859")</f>
        <v/>
      </c>
      <c r="O160" t="n">
        <v>1510</v>
      </c>
      <c r="P160" s="7" t="n">
        <v>2.5</v>
      </c>
      <c r="R160" t="n">
        <v>2162</v>
      </c>
      <c r="S160" s="8" t="n">
        <v>1.75</v>
      </c>
    </row>
    <row r="161">
      <c r="A161" s="4" t="n">
        <v>162</v>
      </c>
      <c r="B161" t="inlineStr">
        <is>
          <t>52</t>
        </is>
      </c>
      <c r="C161" s="1" t="n">
        <v>151.4</v>
      </c>
      <c r="D161" s="2">
        <f>HYPERLINK("https://torgi.gov.ru/new/public/lots/lot/22000095400000000001_1/(lotInfo:info)", "22000095400000000001_1")</f>
        <v/>
      </c>
      <c r="E161" t="inlineStr">
        <is>
          <t>Помещение нежилое, этаж 1</t>
        </is>
      </c>
      <c r="F161" s="3" t="n">
        <v>64832.26552179657</v>
      </c>
      <c r="G161" s="3" t="n">
        <v>9815605</v>
      </c>
      <c r="H161" t="inlineStr">
        <is>
          <t>Нижегородская область, р-н, Кстовский, п. Ждановский, ул. Школьная, д. 22 пом. 1/3-б</t>
        </is>
      </c>
      <c r="I161" t="inlineStr">
        <is>
          <t>30 05 22 05:00</t>
        </is>
      </c>
      <c r="J161" t="inlineStr">
        <is>
          <t>52:26:0030064:2016</t>
        </is>
      </c>
      <c r="L161" t="inlineStr">
        <is>
          <t>EA</t>
        </is>
      </c>
      <c r="M161" t="inlineStr">
        <is>
          <t>М</t>
        </is>
      </c>
      <c r="N161" t="inlineStr">
        <is>
          <t>56.208454, 44.099896</t>
        </is>
      </c>
      <c r="O161" t="n">
        <v>844</v>
      </c>
      <c r="P161" s="7" t="n">
        <v>76.81999999999999</v>
      </c>
      <c r="R161" t="n">
        <v>822</v>
      </c>
      <c r="S161" s="8" t="n">
        <v>78.87</v>
      </c>
    </row>
    <row r="162">
      <c r="A162" s="4" t="n">
        <v>163</v>
      </c>
      <c r="B162" t="inlineStr">
        <is>
          <t>36</t>
        </is>
      </c>
      <c r="C162" s="1" t="n">
        <v>161.3</v>
      </c>
      <c r="D162" s="2">
        <f>HYPERLINK("https://torgi.gov.ru/new/public/lots/lot/21000033070000000002_1/(lotInfo:info)", "21000033070000000002_1")</f>
        <v/>
      </c>
      <c r="E162" t="inlineStr">
        <is>
          <t>, адрес (местонахождение):</t>
        </is>
      </c>
      <c r="F162" s="3" t="n">
        <v>43319.90080595164</v>
      </c>
      <c r="G162" s="3" t="n">
        <v>6987500</v>
      </c>
      <c r="H162" t="inlineStr">
        <is>
          <t>г Воронеж, ул Ворошилова, д 7</t>
        </is>
      </c>
      <c r="I162" t="inlineStr">
        <is>
          <t>25 05 22 13:00</t>
        </is>
      </c>
      <c r="L162" t="inlineStr">
        <is>
          <t>EA</t>
        </is>
      </c>
      <c r="M162" t="inlineStr">
        <is>
          <t>М</t>
        </is>
      </c>
      <c r="N162" s="2">
        <f>HYPERLINK("https://yandex.ru/maps/?&amp;text=51.651707, 39.170912", "51.651707, 39.170912")</f>
        <v/>
      </c>
      <c r="O162" t="n">
        <v>4082</v>
      </c>
      <c r="P162" s="7" t="n">
        <v>10.61</v>
      </c>
      <c r="R162" t="n">
        <v>4428</v>
      </c>
      <c r="S162" s="8" t="n">
        <v>9.779999999999999</v>
      </c>
    </row>
    <row r="163">
      <c r="A163" s="4" t="n">
        <v>164</v>
      </c>
      <c r="B163" t="inlineStr">
        <is>
          <t>77</t>
        </is>
      </c>
      <c r="C163" s="1" t="n">
        <v>61.3</v>
      </c>
      <c r="D163" s="2">
        <f>HYPERLINK("https://torgi.gov.ru/new/public/lots/lot/21000005000000001416_1/(lotInfo:info)", "21000005000000001416_1")</f>
        <v/>
      </c>
      <c r="E163" t="inlineStr">
        <is>
          <t>Продажа имущества, находящегося в хозяйственном ведении ГУП "ЦУГИ", расположенного по адресу:, помещ. 1/Ч, общей площадью 61,3</t>
        </is>
      </c>
      <c r="F163" s="3" t="n">
        <v>88531.81076672104</v>
      </c>
      <c r="G163" s="3" t="n">
        <v>5427000</v>
      </c>
      <c r="H163" t="inlineStr">
        <is>
          <t>г Москва, ул Садовническая, д 78 стр 7, помещ 1/Ч</t>
        </is>
      </c>
      <c r="I163" t="inlineStr">
        <is>
          <t>09 06 22 12:00</t>
        </is>
      </c>
      <c r="J163" t="inlineStr">
        <is>
          <t>77:01:0002014:4154</t>
        </is>
      </c>
      <c r="L163" t="inlineStr">
        <is>
          <t>EA</t>
        </is>
      </c>
      <c r="M163" t="inlineStr">
        <is>
          <t>М</t>
        </is>
      </c>
      <c r="N163" s="2">
        <f>HYPERLINK("https://yandex.ru/maps/?&amp;text=55.73795, 37.640156", "55.73795, 37.640156")</f>
        <v/>
      </c>
      <c r="O163" t="n">
        <v>9409</v>
      </c>
      <c r="P163" s="7" t="n">
        <v>9.41</v>
      </c>
      <c r="R163" t="n">
        <v>9455</v>
      </c>
      <c r="S163" s="8" t="n">
        <v>9.359999999999999</v>
      </c>
    </row>
    <row r="164">
      <c r="A164" s="4" t="n">
        <v>165</v>
      </c>
      <c r="B164" t="inlineStr">
        <is>
          <t>78</t>
        </is>
      </c>
      <c r="C164" s="1" t="n">
        <v>10.9</v>
      </c>
      <c r="D164" s="2">
        <f>HYPERLINK("https://torgi.gov.ru/new/public/lots/lot/21000002210000000477_1/(lotInfo:info)", "21000002210000000477_1")</f>
        <v/>
      </c>
      <c r="E164" t="inlineStr">
        <is>
          <t>Нежилое помещение, расположенное по адресу: Санкт-Петербург,, литера Б, пом. 15-Н, назначение: нежилое, наименование: офис, этаж №2</t>
        </is>
      </c>
      <c r="F164" s="3" t="n">
        <v>165137.6146788991</v>
      </c>
      <c r="G164" s="3" t="n">
        <v>1800000</v>
      </c>
      <c r="H164" t="inlineStr">
        <is>
          <t>г Санкт-Петербург, пр-кт Обуховской Обороны, д 89 литера Б, помещ 15-Н</t>
        </is>
      </c>
      <c r="I164" t="inlineStr">
        <is>
          <t>06 06 22 20:00</t>
        </is>
      </c>
      <c r="J164" t="inlineStr">
        <is>
          <t>78:12:0007117:2692</t>
        </is>
      </c>
      <c r="L164" t="inlineStr">
        <is>
          <t>EA</t>
        </is>
      </c>
      <c r="M164" t="inlineStr">
        <is>
          <t>М</t>
        </is>
      </c>
      <c r="N164" s="2">
        <f>HYPERLINK("https://yandex.ru/maps/?&amp;text=59.8989631, 30.4278453", "59.8989631, 30.4278453")</f>
        <v/>
      </c>
      <c r="O164" t="n">
        <v>1465</v>
      </c>
      <c r="P164" s="7" t="n">
        <v>112.72</v>
      </c>
      <c r="R164" t="n">
        <v>1465</v>
      </c>
      <c r="S164" s="8" t="n">
        <v>112.72</v>
      </c>
    </row>
    <row r="165">
      <c r="A165" s="4" t="n">
        <v>166</v>
      </c>
      <c r="B165" t="inlineStr">
        <is>
          <t>11</t>
        </is>
      </c>
      <c r="C165" s="1" t="n">
        <v>34.7</v>
      </c>
      <c r="D165" s="2">
        <f>HYPERLINK("https://torgi.gov.ru/new/public/lots/lot/21000016640000000006_7/(lotInfo:info)", "21000016640000000006_7")</f>
        <v/>
      </c>
      <c r="E165" t="inlineStr">
        <is>
          <t>Нежилое помещение.</t>
        </is>
      </c>
      <c r="F165" s="3" t="n">
        <v>29825.6023054755</v>
      </c>
      <c r="G165" s="3" t="n">
        <v>1034948.4</v>
      </c>
      <c r="H165" t="inlineStr">
        <is>
          <t>Респ Коми, г Ухта, проезд Строителей, д 13, кв 17</t>
        </is>
      </c>
      <c r="I165" t="inlineStr">
        <is>
          <t>26 05 22 07:00</t>
        </is>
      </c>
      <c r="J165" t="inlineStr">
        <is>
          <t>11:20:0602009:3738</t>
        </is>
      </c>
      <c r="L165" t="inlineStr">
        <is>
          <t>PP</t>
        </is>
      </c>
      <c r="M165" t="inlineStr">
        <is>
          <t>М</t>
        </is>
      </c>
      <c r="N165" s="2">
        <f>HYPERLINK("https://yandex.ru/maps/?&amp;text=63.563084, 53.660748", "63.563084, 53.660748")</f>
        <v/>
      </c>
      <c r="O165" t="n">
        <v>2035</v>
      </c>
      <c r="P165" s="7" t="n">
        <v>14.66</v>
      </c>
      <c r="R165" t="n">
        <v>2035</v>
      </c>
      <c r="S165" s="8" t="n">
        <v>14.66</v>
      </c>
    </row>
    <row r="166">
      <c r="A166" s="4" t="n">
        <v>167</v>
      </c>
      <c r="B166" t="inlineStr">
        <is>
          <t>77</t>
        </is>
      </c>
      <c r="C166" s="1" t="n">
        <v>87.3</v>
      </c>
      <c r="D166" s="2">
        <f>HYPERLINK("https://torgi.gov.ru/new/public/lots/lot/21000005000000001412_1/(lotInfo:info)", "21000005000000001412_1")</f>
        <v/>
      </c>
      <c r="E166" t="inlineStr">
        <is>
          <t>Продажа имущества. находящегося в хозяйственном ведении ГУП «ЦУГИ». расположенного по адресу:</t>
        </is>
      </c>
      <c r="F166" s="3" t="n">
        <v>104579.0378006873</v>
      </c>
      <c r="G166" s="3" t="n">
        <v>9129750</v>
      </c>
      <c r="H166" t="inlineStr">
        <is>
          <t>г Москва, ул Новокузнецкая, д 20/21-19 стр 5, помещ 2/П</t>
        </is>
      </c>
      <c r="I166" t="inlineStr">
        <is>
          <t>01 06 22 12:00</t>
        </is>
      </c>
      <c r="J166" t="inlineStr">
        <is>
          <t>77:01:0002012:3467</t>
        </is>
      </c>
      <c r="L166" t="inlineStr">
        <is>
          <t>EA</t>
        </is>
      </c>
      <c r="M166" t="inlineStr">
        <is>
          <t>М</t>
        </is>
      </c>
      <c r="N166" s="2">
        <f>HYPERLINK("https://yandex.ru/maps/?&amp;text=55.7362574, 37.6311334", "55.7362574, 37.6311334")</f>
        <v/>
      </c>
      <c r="O166" t="n">
        <v>9409</v>
      </c>
      <c r="P166" s="7" t="n">
        <v>11.11</v>
      </c>
      <c r="R166" t="n">
        <v>9409</v>
      </c>
      <c r="S166" s="8" t="n">
        <v>11.11</v>
      </c>
    </row>
    <row r="167">
      <c r="A167" s="4" t="n">
        <v>168</v>
      </c>
      <c r="B167" t="inlineStr">
        <is>
          <t>2</t>
        </is>
      </c>
      <c r="C167" s="1" t="n">
        <v>20.8</v>
      </c>
      <c r="D167" s="2">
        <f>HYPERLINK("https://torgi.gov.ru/new/public/lots/lot/22000029100000000001_1/(lotInfo:info)", "22000029100000000001_1")</f>
        <v/>
      </c>
      <c r="E167" t="inlineStr">
        <is>
      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на I этаже 5-этажного жилого дома, расположенное по адресу:.</t>
        </is>
      </c>
      <c r="F167" s="3" t="n">
        <v>39903.84615384616</v>
      </c>
      <c r="G167" s="3" t="n">
        <v>830000</v>
      </c>
      <c r="H167" t="inlineStr">
        <is>
          <t>Респ Башкортостан, г Туймазы, ул Островского, д 51, офис 5</t>
        </is>
      </c>
      <c r="I167" t="inlineStr">
        <is>
          <t>26 05 22 15:00</t>
        </is>
      </c>
      <c r="J167" t="inlineStr">
        <is>
          <t>02:65:011227:561</t>
        </is>
      </c>
      <c r="L167" t="inlineStr">
        <is>
          <t>EA</t>
        </is>
      </c>
      <c r="M167" t="inlineStr">
        <is>
          <t>М</t>
        </is>
      </c>
      <c r="N167" s="2">
        <f>HYPERLINK("https://yandex.ru/maps/?&amp;text=54.599618, 53.679773", "54.599618, 53.679773")</f>
        <v/>
      </c>
      <c r="O167" t="n">
        <v>3322</v>
      </c>
      <c r="P167" s="7" t="n">
        <v>12.01</v>
      </c>
      <c r="R167" t="n">
        <v>3322</v>
      </c>
      <c r="S167" s="8" t="n">
        <v>12.01</v>
      </c>
    </row>
    <row r="168">
      <c r="A168" s="4" t="n">
        <v>169</v>
      </c>
      <c r="B168" t="inlineStr">
        <is>
          <t>16</t>
        </is>
      </c>
      <c r="C168" s="1" t="n">
        <v>104.9</v>
      </c>
      <c r="D168" s="2">
        <f>HYPERLINK("https://torgi.gov.ru/new/public/lots/lot/21000006210000000010_4/(lotInfo:info)", "21000006210000000010_4")</f>
        <v/>
      </c>
      <c r="E168" t="inlineStr">
        <is>
          <t>Нежилое помещение (ЖЭУ 10) расположенное на 1 этаже. Балансодержатель (продавец): Муниципальное унитарное предприятие «Управление ресурсами»</t>
        </is>
      </c>
      <c r="F168" s="3" t="n">
        <v>33155.38608198284</v>
      </c>
      <c r="G168" s="3" t="n">
        <v>3478000</v>
      </c>
      <c r="H168" t="inlineStr">
        <is>
          <t>Респ Татарстан, г Альметьевск, ул Гафиатуллина, д 49, помещ 100001</t>
        </is>
      </c>
      <c r="I168" t="inlineStr">
        <is>
          <t>25 05 22 06:00</t>
        </is>
      </c>
      <c r="J168" t="inlineStr">
        <is>
          <t xml:space="preserve">16:45:010116:3796, </t>
        </is>
      </c>
      <c r="L168" t="inlineStr">
        <is>
          <t>EA</t>
        </is>
      </c>
      <c r="M168" t="inlineStr">
        <is>
          <t>М</t>
        </is>
      </c>
      <c r="N168" s="2">
        <f>HYPERLINK("https://yandex.ru/maps/?&amp;text=54.904877, 52.263435", "54.904877, 52.263435")</f>
        <v/>
      </c>
      <c r="O168" t="n">
        <v>2233</v>
      </c>
      <c r="P168" s="7" t="n">
        <v>14.85</v>
      </c>
      <c r="R168" t="n">
        <v>2233</v>
      </c>
      <c r="S168" s="8" t="n">
        <v>14.85</v>
      </c>
    </row>
    <row r="169">
      <c r="A169" s="4" t="n">
        <v>170</v>
      </c>
      <c r="B169" t="inlineStr">
        <is>
          <t>29</t>
        </is>
      </c>
      <c r="C169" s="1" t="n">
        <v>66.8</v>
      </c>
      <c r="D169" s="2">
        <f>HYPERLINK("https://torgi.gov.ru/new/public/lots/lot/21000031630000000007_2/(lotInfo:info)", "21000031630000000007_2")</f>
        <v/>
      </c>
      <c r="E169" t="inlineStr">
        <is>
          <t>Нежилое встроенное помещение , расположенное по адресу:</t>
        </is>
      </c>
      <c r="F169" s="3" t="n">
        <v>60970.05988023953</v>
      </c>
      <c r="G169" s="3" t="n">
        <v>4072800</v>
      </c>
      <c r="H169" t="inlineStr">
        <is>
          <t>Архангельская обл, г Северодвинск, ул Ломоносова, д 78, помещ 20030</t>
        </is>
      </c>
      <c r="I169" t="inlineStr">
        <is>
          <t>31 05 22 20:00</t>
        </is>
      </c>
      <c r="J169" t="inlineStr">
        <is>
          <t>29:28:103088:2472</t>
        </is>
      </c>
      <c r="L169" t="inlineStr">
        <is>
          <t>EA</t>
        </is>
      </c>
      <c r="M169" t="inlineStr">
        <is>
          <t>М</t>
        </is>
      </c>
      <c r="N169" s="2">
        <f>HYPERLINK("https://yandex.ru/maps/?&amp;text=64.553811, 39.800029", "64.553811, 39.800029")</f>
        <v/>
      </c>
      <c r="O169" t="n">
        <v>3424</v>
      </c>
      <c r="P169" s="7" t="n">
        <v>17.81</v>
      </c>
      <c r="R169" t="n">
        <v>3424</v>
      </c>
      <c r="S169" s="8" t="n">
        <v>17.81</v>
      </c>
    </row>
    <row r="170">
      <c r="A170" s="4" t="n">
        <v>171</v>
      </c>
      <c r="B170" t="inlineStr">
        <is>
          <t>2</t>
        </is>
      </c>
      <c r="C170" s="1" t="n">
        <v>347.1</v>
      </c>
      <c r="D170" s="2">
        <f>HYPERLINK("https://torgi.gov.ru/new/public/lots/lot/21000009380000000003_1/(lotInfo:info)", "21000009380000000003_1")</f>
        <v/>
      </c>
      <c r="E170" t="inlineStr">
        <is>
          <t>нежилые помещения ., цокольный этаж № б/н</t>
        </is>
      </c>
      <c r="F170" s="3" t="n">
        <v>18726.59176029962</v>
      </c>
      <c r="G170" s="3" t="n">
        <v>6500000</v>
      </c>
      <c r="H170" t="inlineStr">
        <is>
          <t>Респ Башкортостан, г Дюртюли, ул Первомайская, д 1</t>
        </is>
      </c>
      <c r="I170" t="inlineStr">
        <is>
          <t>30 05 22 15:00</t>
        </is>
      </c>
      <c r="J170" t="inlineStr">
        <is>
          <t>02:70:010901:954</t>
        </is>
      </c>
      <c r="L170" t="inlineStr">
        <is>
          <t>EA</t>
        </is>
      </c>
      <c r="M170" t="inlineStr">
        <is>
          <t>М</t>
        </is>
      </c>
      <c r="N170">
        <f>HYPERLINK("https://yandex.ru/maps/?&amp;text=55.492474, 54.84453", "55.492474, 54.84453")</f>
        <v/>
      </c>
      <c r="O170" t="n">
        <v>2049</v>
      </c>
      <c r="P170" s="7" t="n">
        <v>9.140000000000001</v>
      </c>
      <c r="R170" t="n">
        <v>2049</v>
      </c>
      <c r="S170" s="8" t="n">
        <v>9.140000000000001</v>
      </c>
    </row>
    <row r="171">
      <c r="A171" s="4" t="n">
        <v>172</v>
      </c>
      <c r="B171" t="inlineStr">
        <is>
          <t>76</t>
        </is>
      </c>
      <c r="C171" s="1" t="n">
        <v>1031.4</v>
      </c>
      <c r="D171" s="2">
        <f>HYPERLINK("https://torgi.gov.ru/new/public/lots/lot/21000008680000000006_1/(lotInfo:info)", "21000008680000000006_1")</f>
        <v/>
      </c>
      <c r="E171" t="inlineStr">
        <is>
          <t>Комплекс зданий, назначение: нежилые, количество этажей 2, в том числе подземных 0, расположенные по адресу:. Приватизация имущества осуществляется одновременно с отчуждением в собственность земельного участка: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      </is>
      </c>
      <c r="F171" s="3" t="n">
        <v>2443.720001939112</v>
      </c>
      <c r="G171" s="3" t="n">
        <v>2520452.81</v>
      </c>
      <c r="H171" t="inlineStr">
        <is>
          <t>Ярославская обл, г Рыбинск, ул Ухтомского, уч 4</t>
        </is>
      </c>
      <c r="I171" t="inlineStr">
        <is>
          <t>25 05 22 14:00</t>
        </is>
      </c>
      <c r="J171" t="inlineStr">
        <is>
          <t xml:space="preserve">76:20:110120:5, </t>
        </is>
      </c>
      <c r="L171" t="inlineStr">
        <is>
          <t>EA</t>
        </is>
      </c>
      <c r="M171" t="inlineStr">
        <is>
          <t>М</t>
        </is>
      </c>
      <c r="N171" s="2">
        <f>HYPERLINK("https://yandex.ru/maps/?&amp;text=58.037984, 38.862934", "58.037984, 38.862934")</f>
        <v/>
      </c>
      <c r="O171" t="n">
        <v>106</v>
      </c>
      <c r="P171" s="7" t="n">
        <v>23.05</v>
      </c>
      <c r="R171" t="n">
        <v>106</v>
      </c>
      <c r="S171" s="8" t="n">
        <v>23.05</v>
      </c>
    </row>
    <row r="172">
      <c r="A172" s="4" t="n">
        <v>173</v>
      </c>
      <c r="B172" t="inlineStr">
        <is>
          <t>22</t>
        </is>
      </c>
      <c r="C172" s="1" t="n">
        <v>121.7</v>
      </c>
      <c r="D172" s="2">
        <f>HYPERLINK("https://torgi.gov.ru/new/public/lots/lot/21000015510000000014_2/(lotInfo:info)", "21000015510000000014_2")</f>
        <v/>
      </c>
      <c r="E172" t="inlineStr">
        <is>
          <t>Нежилое помещение на 1-м этаже  по</t>
        </is>
      </c>
      <c r="F172" s="3" t="n">
        <v>33976.99260476582</v>
      </c>
      <c r="G172" s="3" t="n">
        <v>4135000</v>
      </c>
      <c r="H172" t="inlineStr">
        <is>
          <t>г Барнаул, ул Бабуркина, д 8</t>
        </is>
      </c>
      <c r="I172" t="inlineStr">
        <is>
          <t>30 05 22 14:00</t>
        </is>
      </c>
      <c r="J172" t="inlineStr">
        <is>
          <t>22:63:030134:4050</t>
        </is>
      </c>
      <c r="L172" t="inlineStr">
        <is>
          <t>EA</t>
        </is>
      </c>
      <c r="M172" t="inlineStr">
        <is>
          <t>М</t>
        </is>
      </c>
      <c r="N172" s="2">
        <f>HYPERLINK("https://yandex.ru/maps/?&amp;text=53.344955, 83.70897", "53.344955, 83.70897")</f>
        <v/>
      </c>
      <c r="O172" t="n">
        <v>4080</v>
      </c>
      <c r="P172" s="7" t="n">
        <v>8.33</v>
      </c>
      <c r="R172" t="n">
        <v>4756</v>
      </c>
      <c r="S172" s="8" t="n">
        <v>7.14</v>
      </c>
    </row>
    <row r="173">
      <c r="A173" s="4" t="n">
        <v>174</v>
      </c>
      <c r="B173" t="inlineStr">
        <is>
          <t>43</t>
        </is>
      </c>
      <c r="C173" s="1" t="n">
        <v>223</v>
      </c>
      <c r="D173" s="2">
        <f>HYPERLINK("https://torgi.gov.ru/new/public/lots/lot/21000016080000000100_1/(lotInfo:info)", "21000016080000000100_1")</f>
        <v/>
      </c>
      <c r="E173" t="inlineStr">
        <is>
          <t>Нежилое помещение  (реестровый номер федерального имущества П13440001744), расположенное по адресу:.</t>
        </is>
      </c>
      <c r="F173" s="3" t="n">
        <v>2316.143497757847</v>
      </c>
      <c r="G173" s="3" t="n">
        <v>516500</v>
      </c>
      <c r="H173" t="inlineStr">
        <is>
          <t>Кировская обл, г Вятские Поляны, ул Профсоюзная, д 2, помещ 1001</t>
        </is>
      </c>
      <c r="I173" t="inlineStr">
        <is>
          <t>30 05 22 15:00</t>
        </is>
      </c>
      <c r="J173" t="inlineStr">
        <is>
          <t xml:space="preserve">43:41:000017:1128 </t>
        </is>
      </c>
      <c r="L173" t="inlineStr">
        <is>
          <t>PP</t>
        </is>
      </c>
      <c r="M173" t="inlineStr">
        <is>
          <t>М</t>
        </is>
      </c>
      <c r="N173" s="2">
        <f>HYPERLINK("https://yandex.ru/maps/?&amp;text=56.21733, 51.03541", "56.21733, 51.03541")</f>
        <v/>
      </c>
      <c r="O173" t="n">
        <v>1633</v>
      </c>
      <c r="P173" s="7" t="n">
        <v>1.42</v>
      </c>
      <c r="R173" t="n">
        <v>1633</v>
      </c>
      <c r="S173" s="8" t="n">
        <v>1.42</v>
      </c>
    </row>
    <row r="174">
      <c r="A174" s="4" t="n">
        <v>175</v>
      </c>
      <c r="B174" t="inlineStr">
        <is>
          <t>21</t>
        </is>
      </c>
      <c r="C174" s="1" t="n">
        <v>44.3</v>
      </c>
      <c r="D174" s="2">
        <f>HYPERLINK("https://torgi.gov.ru/new/public/lots/lot/22000053090000000003_2/(lotInfo:info)", "22000053090000000003_2")</f>
        <v/>
      </c>
      <c r="E174" t="inlineStr">
        <is>
          <t>Муниципальное имущество города Канаш Чувашской Республики - нежилое здание., расположенное по адресу:.</t>
        </is>
      </c>
      <c r="F174" s="3" t="n">
        <v>15745.64334085779</v>
      </c>
      <c r="G174" s="3" t="n">
        <v>697532</v>
      </c>
      <c r="H174" t="inlineStr">
        <is>
          <t>Чувашская республика - Чувашия, г Канаш, ул Железнодорожная, д 34</t>
        </is>
      </c>
      <c r="I174" t="inlineStr">
        <is>
          <t>27 05 22 14:00</t>
        </is>
      </c>
      <c r="J174" t="inlineStr">
        <is>
          <t>21:04:030201:103</t>
        </is>
      </c>
      <c r="L174" t="inlineStr">
        <is>
          <t>EA</t>
        </is>
      </c>
      <c r="M174" t="inlineStr">
        <is>
          <t>М</t>
        </is>
      </c>
      <c r="N174" s="2">
        <f>HYPERLINK("https://yandex.ru/maps/?&amp;text=55.51748, 47.495303", "55.51748, 47.495303")</f>
        <v/>
      </c>
      <c r="O174" t="n">
        <v>1243</v>
      </c>
      <c r="P174" s="7" t="n">
        <v>12.67</v>
      </c>
      <c r="R174" t="n">
        <v>2190</v>
      </c>
      <c r="S174" s="8" t="n">
        <v>7.19</v>
      </c>
    </row>
    <row r="175">
      <c r="A175" s="4" t="n">
        <v>176</v>
      </c>
      <c r="B175" t="inlineStr">
        <is>
          <t>21</t>
        </is>
      </c>
      <c r="C175" s="1" t="n">
        <v>59.9</v>
      </c>
      <c r="D175" s="2">
        <f>HYPERLINK("https://torgi.gov.ru/new/public/lots/lot/22000053090000000003_3/(lotInfo:info)", "22000053090000000003_3")</f>
        <v/>
      </c>
      <c r="E175" t="inlineStr">
        <is>
          <t>Нежилое помещение., расположенное по адресу:</t>
        </is>
      </c>
      <c r="F175" s="3" t="n">
        <v>43538.81469115192</v>
      </c>
      <c r="G175" s="3" t="n">
        <v>2607975</v>
      </c>
      <c r="H175" t="inlineStr">
        <is>
          <t>Чувашская республика - Чувашия, г Канаш, пр-кт Ленина, д 22, помещ 4</t>
        </is>
      </c>
      <c r="I175" t="inlineStr">
        <is>
          <t>27 05 22 14:00</t>
        </is>
      </c>
      <c r="J175" t="inlineStr">
        <is>
          <t>21:04:060202:3462</t>
        </is>
      </c>
      <c r="L175" t="inlineStr">
        <is>
          <t>EA</t>
        </is>
      </c>
      <c r="M175" t="inlineStr">
        <is>
          <t>М</t>
        </is>
      </c>
      <c r="N175" s="2">
        <f>HYPERLINK("https://yandex.ru/maps/?&amp;text=55.510136, 47.502068", "55.510136, 47.502068")</f>
        <v/>
      </c>
      <c r="O175" t="n">
        <v>3322</v>
      </c>
      <c r="P175" s="7" t="n">
        <v>13.11</v>
      </c>
      <c r="R175" t="n">
        <v>3227</v>
      </c>
      <c r="S175" s="8" t="n">
        <v>13.49</v>
      </c>
    </row>
    <row r="176">
      <c r="A176" s="4" t="n">
        <v>177</v>
      </c>
      <c r="B176" t="inlineStr">
        <is>
          <t>21</t>
        </is>
      </c>
      <c r="C176" s="1" t="n">
        <v>117.6</v>
      </c>
      <c r="D176" s="2">
        <f>HYPERLINK("https://torgi.gov.ru/new/public/lots/lot/22000053090000000003_1/(lotInfo:info)", "22000053090000000003_1")</f>
        <v/>
      </c>
      <c r="E176" t="inlineStr">
        <is>
          <t>Нежилое здание., расположенное по адресу:</t>
        </is>
      </c>
      <c r="F176" s="3" t="n">
        <v>20190.05102040817</v>
      </c>
      <c r="G176" s="3" t="n">
        <v>2374350</v>
      </c>
      <c r="H176" t="inlineStr">
        <is>
          <t>Чувашская республика - Чувашия, г Канаш, ул Железнодорожная, д 34</t>
        </is>
      </c>
      <c r="I176" t="inlineStr">
        <is>
          <t>27 05 22 14:00</t>
        </is>
      </c>
      <c r="J176" t="inlineStr">
        <is>
          <t>21:04:010414:302</t>
        </is>
      </c>
      <c r="L176" t="inlineStr">
        <is>
          <t>EA</t>
        </is>
      </c>
      <c r="M176" t="inlineStr">
        <is>
          <t>М</t>
        </is>
      </c>
      <c r="N176" s="2">
        <f>HYPERLINK("https://yandex.ru/maps/?&amp;text=55.51748, 47.495303", "55.51748, 47.495303")</f>
        <v/>
      </c>
      <c r="O176" t="n">
        <v>1243</v>
      </c>
      <c r="P176" s="7" t="n">
        <v>16.24</v>
      </c>
      <c r="R176" t="n">
        <v>2190</v>
      </c>
      <c r="S176" s="8" t="n">
        <v>9.220000000000001</v>
      </c>
    </row>
    <row r="177">
      <c r="A177" s="4" t="n">
        <v>178</v>
      </c>
      <c r="B177" t="inlineStr">
        <is>
          <t>78</t>
        </is>
      </c>
      <c r="C177" s="1" t="n">
        <v>31.9</v>
      </c>
      <c r="D177" s="2">
        <f>HYPERLINK("https://torgi.gov.ru/new/public/lots/lot/21000002210000000451_1/(lotInfo:info)", "21000002210000000451_1")</f>
        <v/>
      </c>
      <c r="E177" t="inlineStr">
        <is>
          <t>Нежилое помещение, расположенное по адресу: Санкт-Петербург,, литера Б, пом. 78-Н, назначение: нежилое помещение, наименование: нежилое помещение, этаж №1</t>
        </is>
      </c>
      <c r="F177" s="3" t="n">
        <v>145454.5454545455</v>
      </c>
      <c r="G177" s="3" t="n">
        <v>4640000</v>
      </c>
      <c r="H177" t="inlineStr">
        <is>
          <t>г Санкт-Петербург, Сапёрный пер, д 10 литера Б, помещ 78-Н</t>
        </is>
      </c>
      <c r="I177" t="inlineStr">
        <is>
          <t>01 06 22 20:00</t>
        </is>
      </c>
      <c r="J177" t="inlineStr">
        <is>
          <t>78:31:0001278:2643</t>
        </is>
      </c>
      <c r="L177" t="inlineStr">
        <is>
          <t>EA</t>
        </is>
      </c>
      <c r="M177" t="inlineStr">
        <is>
          <t>М</t>
        </is>
      </c>
      <c r="N177" s="2">
        <f>HYPERLINK("https://yandex.ru/maps/?&amp;text=59.941141, 30.358206", "59.941141, 30.358206")</f>
        <v/>
      </c>
      <c r="O177" t="n">
        <v>10194</v>
      </c>
      <c r="P177" s="7" t="n">
        <v>14.27</v>
      </c>
      <c r="R177" t="n">
        <v>10194</v>
      </c>
      <c r="S177" s="8" t="n">
        <v>14.27</v>
      </c>
    </row>
    <row r="178">
      <c r="A178" s="4" t="n">
        <v>179</v>
      </c>
      <c r="B178" t="inlineStr">
        <is>
          <t>42</t>
        </is>
      </c>
      <c r="C178" s="1" t="n">
        <v>310.4</v>
      </c>
      <c r="D178" s="2">
        <f>HYPERLINK("https://torgi.gov.ru/new/public/lots/lot/22000014620000000002_1/(lotInfo:info)", "22000014620000000002_1")</f>
        <v/>
      </c>
      <c r="E178" t="inlineStr">
        <is>
          <t>нежилое помещение, расположенное по адресу:.назначение объекта: нежилое</t>
        </is>
      </c>
      <c r="F178" s="3" t="n">
        <v>13227.12628865979</v>
      </c>
      <c r="G178" s="3" t="n">
        <v>4105700</v>
      </c>
      <c r="H178" t="inlineStr">
        <is>
          <t>Кемеровская область - Кузбасс, г Березовский, ул Мира, д 46, помещ 518</t>
        </is>
      </c>
      <c r="I178" t="inlineStr">
        <is>
          <t>24 05 22 10:30</t>
        </is>
      </c>
      <c r="J178" t="inlineStr">
        <is>
          <t>42:22:0102009:2033;</t>
        </is>
      </c>
      <c r="L178" t="inlineStr">
        <is>
          <t>PP</t>
        </is>
      </c>
      <c r="M178" t="inlineStr">
        <is>
          <t>М</t>
        </is>
      </c>
      <c r="N178" s="2">
        <f>HYPERLINK("https://yandex.ru/maps/?&amp;text=55.66111, 86.266852", "55.66111, 86.266852")</f>
        <v/>
      </c>
      <c r="O178" t="n">
        <v>1341</v>
      </c>
      <c r="P178" s="7" t="n">
        <v>9.859999999999999</v>
      </c>
      <c r="R178" t="n">
        <v>1341</v>
      </c>
      <c r="S178" s="8" t="n">
        <v>9.859999999999999</v>
      </c>
    </row>
    <row r="179">
      <c r="A179" s="4" t="n">
        <v>180</v>
      </c>
      <c r="B179" t="inlineStr">
        <is>
          <t>50</t>
        </is>
      </c>
      <c r="C179" s="1" t="n">
        <v>18.2</v>
      </c>
      <c r="D179" s="2">
        <f>HYPERLINK("https://torgi.gov.ru/new/public/lots/lot/21000004710000000239_1/(lotInfo:info)", "21000004710000000239_1")</f>
        <v/>
      </c>
      <c r="E179" t="inlineStr">
        <is>
          <t>Продажа нежилого помещения 18,2 кв.м в г.о. Королёв</t>
        </is>
      </c>
      <c r="F179" s="3" t="n">
        <v>85853.95604395604</v>
      </c>
      <c r="G179" s="3" t="n">
        <v>1562542</v>
      </c>
      <c r="H179" t="inlineStr">
        <is>
          <t>Московская область, г. Королев, ул. Первомайская, 7а, блок 1, пом.6</t>
        </is>
      </c>
      <c r="I179" t="inlineStr">
        <is>
          <t>06 06 22 15:00</t>
        </is>
      </c>
      <c r="J179" t="inlineStr">
        <is>
          <t>50:45:0040202:88</t>
        </is>
      </c>
      <c r="L179" t="inlineStr">
        <is>
          <t>EA</t>
        </is>
      </c>
      <c r="M179" t="inlineStr">
        <is>
          <t>М</t>
        </is>
      </c>
      <c r="N179" t="inlineStr">
        <is>
          <t>55.928658, 37.800766</t>
        </is>
      </c>
      <c r="O179" t="n">
        <v>2913</v>
      </c>
      <c r="P179" s="7" t="n">
        <v>29.47</v>
      </c>
      <c r="R179" t="n">
        <v>3196</v>
      </c>
      <c r="S179" s="8" t="n">
        <v>26.86</v>
      </c>
    </row>
    <row r="180">
      <c r="A180" s="4" t="n">
        <v>181</v>
      </c>
      <c r="B180" t="inlineStr">
        <is>
          <t>34</t>
        </is>
      </c>
      <c r="C180" s="1" t="n">
        <v>863.72</v>
      </c>
      <c r="D180" s="2">
        <f>HYPERLINK("https://torgi.gov.ru/new/public/lots/lot/21000004930000000009_1/(lotInfo:info)", "21000004930000000009_1")</f>
        <v/>
      </c>
      <c r="E180" t="inlineStr">
        <is>
          <t>Комплекс объектов недвижимого имущества: склад общей площадью 863,7 кв. метраотдельно стоящее здание (склад № 2) общей площадью 762,3 кв. метраасфальтобетонное покрытие общей площадью 4765,6 кв. метразабор ж/бетонный протяженностью 812 метров, реестровый номер 3412000000018805, расположенный по адресу:</t>
        </is>
      </c>
      <c r="F180" s="3" t="n">
        <v>3126.013059787894</v>
      </c>
      <c r="G180" s="3" t="n">
        <v>2700000</v>
      </c>
      <c r="H180" t="inlineStr">
        <is>
          <t>Волгоградская обл, г Дубовка, ул Рабочая, д 7</t>
        </is>
      </c>
      <c r="I180" t="inlineStr">
        <is>
          <t>23 05 22 05:30</t>
        </is>
      </c>
      <c r="J180" t="inlineStr">
        <is>
          <t xml:space="preserve">34:05:000000:704, </t>
        </is>
      </c>
      <c r="L180" t="inlineStr">
        <is>
          <t>BOC</t>
        </is>
      </c>
      <c r="M180" t="inlineStr">
        <is>
          <t>М</t>
        </is>
      </c>
      <c r="N180" s="2">
        <f>HYPERLINK("https://yandex.ru/maps/?&amp;text=49.066343, 44.817911", "49.066343, 44.817911")</f>
        <v/>
      </c>
      <c r="O180" t="n">
        <v>711</v>
      </c>
      <c r="P180" s="7" t="n">
        <v>4.4</v>
      </c>
      <c r="R180" t="n">
        <v>711</v>
      </c>
      <c r="S180" s="8" t="n">
        <v>4.4</v>
      </c>
    </row>
    <row r="181">
      <c r="A181" s="4" t="n">
        <v>182</v>
      </c>
      <c r="B181" t="inlineStr">
        <is>
          <t>21</t>
        </is>
      </c>
      <c r="C181" s="1" t="n">
        <v>194.7</v>
      </c>
      <c r="D181" s="2">
        <f>HYPERLINK("https://torgi.gov.ru/new/public/lots/lot/22000053090000000002_1/(lotInfo:info)", "22000053090000000002_1")</f>
        <v/>
      </c>
      <c r="E181" t="inlineStr">
        <is>
          <t>Нежилое здание., расположенное по адресу:.</t>
        </is>
      </c>
      <c r="F181" s="3" t="n">
        <v>28485.87057010786</v>
      </c>
      <c r="G181" s="3" t="n">
        <v>5546199</v>
      </c>
      <c r="H181" t="inlineStr">
        <is>
          <t>Чувашская республика - Чувашия, г Канаш, ул Чкалова, д 2</t>
        </is>
      </c>
      <c r="I181" t="inlineStr">
        <is>
          <t>19 05 22 14:00</t>
        </is>
      </c>
      <c r="J181" t="inlineStr">
        <is>
          <t>21:04:060109:33</t>
        </is>
      </c>
      <c r="L181" t="inlineStr">
        <is>
          <t>EA</t>
        </is>
      </c>
      <c r="M181" t="inlineStr">
        <is>
          <t>М</t>
        </is>
      </c>
      <c r="N181" s="2">
        <f>HYPERLINK("https://yandex.ru/maps/?&amp;text=55.515273, 47.503137", "55.515273, 47.503137")</f>
        <v/>
      </c>
      <c r="O181" t="n">
        <v>3322</v>
      </c>
      <c r="P181" s="7" t="n">
        <v>8.57</v>
      </c>
      <c r="R181" t="n">
        <v>2070</v>
      </c>
      <c r="S181" s="8" t="n">
        <v>13.76</v>
      </c>
    </row>
    <row r="182">
      <c r="A182" s="4" t="n">
        <v>183</v>
      </c>
      <c r="B182" t="inlineStr">
        <is>
          <t>77</t>
        </is>
      </c>
      <c r="C182" s="1" t="n">
        <v>113.5</v>
      </c>
      <c r="D182" s="2">
        <f>HYPERLINK("https://torgi.gov.ru/new/public/lots/lot/21000005000000001116_1/(lotInfo:info)", "21000005000000001116_1")</f>
        <v/>
      </c>
      <c r="E182" t="inlineStr">
        <is>
          <t>Продажа имущества, находящегося в хозяйственном ведении ГУП "ЦУГИ", расположенное по адресу: .47, к. 1</t>
        </is>
      </c>
      <c r="F182" s="3" t="n">
        <v>52986.78414096916</v>
      </c>
      <c r="G182" s="3" t="n">
        <v>6014000</v>
      </c>
      <c r="H182" t="inlineStr">
        <is>
          <t>г Москва, ул Вавилова, д 47 к 1, помещ 1/П</t>
        </is>
      </c>
      <c r="I182" t="inlineStr">
        <is>
          <t>23 05 22 12:00</t>
        </is>
      </c>
      <c r="J182" t="inlineStr">
        <is>
          <t>77:06:0002019:1142</t>
        </is>
      </c>
      <c r="L182" t="inlineStr">
        <is>
          <t>EA</t>
        </is>
      </c>
      <c r="M182" t="inlineStr">
        <is>
          <t>М</t>
        </is>
      </c>
      <c r="N182" s="2">
        <f>HYPERLINK("https://yandex.ru/maps/?&amp;text=55.693617, 37.565461", "55.693617, 37.565461")</f>
        <v/>
      </c>
      <c r="O182" t="n">
        <v>12846</v>
      </c>
      <c r="P182" s="7" t="n">
        <v>4.12</v>
      </c>
      <c r="R182" t="n">
        <v>11397</v>
      </c>
      <c r="S182" s="8" t="n">
        <v>4.65</v>
      </c>
    </row>
    <row r="183">
      <c r="A183" s="4" t="n">
        <v>184</v>
      </c>
      <c r="B183" t="inlineStr">
        <is>
          <t>44</t>
        </is>
      </c>
      <c r="C183" s="1" t="n">
        <v>630.3</v>
      </c>
      <c r="D183" s="2">
        <f>HYPERLINK("https://torgi.gov.ru/new/public/lots/lot/22000005110000000002_1/(lotInfo:info)", "22000005110000000002_1")</f>
        <v/>
      </c>
      <c r="E183" t="inlineStr">
        <is>
          <t>часть здания-склада, расположенного по адресу:. Состояние удовлетворительное.</t>
        </is>
      </c>
      <c r="F183" s="3" t="n">
        <v>5287.958115183246</v>
      </c>
      <c r="G183" s="3" t="n">
        <v>3333000</v>
      </c>
      <c r="H183" t="inlineStr">
        <is>
          <t>Костромская обл, г Буй, ул Островского, д 6</t>
        </is>
      </c>
      <c r="I183" t="inlineStr">
        <is>
          <t>14 05 22 14:00</t>
        </is>
      </c>
      <c r="J183" t="inlineStr">
        <is>
          <t>44:25:030307:163</t>
        </is>
      </c>
      <c r="L183" t="inlineStr">
        <is>
          <t>EA</t>
        </is>
      </c>
      <c r="M183" t="inlineStr">
        <is>
          <t>М</t>
        </is>
      </c>
      <c r="N183" s="2">
        <f>HYPERLINK("https://yandex.ru/maps/?&amp;text=58.477207, 41.544135", "58.477207, 41.544135")</f>
        <v/>
      </c>
      <c r="O183" t="n">
        <v>1528</v>
      </c>
      <c r="P183" s="7" t="n">
        <v>3.46</v>
      </c>
      <c r="R183" t="n">
        <v>1237</v>
      </c>
      <c r="S183" s="8" t="n">
        <v>4.27</v>
      </c>
    </row>
    <row r="184">
      <c r="A184" s="4" t="n">
        <v>185</v>
      </c>
      <c r="B184" t="inlineStr">
        <is>
          <t>77</t>
        </is>
      </c>
      <c r="C184" s="1" t="n">
        <v>27.5</v>
      </c>
      <c r="D184" s="2">
        <f>HYPERLINK("https://torgi.gov.ru/new/public/lots/lot/21000005000000001101_1/(lotInfo:info)", "21000005000000001101_1")</f>
        <v/>
      </c>
      <c r="E184" t="inlineStr">
        <is>
          <t>Аукцион в электронной форме по продаже нежилого помещения, закреплённого за КП «УГС» на праве оперативного управления, по адресу:, этаж 1</t>
        </is>
      </c>
      <c r="F184" s="3" t="n">
        <v>295747.4181818182</v>
      </c>
      <c r="G184" s="3" t="n">
        <v>8133054</v>
      </c>
      <c r="H184" t="inlineStr">
        <is>
          <t>г Москва, Береговой пр-д, д 1А, помещ 39Н</t>
        </is>
      </c>
      <c r="I184" t="inlineStr">
        <is>
          <t>23 05 22 12:00</t>
        </is>
      </c>
      <c r="J184" t="inlineStr">
        <is>
          <t>77:07:0002003:13166</t>
        </is>
      </c>
      <c r="L184" t="inlineStr">
        <is>
          <t>EA</t>
        </is>
      </c>
      <c r="M184" t="inlineStr">
        <is>
          <t>М</t>
        </is>
      </c>
      <c r="N184" s="2">
        <f>HYPERLINK("https://yandex.ru/maps/?&amp;text=55.7573443, 37.5119741", "55.7573443, 37.5119741")</f>
        <v/>
      </c>
      <c r="O184" t="n">
        <v>8067</v>
      </c>
      <c r="P184" s="7" t="n">
        <v>36.66</v>
      </c>
      <c r="R184" t="n">
        <v>9224</v>
      </c>
      <c r="S184" s="8" t="n">
        <v>32.06</v>
      </c>
    </row>
    <row r="185">
      <c r="A185" s="4" t="n">
        <v>186</v>
      </c>
      <c r="B185" t="inlineStr">
        <is>
          <t>32</t>
        </is>
      </c>
      <c r="C185" s="1" t="n">
        <v>126.7</v>
      </c>
      <c r="D185" s="2">
        <f>HYPERLINK("https://torgi.gov.ru/new/public/lots/lot/21000013350000000014_1/(lotInfo:info)", "21000013350000000014_1")</f>
        <v/>
      </c>
      <c r="E185" t="inlineStr">
        <is>
          <t>. нежилое здание , расположенное по адресу:.Лысенко, д.35с земельным участком , расположенным по адресу: Брянская область, Красногорский район, пгт Красная Гора, им.Лысенко, д.35категория земель: земли населенных пунктов, разрешенное использование: для ведения личного подсобного хозяйства</t>
        </is>
      </c>
      <c r="F185" s="3" t="n">
        <v>5130.228887134965</v>
      </c>
      <c r="G185" s="3" t="n">
        <v>650000</v>
      </c>
      <c r="H185" t="inlineStr">
        <is>
          <t>Брянская обл, пгт Красная Гора, ул им. Лысенко, д 35</t>
        </is>
      </c>
      <c r="I185" t="inlineStr">
        <is>
          <t>19 05 22 13:00</t>
        </is>
      </c>
      <c r="J185" t="inlineStr">
        <is>
          <t xml:space="preserve">32:15:0260403:53, </t>
        </is>
      </c>
      <c r="L185" t="inlineStr">
        <is>
          <t>EA</t>
        </is>
      </c>
      <c r="M185" t="inlineStr">
        <is>
          <t>М</t>
        </is>
      </c>
      <c r="N185" s="2">
        <f>HYPERLINK("https://yandex.ru/maps/?&amp;text=53.013468, 31.58578", "53.013468, 31.58578")</f>
        <v/>
      </c>
      <c r="O185" t="n">
        <v>446</v>
      </c>
      <c r="P185" s="7" t="n">
        <v>11.5</v>
      </c>
      <c r="R185" t="n">
        <v>446</v>
      </c>
      <c r="S185" s="8" t="n">
        <v>11.5</v>
      </c>
    </row>
    <row r="186">
      <c r="A186" s="4" t="n">
        <v>187</v>
      </c>
      <c r="B186" t="inlineStr">
        <is>
          <t>78</t>
        </is>
      </c>
      <c r="C186" s="1" t="n">
        <v>17.8</v>
      </c>
      <c r="D186" s="2">
        <f>HYPERLINK("https://torgi.gov.ru/new/public/lots/lot/21000002210000000428_1/(lotInfo:info)", "21000002210000000428_1")</f>
        <v/>
      </c>
      <c r="E186" t="inlineStr">
        <is>
          <t>Нежилое помещение, расположенное по адресу: Санкт-Петербург,, литера Е, пом. 6-Н, назначение: нежилое помещение, этаж № 2</t>
        </is>
      </c>
      <c r="F186" s="3" t="n">
        <v>174157.3033707865</v>
      </c>
      <c r="G186" s="3" t="n">
        <v>3100000</v>
      </c>
      <c r="H186" t="inlineStr">
        <is>
          <t>г Санкт-Петербург, ул Итальянская, д 12 литера Е, помещ 6-Н</t>
        </is>
      </c>
      <c r="I186" t="inlineStr">
        <is>
          <t>18 05 22 20:00</t>
        </is>
      </c>
      <c r="J186" t="inlineStr">
        <is>
          <t>78:31:0001264:1185</t>
        </is>
      </c>
      <c r="L186" t="inlineStr">
        <is>
          <t>EA</t>
        </is>
      </c>
      <c r="M186" t="inlineStr">
        <is>
          <t>М</t>
        </is>
      </c>
      <c r="N186" s="2">
        <f>HYPERLINK("https://yandex.ru/maps/?&amp;text=59.936079, 30.33776", "59.936079, 30.33776")</f>
        <v/>
      </c>
      <c r="O186" t="n">
        <v>6219</v>
      </c>
      <c r="P186" s="7" t="n">
        <v>28</v>
      </c>
      <c r="R186" t="n">
        <v>6219</v>
      </c>
      <c r="S186" s="8" t="n">
        <v>28</v>
      </c>
    </row>
    <row r="187">
      <c r="A187" s="4" t="n">
        <v>188</v>
      </c>
      <c r="B187" t="inlineStr">
        <is>
          <t>76</t>
        </is>
      </c>
      <c r="C187" s="1" t="n">
        <v>217.4</v>
      </c>
      <c r="D187" s="2">
        <f>HYPERLINK("https://torgi.gov.ru/new/public/lots/lot/22000034760000000055_1/(lotInfo:info)", "22000034760000000055_1")</f>
        <v/>
      </c>
      <c r="E187" t="inlineStr">
        <is>
          <t>В соответствии с Извещением.</t>
        </is>
      </c>
      <c r="F187" s="3" t="n">
        <v>39788.40846366145</v>
      </c>
      <c r="G187" s="3" t="n">
        <v>8650000</v>
      </c>
      <c r="H187" t="inlineStr">
        <is>
          <t>г Ярославль, ул Большая Октябрьская, д 48а</t>
        </is>
      </c>
      <c r="I187" t="inlineStr">
        <is>
          <t>06 06 22 14:30</t>
        </is>
      </c>
      <c r="J187" t="inlineStr">
        <is>
          <t>76:23:010101:17686</t>
        </is>
      </c>
      <c r="L187" t="inlineStr">
        <is>
          <t>EK</t>
        </is>
      </c>
      <c r="M187" t="inlineStr">
        <is>
          <t>М</t>
        </is>
      </c>
      <c r="N187" s="2">
        <f>HYPERLINK("https://yandex.ru/maps/?&amp;text=57.6224, 39.880222", "57.6224, 39.880222")</f>
        <v/>
      </c>
      <c r="O187" t="n">
        <v>4524</v>
      </c>
      <c r="P187" s="7" t="n">
        <v>8.789999999999999</v>
      </c>
      <c r="R187" t="n">
        <v>4524</v>
      </c>
      <c r="S187" s="8" t="n">
        <v>8.789999999999999</v>
      </c>
    </row>
    <row r="188">
      <c r="A188" s="4" t="n">
        <v>189</v>
      </c>
      <c r="B188" t="inlineStr">
        <is>
          <t>42</t>
        </is>
      </c>
      <c r="C188" s="1" t="n">
        <v>57</v>
      </c>
      <c r="D188" s="2">
        <f>HYPERLINK("https://torgi.gov.ru/new/public/lots/lot/22000012150000000006_4/(lotInfo:info)", "22000012150000000006_4")</f>
        <v/>
      </c>
      <c r="E188" t="inlineStr">
        <is>
          <t>встроенное нежилое помещение ., расположенное по адресу:. 1</t>
        </is>
      </c>
      <c r="F188" s="3" t="n">
        <v>41263.15789473684</v>
      </c>
      <c r="G188" s="3" t="n">
        <v>2352000</v>
      </c>
      <c r="H188" t="inlineStr">
        <is>
          <t>Кемеровская область - Кузбасс, г Мыски, ул Пушкина, д 2, помещ 1</t>
        </is>
      </c>
      <c r="I188" t="inlineStr">
        <is>
          <t>18 05 22 03:00</t>
        </is>
      </c>
      <c r="J188" t="inlineStr">
        <is>
          <t>42:29:0101001:2376</t>
        </is>
      </c>
      <c r="L188" t="inlineStr">
        <is>
          <t>EA</t>
        </is>
      </c>
      <c r="M188" t="inlineStr">
        <is>
          <t>М</t>
        </is>
      </c>
      <c r="N188" s="2">
        <f>HYPERLINK("https://yandex.ru/maps/?&amp;text=53.713634, 87.80065", "53.713634, 87.80065")</f>
        <v/>
      </c>
      <c r="O188" t="n">
        <v>1110</v>
      </c>
      <c r="P188" s="7" t="n">
        <v>37.17</v>
      </c>
      <c r="R188" t="n">
        <v>1113</v>
      </c>
      <c r="S188" s="8" t="n">
        <v>37.07</v>
      </c>
    </row>
    <row r="189">
      <c r="A189" s="4" t="n">
        <v>190</v>
      </c>
      <c r="B189" t="inlineStr">
        <is>
          <t>41</t>
        </is>
      </c>
      <c r="C189" s="1" t="n">
        <v>334.1</v>
      </c>
      <c r="D189" s="2">
        <f>HYPERLINK("https://torgi.gov.ru/new/public/lots/lot/21000034040000000002_1/(lotInfo:info)", "21000034040000000002_1")</f>
        <v/>
      </c>
      <c r="E189" t="inlineStr">
        <is>
          <t>Помещение назначение: нежилое помещение, площадью 334,1 кв., количество этажей: 1, адрес (местонахождение) объекта:</t>
        </is>
      </c>
      <c r="F189" s="3" t="n">
        <v>5956.300508829691</v>
      </c>
      <c r="G189" s="3" t="n">
        <v>1990000</v>
      </c>
      <c r="H189" t="inlineStr">
        <is>
          <t>Камчатский край, Елизовский р-н, поселок Начики, д 15, помещ 46</t>
        </is>
      </c>
      <c r="I189" t="inlineStr">
        <is>
          <t>19 04 22 11:30</t>
        </is>
      </c>
      <c r="J189" t="inlineStr">
        <is>
          <t xml:space="preserve">41:05:0101017:568, </t>
        </is>
      </c>
      <c r="L189" t="inlineStr">
        <is>
          <t>PP</t>
        </is>
      </c>
      <c r="M189" t="inlineStr">
        <is>
          <t>М</t>
        </is>
      </c>
      <c r="N189" s="2">
        <f>HYPERLINK("https://yandex.ru/maps/?&amp;text=53.122253, 157.74729", "53.122253, 157.74729")</f>
        <v/>
      </c>
      <c r="O189" t="n">
        <v>65</v>
      </c>
      <c r="P189" s="7" t="n">
        <v>91.64</v>
      </c>
      <c r="R189" t="n">
        <v>33</v>
      </c>
      <c r="S189" s="8" t="n">
        <v>180.49</v>
      </c>
    </row>
    <row r="190">
      <c r="A190" s="4" t="n">
        <v>191</v>
      </c>
      <c r="B190" t="inlineStr">
        <is>
          <t>33</t>
        </is>
      </c>
      <c r="C190" s="1" t="n">
        <v>271.6</v>
      </c>
      <c r="D190" s="2">
        <f>HYPERLINK("https://torgi.gov.ru/new/public/lots/lot/22000010510000000002_1/(lotInfo:info)", "22000010510000000002_1")</f>
        <v/>
      </c>
      <c r="E190" t="inlineStr">
        <is>
          <t>Помещение, назначение нежилое, адрес (местоположение):, м.р-н Петушинский, г.п. город Покров, г Покров, проезд Больничный, д. 2, пом. 21-22;28-43, общей площадью 271,6 м2</t>
        </is>
      </c>
      <c r="F190" s="3" t="n">
        <v>12116.92562592047</v>
      </c>
      <c r="G190" s="3" t="n">
        <v>3290957</v>
      </c>
      <c r="H190" t="inlineStr">
        <is>
          <t>Владимирская обл, Петушинский р-н, г Покров, Больничный проезд, д 2, помещ 21</t>
        </is>
      </c>
      <c r="I190" t="inlineStr">
        <is>
          <t>13 05 22 14:00</t>
        </is>
      </c>
      <c r="J190" t="inlineStr">
        <is>
          <t>33:13:030223:1376</t>
        </is>
      </c>
      <c r="L190" t="inlineStr">
        <is>
          <t>EA</t>
        </is>
      </c>
      <c r="M190" t="inlineStr">
        <is>
          <t>М</t>
        </is>
      </c>
      <c r="N190">
        <f>HYPERLINK("https://yandex.ru/maps/?&amp;text=55.911198, 39.177982", "55.911198, 39.177982")</f>
        <v/>
      </c>
      <c r="O190" t="n">
        <v>618</v>
      </c>
      <c r="P190" s="7" t="n">
        <v>19.61</v>
      </c>
      <c r="R190" t="n">
        <v>914</v>
      </c>
      <c r="S190" s="8" t="n">
        <v>13.26</v>
      </c>
    </row>
    <row r="191">
      <c r="A191" s="4" t="n">
        <v>192</v>
      </c>
      <c r="B191" t="inlineStr">
        <is>
          <t>50</t>
        </is>
      </c>
      <c r="C191" s="1" t="n">
        <v>13.7</v>
      </c>
      <c r="D191" s="2">
        <f>HYPERLINK("https://torgi.gov.ru/new/public/lots/lot/21000004710000001028_1/(lotInfo:info)", "21000004710000001028_1")</f>
        <v/>
      </c>
      <c r="E191" t="inlineStr">
        <is>
          <t>Продажа нежилого помещения 13,7 кв.м в г.о. Королев</t>
        </is>
      </c>
      <c r="F191" s="3" t="n">
        <v>100074.1605839416</v>
      </c>
      <c r="G191" s="3" t="n">
        <v>1371016</v>
      </c>
      <c r="H191" t="inlineStr">
        <is>
          <t>Московская обл, г Королёв, пр-кт Королева, д 28, помещ 2</t>
        </is>
      </c>
      <c r="I191" t="inlineStr">
        <is>
          <t>20 05 22 15:00</t>
        </is>
      </c>
      <c r="J191" t="inlineStr">
        <is>
          <t>50:45:0040802:363</t>
        </is>
      </c>
      <c r="L191" t="inlineStr">
        <is>
          <t>EA</t>
        </is>
      </c>
      <c r="M191" t="inlineStr">
        <is>
          <t>М</t>
        </is>
      </c>
      <c r="N191">
        <f>HYPERLINK("https://yandex.ru/maps/?&amp;text=55.923096, 37.85644", "55.923096, 37.85644")</f>
        <v/>
      </c>
      <c r="O191" t="n">
        <v>3899</v>
      </c>
      <c r="P191" s="7" t="n">
        <v>25.67</v>
      </c>
      <c r="R191" t="n">
        <v>3273</v>
      </c>
      <c r="S191" s="8" t="n">
        <v>30.58</v>
      </c>
    </row>
    <row r="192">
      <c r="A192" s="4" t="n">
        <v>193</v>
      </c>
      <c r="B192" t="inlineStr">
        <is>
          <t>78</t>
        </is>
      </c>
      <c r="C192" s="1" t="n">
        <v>16.3</v>
      </c>
      <c r="D192" s="2">
        <f>HYPERLINK("https://torgi.gov.ru/new/public/lots/lot/21000002210000000419_1/(lotInfo:info)", "21000002210000000419_1")</f>
        <v/>
      </c>
      <c r="E192" t="inlineStr">
        <is>
          <t>Нежилое помещение, расположенное по адресу: Санкт-Петербург,, литера А, пом. 6-Н, назначение: нежилое, этаж №1</t>
        </is>
      </c>
      <c r="F192" s="3" t="n">
        <v>119018.4049079754</v>
      </c>
      <c r="G192" s="3" t="n">
        <v>1940000</v>
      </c>
      <c r="H192" t="inlineStr">
        <is>
          <t>г Санкт-Петербург, ул Марата, д 31 литера А, помещ 6-Н</t>
        </is>
      </c>
      <c r="I192" t="inlineStr">
        <is>
          <t>31 05 22 20:00</t>
        </is>
      </c>
      <c r="J192" t="inlineStr">
        <is>
          <t>78:31:0001133:3737</t>
        </is>
      </c>
      <c r="L192" t="inlineStr">
        <is>
          <t>EA</t>
        </is>
      </c>
      <c r="M192" t="inlineStr">
        <is>
          <t>М</t>
        </is>
      </c>
      <c r="N192" s="2">
        <f>HYPERLINK("https://yandex.ru/maps/?&amp;text=59.92649, 30.3519", "59.92649, 30.3519")</f>
        <v/>
      </c>
      <c r="O192" t="n">
        <v>18744</v>
      </c>
      <c r="P192" s="7" t="n">
        <v>6.35</v>
      </c>
      <c r="R192" t="n">
        <v>18744</v>
      </c>
      <c r="S192" s="8" t="n">
        <v>6.35</v>
      </c>
    </row>
    <row r="193">
      <c r="A193" s="4" t="n">
        <v>195</v>
      </c>
      <c r="B193" t="inlineStr">
        <is>
          <t>59</t>
        </is>
      </c>
      <c r="C193" s="1" t="n">
        <v>91.40000000000001</v>
      </c>
      <c r="D193" s="2">
        <f>HYPERLINK("https://torgi.gov.ru/new/public/lots/lot/21000012310000000007_2/(lotInfo:info)", "21000012310000000007_2")</f>
        <v/>
      </c>
      <c r="E193" t="inlineStr">
        <is>
          <t>Нежилое помещение (магазин) на цокольном этаже, по адресу:. Помещение пустует.</t>
        </is>
      </c>
      <c r="F193" s="3" t="n">
        <v>10503.28227571116</v>
      </c>
      <c r="G193" s="3" t="n">
        <v>960000</v>
      </c>
      <c r="H193" t="inlineStr">
        <is>
          <t>г Пермь, 1-й Дубровский пер, д 4</t>
        </is>
      </c>
      <c r="I193" t="inlineStr">
        <is>
          <t>11 05 22 13:00</t>
        </is>
      </c>
      <c r="J193" t="inlineStr">
        <is>
          <t>59:01:2912574:491</t>
        </is>
      </c>
      <c r="L193" t="inlineStr">
        <is>
          <t>EA</t>
        </is>
      </c>
      <c r="M193" t="inlineStr">
        <is>
          <t>М</t>
        </is>
      </c>
      <c r="N193" s="2">
        <f>HYPERLINK("https://yandex.ru/maps/?&amp;text=58.114758, 56.31765", "58.114758, 56.31765")</f>
        <v/>
      </c>
      <c r="O193" t="n">
        <v>1316</v>
      </c>
      <c r="P193" s="7" t="n">
        <v>7.98</v>
      </c>
      <c r="R193" t="n">
        <v>1316</v>
      </c>
      <c r="S193" s="8" t="n">
        <v>7.98</v>
      </c>
    </row>
    <row r="194">
      <c r="A194" s="4" t="n">
        <v>196</v>
      </c>
      <c r="B194" t="inlineStr">
        <is>
          <t>78</t>
        </is>
      </c>
      <c r="C194" s="1" t="n">
        <v>11.7</v>
      </c>
      <c r="D194" s="2">
        <f>HYPERLINK("https://torgi.gov.ru/new/public/lots/lot/21000002210000000414_1/(lotInfo:info)", "21000002210000000414_1")</f>
        <v/>
      </c>
      <c r="E194" t="inlineStr">
        <is>
          <t>Нежилое помещение, расположенное по адресу: Санкт-Петербург,, литера А, пом. 2-Н, назначение: нежилое, наименование: нежилое помещение, этаж № 1</t>
        </is>
      </c>
      <c r="F194" s="3" t="n">
        <v>147008.547008547</v>
      </c>
      <c r="G194" s="3" t="n">
        <v>1720000</v>
      </c>
      <c r="H194" t="inlineStr">
        <is>
          <t>г Санкт-Петербург, ул 12-я Красноармейская, д 10 литера А, помещ 2-Н</t>
        </is>
      </c>
      <c r="I194" t="inlineStr">
        <is>
          <t>31 05 22 20:00</t>
        </is>
      </c>
      <c r="J194" t="inlineStr">
        <is>
          <t>78:32:0001719:3395</t>
        </is>
      </c>
      <c r="L194" t="inlineStr">
        <is>
          <t>EA</t>
        </is>
      </c>
      <c r="M194" t="inlineStr">
        <is>
          <t>М</t>
        </is>
      </c>
      <c r="N194" s="2">
        <f>HYPERLINK("https://yandex.ru/maps/?&amp;text=59.911404, 30.304604", "59.911404, 30.304604")</f>
        <v/>
      </c>
      <c r="O194" t="n">
        <v>8314</v>
      </c>
      <c r="P194" s="7" t="n">
        <v>17.68</v>
      </c>
      <c r="R194" t="n">
        <v>6561</v>
      </c>
      <c r="S194" s="8" t="n">
        <v>22.41</v>
      </c>
    </row>
    <row r="195">
      <c r="A195" s="4" t="n">
        <v>197</v>
      </c>
      <c r="B195" t="inlineStr">
        <is>
          <t>41</t>
        </is>
      </c>
      <c r="C195" s="1" t="n">
        <v>375.5</v>
      </c>
      <c r="D195" s="2">
        <f>HYPERLINK("https://torgi.gov.ru/new/public/lots/lot/21000029740000000018_1/(lotInfo:info)", "21000029740000000018_1")</f>
        <v/>
      </c>
      <c r="E195" t="inlineStr">
        <is>
          <t>Зданиеназначение объекта: нежилое, вид права: собственность., адрес (местоположение) объекта:. Здание в плохом состоянии, местами обвал крыши, повреждение стен, следы возгорания, выбиты стекла, провален пол, нет света.</t>
        </is>
      </c>
      <c r="F195" s="3" t="n">
        <v>5172.569906790945</v>
      </c>
      <c r="G195" s="3" t="n">
        <v>1942300</v>
      </c>
      <c r="H195" t="inlineStr">
        <is>
          <t>г Петропавловск-Камчатский, ул Приморская, д 94</t>
        </is>
      </c>
      <c r="I195" t="inlineStr">
        <is>
          <t>16 05 22 22:00</t>
        </is>
      </c>
      <c r="J195" t="inlineStr">
        <is>
          <t xml:space="preserve">41:01:0010112:285, </t>
        </is>
      </c>
      <c r="L195" t="inlineStr">
        <is>
          <t>EA</t>
        </is>
      </c>
      <c r="M195" t="inlineStr">
        <is>
          <t>Д</t>
        </is>
      </c>
      <c r="N195" s="2">
        <f>HYPERLINK("https://yandex.ru/maps/?&amp;text=53.063845, 158.553465", "53.063845, 158.553465")</f>
        <v/>
      </c>
      <c r="O195" t="n">
        <v>419</v>
      </c>
      <c r="P195" s="7" t="n">
        <v>12.35</v>
      </c>
      <c r="R195" t="n">
        <v>538</v>
      </c>
      <c r="S195" s="8" t="n">
        <v>9.609999999999999</v>
      </c>
    </row>
    <row r="196">
      <c r="A196" s="4" t="n">
        <v>198</v>
      </c>
      <c r="B196" t="inlineStr">
        <is>
          <t>10</t>
        </is>
      </c>
      <c r="C196" s="1" t="n">
        <v>30.6</v>
      </c>
      <c r="D196" s="2">
        <f>HYPERLINK("https://torgi.gov.ru/new/public/lots/lot/22000083510000000001_2/(lotInfo:info)", "22000083510000000001_2")</f>
        <v/>
      </c>
      <c r="E196" t="inlineStr">
        <is>
          <t>встроенное нежилое помещение, расположенное на первом этаже здания по адресу:</t>
        </is>
      </c>
      <c r="F196" s="3" t="n">
        <v>16339.86928104575</v>
      </c>
      <c r="G196" s="3" t="n">
        <v>500000</v>
      </c>
      <c r="H196" t="inlineStr">
        <is>
          <t>Респ Карелия, Прионежский р-н, деревня Педасельга, д 1</t>
        </is>
      </c>
      <c r="I196" t="inlineStr">
        <is>
          <t>11 05 22 07:00</t>
        </is>
      </c>
      <c r="J196" t="inlineStr">
        <is>
          <t>10:20:0000000:9132</t>
        </is>
      </c>
      <c r="L196" t="inlineStr">
        <is>
          <t>EA</t>
        </is>
      </c>
      <c r="M196" t="inlineStr">
        <is>
          <t>М</t>
        </is>
      </c>
      <c r="N196" s="2">
        <f>HYPERLINK("https://yandex.ru/maps/?&amp;text=61.542702, 34.685094", "61.542702, 34.685094")</f>
        <v/>
      </c>
      <c r="O196" t="n">
        <v>107</v>
      </c>
      <c r="P196" s="7" t="n">
        <v>152.71</v>
      </c>
      <c r="R196" t="n">
        <v>107</v>
      </c>
      <c r="S196" s="8" t="n">
        <v>152.71</v>
      </c>
    </row>
    <row r="197">
      <c r="A197" s="4" t="n">
        <v>199</v>
      </c>
      <c r="B197" t="inlineStr">
        <is>
          <t>44</t>
        </is>
      </c>
      <c r="C197" s="1" t="n">
        <v>32.3</v>
      </c>
      <c r="D197" s="2">
        <f>HYPERLINK("https://torgi.gov.ru/new/public/lots/lot/21000012860000000007_3/(lotInfo:info)", "21000012860000000007_3")</f>
        <v/>
      </c>
      <c r="E197" t="inlineStr">
        <is>
          <t>Помещение назначение: нежилое помещение, площадью 32,3 квадратного метра, расположенное по адресу:.</t>
        </is>
      </c>
      <c r="F197" s="3" t="n">
        <v>36222.91021671827</v>
      </c>
      <c r="G197" s="3" t="n">
        <v>1170000</v>
      </c>
      <c r="H197" t="inlineStr">
        <is>
          <t>г Кострома, ул Центральная, д 4, помещ 1а</t>
        </is>
      </c>
      <c r="I197" t="inlineStr">
        <is>
          <t>16 05 22 14:00</t>
        </is>
      </c>
      <c r="J197" t="inlineStr">
        <is>
          <t xml:space="preserve">44:27:060402:58, </t>
        </is>
      </c>
      <c r="L197" t="inlineStr">
        <is>
          <t>EA</t>
        </is>
      </c>
      <c r="M197" t="inlineStr">
        <is>
          <t>М</t>
        </is>
      </c>
      <c r="N197" s="2">
        <f>HYPERLINK("https://yandex.ru/maps/?&amp;text=57.7481, 41.001232", "57.7481, 41.001232")</f>
        <v/>
      </c>
      <c r="O197" t="n">
        <v>2461</v>
      </c>
      <c r="P197" s="7" t="n">
        <v>14.72</v>
      </c>
      <c r="R197" t="n">
        <v>3024</v>
      </c>
      <c r="S197" s="8" t="n">
        <v>11.98</v>
      </c>
    </row>
    <row r="198">
      <c r="A198" s="4" t="n">
        <v>200</v>
      </c>
      <c r="B198" t="inlineStr">
        <is>
          <t>78</t>
        </is>
      </c>
      <c r="C198" s="1" t="n">
        <v>18.2</v>
      </c>
      <c r="D198" s="2">
        <f>HYPERLINK("https://torgi.gov.ru/new/public/lots/lot/21000002210000000404_1/(lotInfo:info)", "21000002210000000404_1")</f>
        <v/>
      </c>
      <c r="E198" t="inlineStr">
        <is>
          <t>Нежилое помещение, расположенное по адресу: Санкт-Петербург,, литера А, пом. 7-Н, назначение: нежилое помещение, наименование: нежилое помещение, этаж № 1</t>
        </is>
      </c>
      <c r="F198" s="3" t="n">
        <v>225274.7252747253</v>
      </c>
      <c r="G198" s="3" t="n">
        <v>4100000</v>
      </c>
      <c r="H198" t="inlineStr">
        <is>
          <t>г Санкт-Петербург, Невский пр-кт, д 11/2 литера А, помещ 7-Н</t>
        </is>
      </c>
      <c r="I198" t="inlineStr">
        <is>
          <t>30 05 22 20:00</t>
        </is>
      </c>
      <c r="J198" t="inlineStr">
        <is>
          <t>78:31:0001182:2180</t>
        </is>
      </c>
      <c r="L198" t="inlineStr">
        <is>
          <t>EA</t>
        </is>
      </c>
      <c r="M198" t="inlineStr">
        <is>
          <t>М</t>
        </is>
      </c>
      <c r="N198" s="2">
        <f>HYPERLINK("https://yandex.ru/maps/?&amp;text=59.9363379, 30.3159641", "59.9363379, 30.3159641")</f>
        <v/>
      </c>
      <c r="O198" t="n">
        <v>7410</v>
      </c>
      <c r="P198" s="7" t="n">
        <v>30.4</v>
      </c>
      <c r="R198" t="n">
        <v>3845</v>
      </c>
      <c r="S198" s="8" t="n">
        <v>58.59</v>
      </c>
    </row>
    <row r="199">
      <c r="A199" s="4" t="n">
        <v>201</v>
      </c>
      <c r="B199" t="inlineStr">
        <is>
          <t>74</t>
        </is>
      </c>
      <c r="C199" s="1" t="n">
        <v>244.6</v>
      </c>
      <c r="D199" s="2">
        <f>HYPERLINK("https://torgi.gov.ru/new/public/lots/lot/22000019790000000036_1/(lotInfo:info)", "22000019790000000036_1")</f>
        <v/>
      </c>
      <c r="E199" t="inlineStr">
        <is>
          <t>Наименование Имущества: нежилое помещение №3 (далее – Имущество).Местонахождение Имущества:.Характеристика нежилого помещения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      </is>
      </c>
      <c r="F199" s="3" t="n">
        <v>14762.87816843827</v>
      </c>
      <c r="G199" s="3" t="n">
        <v>3611000</v>
      </c>
      <c r="H199" t="inlineStr">
        <is>
          <t xml:space="preserve"> Челябинская область, город Магнитогорск, пр. Карла Маркса, дом № 69/1, помещение 3</t>
        </is>
      </c>
      <c r="I199" t="inlineStr">
        <is>
          <t>17 05 22 17:00</t>
        </is>
      </c>
      <c r="J199" t="inlineStr">
        <is>
          <t xml:space="preserve">74:33:0129008:4980 </t>
        </is>
      </c>
      <c r="L199" t="inlineStr">
        <is>
          <t>EA</t>
        </is>
      </c>
      <c r="M199" t="inlineStr">
        <is>
          <t>М</t>
        </is>
      </c>
      <c r="N199" s="2" t="inlineStr">
        <is>
          <t>53.413518, 58.979159</t>
        </is>
      </c>
      <c r="O199" t="n">
        <v>2753</v>
      </c>
      <c r="P199" s="7" t="n">
        <v>5.36</v>
      </c>
      <c r="R199" t="n">
        <v>3263</v>
      </c>
      <c r="S199" s="8" t="n">
        <v>4.52</v>
      </c>
    </row>
    <row r="200">
      <c r="A200" s="4" t="n">
        <v>202</v>
      </c>
      <c r="B200" t="inlineStr">
        <is>
          <t>78</t>
        </is>
      </c>
      <c r="C200" s="1" t="n">
        <v>23.8</v>
      </c>
      <c r="D200" s="2">
        <f>HYPERLINK("https://torgi.gov.ru/new/public/lots/lot/21000002210000000398_1/(lotInfo:info)", "21000002210000000398_1")</f>
        <v/>
      </c>
      <c r="E200" t="inlineStr">
        <is>
          <t>Нежилое помещение, расположенное по адресу: Санкт-Петербург,, литера А, пом. 40-Н, назначение: нежилое помещение, этаж № 1</t>
        </is>
      </c>
      <c r="F200" s="3" t="n">
        <v>154621.8487394958</v>
      </c>
      <c r="G200" s="3" t="n">
        <v>3680000</v>
      </c>
      <c r="H200" t="inlineStr">
        <is>
          <t>г Санкт-Петербург, Английский пр-кт, д 17-19 литера А, помещ 40-Н</t>
        </is>
      </c>
      <c r="I200" t="inlineStr">
        <is>
          <t>30 05 22 20:00</t>
        </is>
      </c>
      <c r="J200" t="inlineStr">
        <is>
          <t>78:32:0001083:2524</t>
        </is>
      </c>
      <c r="L200" t="inlineStr">
        <is>
          <t>EA</t>
        </is>
      </c>
      <c r="M200" t="inlineStr">
        <is>
          <t>М</t>
        </is>
      </c>
      <c r="N200" s="2">
        <f>HYPERLINK("https://yandex.ru/maps/?&amp;text=59.924149, 30.283708", "59.924149, 30.283708")</f>
        <v/>
      </c>
      <c r="O200" t="n">
        <v>11056</v>
      </c>
      <c r="P200" s="7" t="n">
        <v>13.99</v>
      </c>
      <c r="R200" t="n">
        <v>13144</v>
      </c>
      <c r="S200" s="8" t="n">
        <v>11.76</v>
      </c>
    </row>
    <row r="201">
      <c r="A201" s="4" t="n">
        <v>203</v>
      </c>
      <c r="B201" t="inlineStr">
        <is>
          <t>37</t>
        </is>
      </c>
      <c r="C201" s="1" t="n">
        <v>226.9</v>
      </c>
      <c r="D201" s="2">
        <f>HYPERLINK("https://torgi.gov.ru/new/public/lots/lot/21000020930000000001_1/(lotInfo:info)", "21000020930000000001_1")</f>
        <v/>
      </c>
      <c r="E201" t="inlineStr">
        <is>
          <t>Помещение, назначение: нежилое, этаж 1, адрес:, 34а, пом.1001</t>
        </is>
      </c>
      <c r="F201" s="3" t="n">
        <v>2286.029087703834</v>
      </c>
      <c r="G201" s="3" t="n">
        <v>518700</v>
      </c>
      <c r="H201" t="inlineStr">
        <is>
          <t>Ивановская обл, г Комсомольск, ул Люлина, д 34</t>
        </is>
      </c>
      <c r="I201" t="inlineStr">
        <is>
          <t>11 05 22 20:30</t>
        </is>
      </c>
      <c r="J201" t="inlineStr">
        <is>
          <t>37:08:050202:482</t>
        </is>
      </c>
      <c r="L201" t="inlineStr">
        <is>
          <t>EA</t>
        </is>
      </c>
      <c r="M201" t="inlineStr">
        <is>
          <t>М</t>
        </is>
      </c>
      <c r="N201" s="2">
        <f>HYPERLINK("https://yandex.ru/maps/?&amp;text=57.030015, 40.366264", "57.030015, 40.366264")</f>
        <v/>
      </c>
      <c r="O201" t="n">
        <v>920</v>
      </c>
      <c r="P201" s="7" t="n">
        <v>2.48</v>
      </c>
      <c r="R201" t="n">
        <v>1510</v>
      </c>
      <c r="S201" s="8" t="n">
        <v>1.51</v>
      </c>
    </row>
    <row r="202">
      <c r="A202" s="4" t="n">
        <v>204</v>
      </c>
      <c r="B202" t="inlineStr">
        <is>
          <t>24</t>
        </is>
      </c>
      <c r="C202" s="1" t="n">
        <v>164.4</v>
      </c>
      <c r="D202" s="2">
        <f>HYPERLINK("https://torgi.gov.ru/new/public/lots/lot/22000004950000000002_2/(lotInfo:info)", "22000004950000000002_2")</f>
        <v/>
      </c>
      <c r="E202" t="inlineStr">
        <is>
          <t>Отдельно стоящее одноэтажное нежилое здание. расположенное по адресу:</t>
        </is>
      </c>
      <c r="F202" s="3" t="n">
        <v>24680.59793187348</v>
      </c>
      <c r="G202" s="3" t="n">
        <v>4057490.3</v>
      </c>
      <c r="H202" t="inlineStr">
        <is>
          <t>г Красноярск, ул 2-я Брянская, д 65 стр 2</t>
        </is>
      </c>
      <c r="I202" t="inlineStr">
        <is>
          <t>11 05 22 02:00</t>
        </is>
      </c>
      <c r="J202" t="inlineStr">
        <is>
          <t xml:space="preserve">24:50:0300195:229, </t>
        </is>
      </c>
      <c r="L202" t="inlineStr">
        <is>
          <t>EA</t>
        </is>
      </c>
      <c r="M202" t="inlineStr">
        <is>
          <t>М</t>
        </is>
      </c>
      <c r="N202" s="2">
        <f>HYPERLINK("https://yandex.ru/maps/?&amp;text=56.053432, 92.86393", "56.053432, 92.86393")</f>
        <v/>
      </c>
      <c r="O202" t="n">
        <v>235</v>
      </c>
      <c r="P202" s="7" t="n">
        <v>105.02</v>
      </c>
      <c r="R202" t="n">
        <v>235</v>
      </c>
      <c r="S202" s="8" t="n">
        <v>105.02</v>
      </c>
    </row>
    <row r="203">
      <c r="A203" s="4" t="n">
        <v>205</v>
      </c>
      <c r="B203" t="inlineStr">
        <is>
          <t>24</t>
        </is>
      </c>
      <c r="C203" s="1" t="n">
        <v>21.1</v>
      </c>
      <c r="D203" s="2">
        <f>HYPERLINK("https://torgi.gov.ru/new/public/lots/lot/22000004950000000002_1/(lotInfo:info)", "22000004950000000002_1")</f>
        <v/>
      </c>
      <c r="E203" t="inlineStr">
        <is>
          <t>Отдельно стоящее двухэтажное нежилое здание. 3, расположенное по адресу:</t>
        </is>
      </c>
      <c r="F203" s="3" t="n">
        <v>28741.80805687204</v>
      </c>
      <c r="G203" s="3" t="n">
        <v>606452.15</v>
      </c>
      <c r="H203" t="inlineStr">
        <is>
          <t>г Красноярск, ул Брянская, зд 65А стр 1</t>
        </is>
      </c>
      <c r="I203" t="inlineStr">
        <is>
          <t>11 05 22 02:00</t>
        </is>
      </c>
      <c r="J203" t="inlineStr">
        <is>
          <t>24:50:0000000:17578</t>
        </is>
      </c>
      <c r="L203" t="inlineStr">
        <is>
          <t>EA</t>
        </is>
      </c>
      <c r="M203" t="inlineStr">
        <is>
          <t>М</t>
        </is>
      </c>
      <c r="N203" s="2">
        <f>HYPERLINK("https://yandex.ru/maps/?&amp;text=56.0197094, 92.8602308", "56.0197094, 92.8602308")</f>
        <v/>
      </c>
      <c r="O203" t="n">
        <v>2967</v>
      </c>
      <c r="P203" s="7" t="n">
        <v>9.69</v>
      </c>
      <c r="R203" t="n">
        <v>2967</v>
      </c>
      <c r="S203" s="8" t="n">
        <v>9.69</v>
      </c>
    </row>
    <row r="204">
      <c r="A204" s="4" t="n">
        <v>206</v>
      </c>
      <c r="B204" t="inlineStr">
        <is>
          <t>2</t>
        </is>
      </c>
      <c r="C204" s="1" t="n">
        <v>15.7</v>
      </c>
      <c r="D204" s="2">
        <f>HYPERLINK("https://torgi.gov.ru/new/public/lots/lot/22000014830000000004_1/(lotInfo:info)", "22000014830000000004_1")</f>
        <v/>
      </c>
      <c r="E204" t="inlineStr">
        <is>
      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      </is>
      </c>
      <c r="F204" s="3" t="n">
        <v>44585.9872611465</v>
      </c>
      <c r="G204" s="3" t="n">
        <v>700000</v>
      </c>
      <c r="H204" t="inlineStr">
        <is>
          <t>Респ Башкортостан, г Давлеканово, ул Молодежная, д 8 к 2</t>
        </is>
      </c>
      <c r="I204" t="inlineStr">
        <is>
          <t>11 05 22 12:00</t>
        </is>
      </c>
      <c r="J204" t="inlineStr">
        <is>
          <t xml:space="preserve">02:71:040209:502, </t>
        </is>
      </c>
      <c r="L204" t="inlineStr">
        <is>
          <t>EA</t>
        </is>
      </c>
      <c r="M204" t="inlineStr">
        <is>
          <t>М</t>
        </is>
      </c>
      <c r="N204" s="2">
        <f>HYPERLINK("https://yandex.ru/maps/?&amp;text=54.217415, 55.049246", "54.217415, 55.049246")</f>
        <v/>
      </c>
      <c r="O204" t="n">
        <v>767</v>
      </c>
      <c r="P204" s="7" t="n">
        <v>58.13</v>
      </c>
      <c r="R204" t="n">
        <v>402</v>
      </c>
      <c r="S204" s="8" t="n">
        <v>110.91</v>
      </c>
    </row>
    <row r="205">
      <c r="A205" s="4" t="n">
        <v>207</v>
      </c>
      <c r="B205" t="inlineStr">
        <is>
          <t>50</t>
        </is>
      </c>
      <c r="C205" s="1" t="n">
        <v>78.5</v>
      </c>
      <c r="D205" s="2">
        <f>HYPERLINK("https://torgi.gov.ru/new/public/lots/lot/21000004710000000454_1/(lotInfo:info)", "21000004710000000454_1")</f>
        <v/>
      </c>
      <c r="E205" t="inlineStr">
        <is>
          <t>Продажа нежилого помещения 78,5 кв.м в г.о. Подольск</t>
        </is>
      </c>
      <c r="F205" s="3" t="n">
        <v>69399.74522292994</v>
      </c>
      <c r="G205" s="3" t="n">
        <v>5447880</v>
      </c>
      <c r="H205" t="inlineStr">
        <is>
          <t>Московская обл, г Подольск, мкр Климовск, ул Железнодорожная, д 3, помещ 6</t>
        </is>
      </c>
      <c r="I205" t="inlineStr">
        <is>
          <t>19 05 22 15:00</t>
        </is>
      </c>
      <c r="J205" t="inlineStr">
        <is>
          <t>50:56:0000000:7959</t>
        </is>
      </c>
      <c r="L205" t="inlineStr">
        <is>
          <t>EA</t>
        </is>
      </c>
      <c r="M205" t="inlineStr">
        <is>
          <t>М</t>
        </is>
      </c>
      <c r="N205">
        <f>HYPERLINK("https://yandex.ru/maps/?&amp;text=55.35637, 37.525163", "55.35637, 37.525163")</f>
        <v/>
      </c>
      <c r="O205" t="n">
        <v>4239</v>
      </c>
      <c r="P205" s="7" t="n">
        <v>16.37</v>
      </c>
      <c r="R205" t="n">
        <v>4239</v>
      </c>
      <c r="S205" s="8" t="n">
        <v>16.37</v>
      </c>
    </row>
    <row r="206">
      <c r="A206" s="4" t="n">
        <v>208</v>
      </c>
      <c r="B206" t="inlineStr">
        <is>
          <t>50</t>
        </is>
      </c>
      <c r="C206" s="1" t="n">
        <v>20.8</v>
      </c>
      <c r="D206" s="2">
        <f>HYPERLINK("https://torgi.gov.ru/new/public/lots/lot/21000004710000000453_1/(lotInfo:info)", "21000004710000000453_1")</f>
        <v/>
      </c>
      <c r="E206" t="inlineStr">
        <is>
          <t>Продажа нежилого помещения 20,8 кв.м в г.о. Подольск</t>
        </is>
      </c>
      <c r="F206" s="3" t="n">
        <v>125397.9807692308</v>
      </c>
      <c r="G206" s="3" t="n">
        <v>2608278</v>
      </c>
      <c r="H206" t="inlineStr">
        <is>
          <t>Московская обл, г Подольск, мкр Климовск, Октябрьская пл, д 2а, помещ 4</t>
        </is>
      </c>
      <c r="I206" t="inlineStr">
        <is>
          <t>19 05 22 15:00</t>
        </is>
      </c>
      <c r="J206" t="inlineStr">
        <is>
          <t>50:56:0000000:8053</t>
        </is>
      </c>
      <c r="L206" t="inlineStr">
        <is>
          <t>EA</t>
        </is>
      </c>
      <c r="M206" t="inlineStr">
        <is>
          <t>М</t>
        </is>
      </c>
      <c r="N206">
        <f>HYPERLINK("https://yandex.ru/maps/?&amp;text=55.375521, 37.537658", "55.375521, 37.537658")</f>
        <v/>
      </c>
      <c r="O206" t="n">
        <v>3230</v>
      </c>
      <c r="P206" s="7" t="n">
        <v>38.82</v>
      </c>
      <c r="R206" t="n">
        <v>2786</v>
      </c>
      <c r="S206" s="8" t="n">
        <v>45.01</v>
      </c>
    </row>
    <row r="207">
      <c r="A207" s="4" t="n">
        <v>209</v>
      </c>
      <c r="B207" t="inlineStr">
        <is>
          <t>61</t>
        </is>
      </c>
      <c r="C207" s="1" t="n">
        <v>419</v>
      </c>
      <c r="D207" s="2">
        <f>HYPERLINK("https://torgi.gov.ru/new/public/lots/lot/22000056320000000003_3/(lotInfo:info)", "22000056320000000003_3")</f>
        <v/>
      </c>
      <c r="E207" t="inlineStr">
        <is>
          <t>Нежилое помещение, литер: ч.литера А, а5, а6, а7, а8, а9, этаж № 1, номера на поэтажном плане: 1, 2, 3, 4, 5, 6-7, 8, 9, 22, 23-24, 25-26, 27, 28, 29-30, 31, 32-33, 31а, 34, 35-36, 37, 38.расположенное по адресу:.</t>
        </is>
      </c>
      <c r="F207" s="3" t="n">
        <v>1789.976133651551</v>
      </c>
      <c r="G207" s="3" t="n">
        <v>750000</v>
      </c>
      <c r="H207" t="inlineStr">
        <is>
          <t>Ростовская обл, г Шахты, ул Прокатная, д 4А</t>
        </is>
      </c>
      <c r="I207" t="inlineStr">
        <is>
          <t>04 05 22 08:00</t>
        </is>
      </c>
      <c r="J207" t="inlineStr">
        <is>
          <t xml:space="preserve">61:59:0020415:719, </t>
        </is>
      </c>
      <c r="L207" t="inlineStr">
        <is>
          <t>BOC</t>
        </is>
      </c>
      <c r="M207" t="inlineStr">
        <is>
          <t>М</t>
        </is>
      </c>
      <c r="N207" s="2">
        <f>HYPERLINK("https://yandex.ru/maps/?&amp;text=47.718725, 40.234221", "47.718725, 40.234221")</f>
        <v/>
      </c>
      <c r="O207" t="n">
        <v>1727</v>
      </c>
      <c r="P207" s="7" t="n">
        <v>1.04</v>
      </c>
      <c r="R207" t="n">
        <v>2480</v>
      </c>
      <c r="S207" s="8" t="n">
        <v>0.72</v>
      </c>
    </row>
    <row r="208">
      <c r="A208" s="4" t="n">
        <v>210</v>
      </c>
      <c r="B208" t="inlineStr">
        <is>
          <t>34</t>
        </is>
      </c>
      <c r="C208" s="1" t="n">
        <v>10.9</v>
      </c>
      <c r="D208" s="2">
        <f>HYPERLINK("https://torgi.gov.ru/new/public/lots/lot/21000003300000000015_8/(lotInfo:info)", "21000003300000000015_8")</f>
        <v/>
      </c>
      <c r="E208" t="inlineStr">
        <is>
          <t>Нежилое помещение . (1-й этаж). Волгоград,. Полная информация приведена в файле с Информационным сообщением.</t>
        </is>
      </c>
      <c r="F208" s="3" t="n">
        <v>56146.78899082568</v>
      </c>
      <c r="G208" s="3" t="n">
        <v>612000</v>
      </c>
      <c r="H208" t="inlineStr">
        <is>
          <t>Саратовская обл, г Красноармейск, ул Пролетарская, д 41</t>
        </is>
      </c>
      <c r="I208" t="inlineStr">
        <is>
          <t>11 05 22 14:30</t>
        </is>
      </c>
      <c r="J208" t="inlineStr">
        <is>
          <t>34:34:080062:2439</t>
        </is>
      </c>
      <c r="L208" t="inlineStr">
        <is>
          <t>EA</t>
        </is>
      </c>
      <c r="M208" t="inlineStr">
        <is>
          <t>М</t>
        </is>
      </c>
      <c r="N208" s="2">
        <f>HYPERLINK("https://yandex.ru/maps/?&amp;text=51.018955, 45.706257", "51.018955, 45.706257")</f>
        <v/>
      </c>
      <c r="O208" t="n">
        <v>832</v>
      </c>
      <c r="P208" s="7" t="n">
        <v>67.48</v>
      </c>
      <c r="R208" t="n">
        <v>832</v>
      </c>
      <c r="S208" s="8" t="n">
        <v>67.48</v>
      </c>
    </row>
    <row r="209">
      <c r="A209" s="4" t="n">
        <v>211</v>
      </c>
      <c r="B209" t="inlineStr">
        <is>
          <t>34</t>
        </is>
      </c>
      <c r="C209" s="1" t="n">
        <v>61.6</v>
      </c>
      <c r="D209" s="2">
        <f>HYPERLINK("https://torgi.gov.ru/new/public/lots/lot/21000003300000000015_9/(lotInfo:info)", "21000003300000000015_9")</f>
        <v/>
      </c>
      <c r="E209" t="inlineStr">
        <is>
          <t>Нежилое помещение . (1-й этаж). Волгоград,. Полная информация приведена в файле с Информационным сообщением.</t>
        </is>
      </c>
      <c r="F209" s="3" t="n">
        <v>35836.03896103896</v>
      </c>
      <c r="G209" s="3" t="n">
        <v>2207500</v>
      </c>
      <c r="H209" t="inlineStr">
        <is>
          <t>Саратовская обл, г Красноармейск, ул Пролетарская, д 27</t>
        </is>
      </c>
      <c r="I209" t="inlineStr">
        <is>
          <t>11 05 22 14:30</t>
        </is>
      </c>
      <c r="J209" t="inlineStr">
        <is>
          <t>34:34:080074:1334</t>
        </is>
      </c>
      <c r="L209" t="inlineStr">
        <is>
          <t>EA</t>
        </is>
      </c>
      <c r="M209" t="inlineStr">
        <is>
          <t>М</t>
        </is>
      </c>
      <c r="N209" s="2">
        <f>HYPERLINK("https://yandex.ru/maps/?&amp;text=51.01828, 45.70426", "51.01828, 45.70426")</f>
        <v/>
      </c>
      <c r="O209" t="n">
        <v>832</v>
      </c>
      <c r="P209" s="7" t="n">
        <v>43.07</v>
      </c>
      <c r="R209" t="n">
        <v>978</v>
      </c>
      <c r="S209" s="8" t="n">
        <v>36.64</v>
      </c>
    </row>
    <row r="210">
      <c r="A210" s="4" t="n">
        <v>212</v>
      </c>
      <c r="B210" t="inlineStr">
        <is>
          <t>78</t>
        </is>
      </c>
      <c r="C210" s="1" t="n">
        <v>31.9</v>
      </c>
      <c r="D210" s="2">
        <f>HYPERLINK("https://torgi.gov.ru/new/public/lots/lot/21000002210000000383_1/(lotInfo:info)", "21000002210000000383_1")</f>
        <v/>
      </c>
      <c r="E210" t="inlineStr">
        <is>
          <t>Нежилое помещение, расположенное по адресу: Санкт-Петербург,, литера А, пом. 3-Н, назначение: нежилое, наименование: нежилое помещение, этаж: цокольный</t>
        </is>
      </c>
      <c r="F210" s="3" t="n">
        <v>169278.9968652038</v>
      </c>
      <c r="G210" s="3" t="n">
        <v>5400000</v>
      </c>
      <c r="H210" t="inlineStr">
        <is>
          <t>г Санкт-Петербург, Апраксин пер, д 9 литера А, помещ 3-Н</t>
        </is>
      </c>
      <c r="I210" t="inlineStr">
        <is>
          <t>25 05 22 20:00</t>
        </is>
      </c>
      <c r="J210" t="inlineStr">
        <is>
          <t>78:31:0001057:3086</t>
        </is>
      </c>
      <c r="L210" t="inlineStr">
        <is>
          <t>EA</t>
        </is>
      </c>
      <c r="M210" t="inlineStr">
        <is>
          <t>М</t>
        </is>
      </c>
      <c r="N210" s="2">
        <f>HYPERLINK("https://yandex.ru/maps/?&amp;text=59.928176, 30.326082", "59.928176, 30.326082")</f>
        <v/>
      </c>
      <c r="O210" t="n">
        <v>11659</v>
      </c>
      <c r="P210" s="7" t="n">
        <v>14.52</v>
      </c>
      <c r="R210" t="n">
        <v>9189</v>
      </c>
      <c r="S210" s="8" t="n">
        <v>18.42</v>
      </c>
    </row>
    <row r="211">
      <c r="A211" s="4" t="n">
        <v>213</v>
      </c>
      <c r="B211" t="inlineStr">
        <is>
          <t>77</t>
        </is>
      </c>
      <c r="C211" s="1" t="n">
        <v>31.7</v>
      </c>
      <c r="D211" s="2">
        <f>HYPERLINK("https://torgi.gov.ru/new/public/lots/lot/21000005000000000924_1/(lotInfo:info)", "21000005000000000924_1")</f>
        <v/>
      </c>
      <c r="E211" t="inlineStr">
        <is>
          <t>Продажа имущества, находящегося в собственности города Москвы, нежилое помещение по адресу:  (Этаж № 1)</t>
        </is>
      </c>
      <c r="F211" s="3" t="n">
        <v>107223.9747634069</v>
      </c>
      <c r="G211" s="3" t="n">
        <v>3399000</v>
      </c>
      <c r="H211" t="inlineStr">
        <is>
          <t>г Москва, ул Маршала Федоренко, д 10А стр 1, помещ 1/1</t>
        </is>
      </c>
      <c r="I211" t="inlineStr">
        <is>
          <t>18 05 22 12:00</t>
        </is>
      </c>
      <c r="J211" t="inlineStr">
        <is>
          <t>77:09:0002015:6546</t>
        </is>
      </c>
      <c r="L211" t="inlineStr">
        <is>
          <t>EA</t>
        </is>
      </c>
      <c r="M211" t="inlineStr">
        <is>
          <t>М</t>
        </is>
      </c>
      <c r="N211" s="2">
        <f>HYPERLINK("https://yandex.ru/maps/?&amp;text=55.881763, 37.492168", "55.881763, 37.492168")</f>
        <v/>
      </c>
      <c r="O211" t="n">
        <v>7675</v>
      </c>
      <c r="P211" s="7" t="n">
        <v>13.97</v>
      </c>
      <c r="R211" t="n">
        <v>8845</v>
      </c>
      <c r="S211" s="8" t="n">
        <v>12.12</v>
      </c>
    </row>
    <row r="212">
      <c r="A212" s="4" t="n">
        <v>214</v>
      </c>
      <c r="B212" t="inlineStr">
        <is>
          <t>20</t>
        </is>
      </c>
      <c r="C212" s="1" t="n">
        <v>271</v>
      </c>
      <c r="D212" s="2">
        <f>HYPERLINK("https://torgi.gov.ru/new/public/lots/lot/22000037220000000034_1/(lotInfo:info)", "22000037220000000034_1")</f>
        <v/>
      </c>
      <c r="E212" t="inlineStr">
        <is>
          <t>продажа имущества, находящегося в собственности Чеченской Республики</t>
        </is>
      </c>
      <c r="F212" s="3" t="n">
        <v>1936.320110701107</v>
      </c>
      <c r="G212" s="3" t="n">
        <v>524742.75</v>
      </c>
      <c r="H212" t="inlineStr">
        <is>
          <t>Чеченская Республика, городской территориальный округ Аргун, с. Чечен-Аул, ул. Шерипова, дом № 60</t>
        </is>
      </c>
      <c r="I212" t="inlineStr">
        <is>
          <t>05 05 22 15:00</t>
        </is>
      </c>
      <c r="J212" t="inlineStr">
        <is>
          <t xml:space="preserve">20:03:0000000:857 </t>
        </is>
      </c>
      <c r="L212" t="inlineStr">
        <is>
          <t>EA</t>
        </is>
      </c>
      <c r="M212" t="inlineStr">
        <is>
          <t>М</t>
        </is>
      </c>
      <c r="N212" t="inlineStr">
        <is>
          <t>43.196626, 45.779665</t>
        </is>
      </c>
      <c r="O212" t="n">
        <v>2574</v>
      </c>
      <c r="P212" s="7" t="n">
        <v>0.75</v>
      </c>
      <c r="R212" t="n">
        <v>2574</v>
      </c>
      <c r="S212" s="8" t="n">
        <v>0.75</v>
      </c>
    </row>
    <row r="213">
      <c r="A213" s="4" t="n">
        <v>215</v>
      </c>
      <c r="B213" t="inlineStr">
        <is>
          <t>20</t>
        </is>
      </c>
      <c r="C213" s="1" t="n">
        <v>428.8</v>
      </c>
      <c r="D213" s="2">
        <f>HYPERLINK("https://torgi.gov.ru/new/public/lots/lot/22000037220000000031_1/(lotInfo:info)", "22000037220000000031_1")</f>
        <v/>
      </c>
      <c r="E213" t="inlineStr">
        <is>
          <t>продажа имущества, находящегося в собственности Чеченской Республики</t>
        </is>
      </c>
      <c r="F213" s="3" t="n">
        <v>9794.776119402984</v>
      </c>
      <c r="G213" s="3" t="n">
        <v>4200000</v>
      </c>
      <c r="H213" t="inlineStr">
        <is>
          <t xml:space="preserve"> Чеченская Республика, г. Грозный, Ахматовский (Ленинский) район, ул. Моздокская, дом № 34</t>
        </is>
      </c>
      <c r="I213" t="inlineStr">
        <is>
          <t>05 05 22 15:00</t>
        </is>
      </c>
      <c r="J213" t="inlineStr">
        <is>
          <t xml:space="preserve">20:17:0219008:120, </t>
        </is>
      </c>
      <c r="L213" t="inlineStr">
        <is>
          <t>EA</t>
        </is>
      </c>
      <c r="M213" t="inlineStr">
        <is>
          <t>М</t>
        </is>
      </c>
      <c r="N213" s="2" t="inlineStr">
        <is>
          <t>43.336230, 45.676440</t>
        </is>
      </c>
      <c r="O213" t="n">
        <v>1756</v>
      </c>
      <c r="P213" s="7" t="n">
        <v>5.58</v>
      </c>
      <c r="R213" t="n">
        <v>1612</v>
      </c>
      <c r="S213" s="8" t="n">
        <v>6.08</v>
      </c>
    </row>
    <row r="214">
      <c r="A214" s="4" t="n">
        <v>216</v>
      </c>
      <c r="B214" t="inlineStr">
        <is>
          <t>37</t>
        </is>
      </c>
      <c r="C214" s="1" t="n">
        <v>63.1</v>
      </c>
      <c r="D214" s="2">
        <f>HYPERLINK("https://torgi.gov.ru/new/public/lots/lot/21000012970000000013_1/(lotInfo:info)", "21000012970000000013_1")</f>
        <v/>
      </c>
      <c r="E214" t="inlineStr">
        <is>
          <t>нежилого помещения, номер на поэтажном плане 1001., расположенного по адресу:.</t>
        </is>
      </c>
      <c r="F214" s="3" t="n">
        <v>21077.65451664025</v>
      </c>
      <c r="G214" s="3" t="n">
        <v>1330000</v>
      </c>
      <c r="H214" t="inlineStr">
        <is>
          <t>Ивановская обл, г Шуя, ул Московская 1-я, д 28</t>
        </is>
      </c>
      <c r="I214" t="inlineStr">
        <is>
          <t>06 05 22 14:00</t>
        </is>
      </c>
      <c r="J214" t="inlineStr">
        <is>
          <t>37:28:020312:114</t>
        </is>
      </c>
      <c r="L214" t="inlineStr">
        <is>
          <t>PP</t>
        </is>
      </c>
      <c r="M214" t="inlineStr">
        <is>
          <t>М</t>
        </is>
      </c>
      <c r="N214" s="2">
        <f>HYPERLINK("https://yandex.ru/maps/?&amp;text=56.849915, 41.356064", "56.849915, 41.356064")</f>
        <v/>
      </c>
      <c r="O214" t="n">
        <v>2417</v>
      </c>
      <c r="P214" s="7" t="n">
        <v>8.720000000000001</v>
      </c>
      <c r="R214" t="n">
        <v>1816</v>
      </c>
      <c r="S214" s="8" t="n">
        <v>11.61</v>
      </c>
    </row>
    <row r="215">
      <c r="A215" s="4" t="n">
        <v>217</v>
      </c>
      <c r="B215" t="inlineStr">
        <is>
          <t>56</t>
        </is>
      </c>
      <c r="C215" s="1" t="n">
        <v>129.9</v>
      </c>
      <c r="D215" s="2">
        <f>HYPERLINK("https://torgi.gov.ru/new/public/lots/lot/21000028380000000003_5/(lotInfo:info)", "21000028380000000003_5")</f>
        <v/>
      </c>
      <c r="E215" t="inlineStr">
        <is>
          <t>помещение, назначение: нежилое, номер, тип этажа, на котором расположено помещение: этаж № 1, местоположение:</t>
        </is>
      </c>
      <c r="F215" s="3" t="n">
        <v>12646.65127020785</v>
      </c>
      <c r="G215" s="3" t="n">
        <v>1642800</v>
      </c>
      <c r="H215" t="inlineStr">
        <is>
          <t xml:space="preserve"> Оренбургская область, г. Оренбург, ул. Театральная, дом № 17, помещение № 1</t>
        </is>
      </c>
      <c r="I215" t="inlineStr">
        <is>
          <t>11 04 22 06:00</t>
        </is>
      </c>
      <c r="J215" t="inlineStr">
        <is>
          <t>56:44:0114001:1404</t>
        </is>
      </c>
      <c r="L215" t="inlineStr">
        <is>
          <t>EA</t>
        </is>
      </c>
      <c r="M215" t="inlineStr">
        <is>
          <t>М</t>
        </is>
      </c>
      <c r="N215" s="2" t="inlineStr">
        <is>
          <t>51.831815, 55.129825</t>
        </is>
      </c>
      <c r="O215" t="n">
        <v>3022</v>
      </c>
      <c r="P215" s="7" t="n">
        <v>4.18</v>
      </c>
      <c r="R215" t="n">
        <v>3022</v>
      </c>
      <c r="S215" s="8" t="n">
        <v>4.18</v>
      </c>
    </row>
    <row r="216">
      <c r="A216" s="4" t="n">
        <v>218</v>
      </c>
      <c r="B216" t="inlineStr">
        <is>
          <t>38</t>
        </is>
      </c>
      <c r="C216" s="1" t="n">
        <v>128.9</v>
      </c>
      <c r="D216" s="2">
        <f>HYPERLINK("https://torgi.gov.ru/new/public/lots/lot/21000007110000000006_3/(lotInfo:info)", "21000007110000000006_3")</f>
        <v/>
      </c>
      <c r="E216" t="inlineStr">
        <is>
          <t>Нежилое помещение, назначение: нежилое помещениерасположенное по адресу:, кв-л. 91-й, д. 13, пом. 7.</t>
        </is>
      </c>
      <c r="F216" s="3" t="n">
        <v>20156.7106283941</v>
      </c>
      <c r="G216" s="3" t="n">
        <v>2598200</v>
      </c>
      <c r="H216" t="inlineStr">
        <is>
          <t>Иркутская обл, г Ангарск, кв-л 91, д 13, помещ 7</t>
        </is>
      </c>
      <c r="I216" t="inlineStr">
        <is>
          <t>12 05 22 06:00</t>
        </is>
      </c>
      <c r="J216" t="inlineStr">
        <is>
          <t xml:space="preserve">38:26:040203:2679, </t>
        </is>
      </c>
      <c r="L216" t="inlineStr">
        <is>
          <t>EA</t>
        </is>
      </c>
      <c r="M216" t="inlineStr">
        <is>
          <t>М</t>
        </is>
      </c>
      <c r="N216">
        <f>HYPERLINK("https://yandex.ru/maps/?&amp;text=52.53228, 103.89681", "52.53228, 103.89681")</f>
        <v/>
      </c>
      <c r="O216" t="n">
        <v>2503</v>
      </c>
      <c r="P216" s="7" t="n">
        <v>8.050000000000001</v>
      </c>
      <c r="R216" t="n">
        <v>2503</v>
      </c>
      <c r="S216" s="8" t="n">
        <v>8.050000000000001</v>
      </c>
    </row>
    <row r="217">
      <c r="A217" s="4" t="n">
        <v>219</v>
      </c>
      <c r="B217" t="inlineStr">
        <is>
          <t>27</t>
        </is>
      </c>
      <c r="C217" s="1" t="n">
        <v>111.9</v>
      </c>
      <c r="D217" s="2">
        <f>HYPERLINK("https://torgi.gov.ru/new/public/lots/lot/21000005750000000037_1/(lotInfo:info)", "21000005750000000037_1")</f>
        <v/>
      </c>
      <c r="E217" t="inlineStr">
        <is>
      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      </is>
      </c>
      <c r="F217" s="3" t="n">
        <v>27956.99731903485</v>
      </c>
      <c r="G217" s="3" t="n">
        <v>3128388</v>
      </c>
      <c r="H217" t="inlineStr">
        <is>
          <t>Хабаровский край, г Комсомольск-на-Амуре, Московский пр-кт, д 23</t>
        </is>
      </c>
      <c r="I217" t="inlineStr">
        <is>
          <t>12 05 22 08:00</t>
        </is>
      </c>
      <c r="J217" t="inlineStr">
        <is>
          <t xml:space="preserve">27:22:0040605:459, </t>
        </is>
      </c>
      <c r="L217" t="inlineStr">
        <is>
          <t>EA</t>
        </is>
      </c>
      <c r="M217" t="inlineStr">
        <is>
          <t>М</t>
        </is>
      </c>
      <c r="N217" s="2">
        <f>HYPERLINK("https://yandex.ru/maps/?&amp;text=50.578453, 137.05286", "50.578453, 137.05286")</f>
        <v/>
      </c>
      <c r="O217" t="n">
        <v>3113</v>
      </c>
      <c r="P217" s="7" t="n">
        <v>8.98</v>
      </c>
      <c r="R217" t="n">
        <v>2016</v>
      </c>
      <c r="S217" s="8" t="n">
        <v>13.87</v>
      </c>
    </row>
    <row r="218">
      <c r="A218" s="4" t="n">
        <v>220</v>
      </c>
      <c r="B218" t="inlineStr">
        <is>
          <t>38</t>
        </is>
      </c>
      <c r="C218" s="1" t="n">
        <v>404.5</v>
      </c>
      <c r="D218" s="2">
        <f>HYPERLINK("https://torgi.gov.ru/new/public/lots/lot/21000007110000000005_1/(lotInfo:info)", "21000007110000000005_1")</f>
        <v/>
      </c>
      <c r="E218" t="inlineStr">
        <is>
          <t>Нежилое помещение, назначение: нежилое помещениерасположенное по адресу:, мкр-н 8, д. 8, помещение 32.</t>
        </is>
      </c>
      <c r="F218" s="3" t="n">
        <v>11337.45364647713</v>
      </c>
      <c r="G218" s="3" t="n">
        <v>4586000</v>
      </c>
      <c r="H218" t="inlineStr">
        <is>
          <t xml:space="preserve"> Иркутская область, г. Ангарск мкр-н 8, д. 8, помещение 32.</t>
        </is>
      </c>
      <c r="I218" t="inlineStr">
        <is>
          <t>12 05 22 06:00</t>
        </is>
      </c>
      <c r="J218" t="inlineStr">
        <is>
          <t xml:space="preserve">38:26:040402:8377, </t>
        </is>
      </c>
      <c r="L218" t="inlineStr">
        <is>
          <t>PP</t>
        </is>
      </c>
      <c r="M218" t="inlineStr">
        <is>
          <t>М</t>
        </is>
      </c>
      <c r="N218" t="inlineStr">
        <is>
          <t>52.514314, 103.872960</t>
        </is>
      </c>
      <c r="O218" t="n">
        <v>2237</v>
      </c>
      <c r="P218" s="7" t="n">
        <v>5.07</v>
      </c>
      <c r="R218" t="n">
        <v>2283</v>
      </c>
      <c r="S218" s="8" t="n">
        <v>4.97</v>
      </c>
    </row>
    <row r="219">
      <c r="A219" s="4" t="n">
        <v>221</v>
      </c>
      <c r="B219" t="inlineStr">
        <is>
          <t>78</t>
        </is>
      </c>
      <c r="C219" s="1" t="n">
        <v>58.3</v>
      </c>
      <c r="D219" s="2">
        <f>HYPERLINK("https://torgi.gov.ru/new/public/lots/lot/21000002210000000357_1/(lotInfo:info)", "21000002210000000357_1")</f>
        <v/>
      </c>
      <c r="E219" t="inlineStr">
        <is>
          <t>Нежилое помещение, расположенное по адресу: Санкт-Петербург,, литера Б, пом. 11-Н, назначение: нежилое помещение, наименование: магазин, этаж: цокольный</t>
        </is>
      </c>
      <c r="F219" s="3" t="n">
        <v>64425.3859348199</v>
      </c>
      <c r="G219" s="3" t="n">
        <v>3756000</v>
      </c>
      <c r="H219" t="inlineStr">
        <is>
          <t>г Санкт-Петербург, ул Ленская, д 16 к 3 литера Б, помещ 11-Н</t>
        </is>
      </c>
      <c r="I219" t="inlineStr">
        <is>
          <t>23 05 22 20:00</t>
        </is>
      </c>
      <c r="J219" t="inlineStr">
        <is>
          <t>78:11:0006105:8335</t>
        </is>
      </c>
      <c r="L219" t="inlineStr">
        <is>
          <t>EA</t>
        </is>
      </c>
      <c r="M219" t="inlineStr">
        <is>
          <t>М</t>
        </is>
      </c>
      <c r="N219" s="2">
        <f>HYPERLINK("https://yandex.ru/maps/?&amp;text=59.941651, 30.497588", "59.941651, 30.497588")</f>
        <v/>
      </c>
      <c r="O219" t="n">
        <v>9063</v>
      </c>
      <c r="P219" s="7" t="n">
        <v>7.11</v>
      </c>
      <c r="R219" t="n">
        <v>7596</v>
      </c>
      <c r="S219" s="8" t="n">
        <v>8.48</v>
      </c>
    </row>
    <row r="220">
      <c r="A220" s="4" t="n">
        <v>222</v>
      </c>
      <c r="B220" t="inlineStr">
        <is>
          <t>74</t>
        </is>
      </c>
      <c r="C220" s="1" t="n">
        <v>904</v>
      </c>
      <c r="D220" s="2">
        <f>HYPERLINK("https://torgi.gov.ru/new/public/lots/lot/22000019790000000033_1/(lotInfo:info)", "22000019790000000033_1")</f>
        <v/>
      </c>
      <c r="E220" t="inlineStr">
        <is>
          <t>Местонахождение Имущества:.Характеристика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</t>
        </is>
      </c>
      <c r="F220" s="3" t="n">
        <v>10607.30088495575</v>
      </c>
      <c r="G220" s="3" t="n">
        <v>9589000</v>
      </c>
      <c r="H220" t="inlineStr">
        <is>
          <t>Челябинская обл, г Магнитогорск, ул Комсомольская, д 2, помещ 2</t>
        </is>
      </c>
      <c r="I220" t="inlineStr">
        <is>
          <t>13 05 22 17:00</t>
        </is>
      </c>
      <c r="J220" t="inlineStr">
        <is>
          <t>74:33:0123007:180</t>
        </is>
      </c>
      <c r="L220" t="inlineStr">
        <is>
          <t>EA</t>
        </is>
      </c>
      <c r="M220" t="inlineStr">
        <is>
          <t>М</t>
        </is>
      </c>
      <c r="N220" s="2">
        <f>HYPERLINK("https://yandex.ru/maps/?&amp;text=53.42643, 58.995037", "53.42643, 58.995037")</f>
        <v/>
      </c>
      <c r="O220" t="n">
        <v>2735</v>
      </c>
      <c r="P220" s="7" t="n">
        <v>3.88</v>
      </c>
      <c r="R220" t="n">
        <v>1862</v>
      </c>
      <c r="S220" s="8" t="n">
        <v>5.7</v>
      </c>
    </row>
    <row r="221">
      <c r="A221" s="4" t="n">
        <v>223</v>
      </c>
      <c r="B221" t="inlineStr">
        <is>
          <t>32</t>
        </is>
      </c>
      <c r="C221" s="1" t="n">
        <v>100.9</v>
      </c>
      <c r="D221" s="2">
        <f>HYPERLINK("https://torgi.gov.ru/new/public/lots/lot/21000008500000000009_1/(lotInfo:info)", "21000008500000000009_1")</f>
        <v/>
      </c>
      <c r="E221" t="inlineStr">
        <is>
          <t>Находящееся в муниципальной собственности нежилое помещение . (этаж № 1), расположенное по адресу:</t>
        </is>
      </c>
      <c r="F221" s="3" t="n">
        <v>14271.55599603568</v>
      </c>
      <c r="G221" s="3" t="n">
        <v>1440000</v>
      </c>
      <c r="H221" t="inlineStr">
        <is>
          <t>г Брянск, ул Есенина, д 14</t>
        </is>
      </c>
      <c r="I221" t="inlineStr">
        <is>
          <t>05 05 22 10:00</t>
        </is>
      </c>
      <c r="J221" t="inlineStr">
        <is>
          <t>32:28:0020932:1515</t>
        </is>
      </c>
      <c r="L221" t="inlineStr">
        <is>
          <t>EA</t>
        </is>
      </c>
      <c r="M221" t="inlineStr">
        <is>
          <t>М</t>
        </is>
      </c>
      <c r="N221" s="2">
        <f>HYPERLINK("https://yandex.ru/maps/?&amp;text=53.25897, 34.442783", "53.25897, 34.442783")</f>
        <v/>
      </c>
      <c r="O221" t="n">
        <v>2472</v>
      </c>
      <c r="P221" s="7" t="n">
        <v>5.77</v>
      </c>
      <c r="R221" t="n">
        <v>2472</v>
      </c>
      <c r="S221" s="8" t="n">
        <v>5.77</v>
      </c>
    </row>
    <row r="222">
      <c r="A222" s="4" t="n">
        <v>224</v>
      </c>
      <c r="B222" t="inlineStr">
        <is>
          <t>32</t>
        </is>
      </c>
      <c r="C222" s="1" t="n">
        <v>69</v>
      </c>
      <c r="D222" s="2">
        <f>HYPERLINK("https://torgi.gov.ru/new/public/lots/lot/21000008500000000006_1/(lotInfo:info)", "21000008500000000006_1")</f>
        <v/>
      </c>
      <c r="E222" t="inlineStr">
        <is>
          <t>Находящееся в муниципальной собственности нежилое помещение . (этаж № 1), расположенное по адресу:</t>
        </is>
      </c>
      <c r="F222" s="3" t="n">
        <v>37347.82608695652</v>
      </c>
      <c r="G222" s="3" t="n">
        <v>2577000</v>
      </c>
      <c r="H222" t="inlineStr">
        <is>
          <t>г Брянск, ул Тельмана, д 66 к 4</t>
        </is>
      </c>
      <c r="I222" t="inlineStr">
        <is>
          <t>05 05 22 10:00</t>
        </is>
      </c>
      <c r="J222" t="inlineStr">
        <is>
          <t>32:28:0021603:3084</t>
        </is>
      </c>
      <c r="L222" t="inlineStr">
        <is>
          <t>EA</t>
        </is>
      </c>
      <c r="M222" t="inlineStr">
        <is>
          <t>М</t>
        </is>
      </c>
      <c r="N222" s="2">
        <f>HYPERLINK("https://yandex.ru/maps/?&amp;text=53.2517967, 34.4422385", "53.2517967, 34.4422385")</f>
        <v/>
      </c>
      <c r="O222" t="n">
        <v>5625</v>
      </c>
      <c r="P222" s="7" t="n">
        <v>6.64</v>
      </c>
      <c r="R222" t="n">
        <v>5625</v>
      </c>
      <c r="S222" s="8" t="n">
        <v>6.64</v>
      </c>
    </row>
    <row r="223">
      <c r="A223" s="4" t="n">
        <v>225</v>
      </c>
      <c r="B223" t="inlineStr">
        <is>
          <t>66</t>
        </is>
      </c>
      <c r="C223" s="1" t="n">
        <v>123.3</v>
      </c>
      <c r="D223" s="2">
        <f>HYPERLINK("https://torgi.gov.ru/new/public/lots/lot/21000000900000000002_7/(lotInfo:info)", "21000000900000000002_7")</f>
        <v/>
      </c>
      <c r="E223" t="inlineStr">
        <is>
          <t>Наименование имущества: Нежилые помещения №№1-11 по поэтажному плану цокольного этажа.расположенные по адресу:</t>
        </is>
      </c>
      <c r="F223" s="3" t="n">
        <v>13285.79375506894</v>
      </c>
      <c r="G223" s="3" t="n">
        <v>1638138.37</v>
      </c>
      <c r="H223" t="inlineStr">
        <is>
          <t>Свердловская обл, г Новоуральск, ул Северная, д 4</t>
        </is>
      </c>
      <c r="I223" t="inlineStr">
        <is>
          <t>28 04 22 10:00</t>
        </is>
      </c>
      <c r="J223" t="inlineStr">
        <is>
          <t xml:space="preserve">66:57:0102024:943, </t>
        </is>
      </c>
      <c r="L223" t="inlineStr">
        <is>
          <t>EA</t>
        </is>
      </c>
      <c r="M223" t="inlineStr">
        <is>
          <t>М</t>
        </is>
      </c>
      <c r="N223" s="2">
        <f>HYPERLINK("https://yandex.ru/maps/?&amp;text=57.245434, 60.087276", "57.245434, 60.087276")</f>
        <v/>
      </c>
      <c r="O223" t="n">
        <v>3115</v>
      </c>
      <c r="P223" s="7" t="n">
        <v>4.27</v>
      </c>
      <c r="R223" t="n">
        <v>3115</v>
      </c>
      <c r="S223" s="8" t="n">
        <v>4.27</v>
      </c>
    </row>
    <row r="224">
      <c r="A224" s="4" t="n">
        <v>226</v>
      </c>
      <c r="B224" t="inlineStr">
        <is>
          <t>55</t>
        </is>
      </c>
      <c r="C224" s="1" t="n">
        <v>64.40000000000001</v>
      </c>
      <c r="D224" s="2">
        <f>HYPERLINK("https://torgi.gov.ru/new/public/lots/lot/21000018980000000001_1/(lotInfo:info)", "21000018980000000001_1")</f>
        <v/>
      </c>
      <c r="E224" t="inlineStr">
        <is>
          <t xml:space="preserve">нежилое помещение, назначение: нежилое. . Адрес:. 2П. Этаж 1. </t>
        </is>
      </c>
      <c r="F224" s="3" t="n">
        <v>20496.89440993789</v>
      </c>
      <c r="G224" s="3" t="n">
        <v>1320000</v>
      </c>
      <c r="H224" t="inlineStr">
        <is>
          <t>Омская обл, Омский р-н, село Розовка, ул Парковая, д 12пом</t>
        </is>
      </c>
      <c r="I224" t="inlineStr">
        <is>
          <t>29 04 22 11:00</t>
        </is>
      </c>
      <c r="J224" t="inlineStr">
        <is>
          <t>55:20:200101:5436</t>
        </is>
      </c>
      <c r="L224" t="inlineStr">
        <is>
          <t>EA</t>
        </is>
      </c>
      <c r="M224" t="inlineStr">
        <is>
          <t>М</t>
        </is>
      </c>
      <c r="N224" s="2">
        <f>HYPERLINK("https://yandex.ru/maps/?&amp;text=54.716019, 73.667297", "54.716019, 73.667297")</f>
        <v/>
      </c>
      <c r="O224" t="n">
        <v>398</v>
      </c>
      <c r="P224" s="7" t="n">
        <v>51.5</v>
      </c>
      <c r="R224" t="n">
        <v>398</v>
      </c>
      <c r="S224" s="8" t="n">
        <v>51.5</v>
      </c>
    </row>
    <row r="225">
      <c r="A225" s="4" t="n">
        <v>227</v>
      </c>
      <c r="B225" t="inlineStr">
        <is>
          <t>63</t>
        </is>
      </c>
      <c r="C225" s="1" t="n">
        <v>1527.9</v>
      </c>
      <c r="D225" s="2">
        <f>HYPERLINK("https://torgi.gov.ru/new/public/lots/lot/21000005400000000042_1/(lotInfo:info)", "21000005400000000042_1")</f>
        <v/>
      </c>
      <c r="E225" t="inlineStr">
        <is>
          <t>Нежилое помещение, расположенное по адресу:, пом. Б/Н (1013) (подземный этаж № 1, номера на поэтажном плане подземный этаж № 1 поз. 227, 227а, 228, 229, 230, 231, 232, 233, 234, 235, 236)</t>
        </is>
      </c>
      <c r="F225" s="3" t="n">
        <v>2195.000327246547</v>
      </c>
      <c r="G225" s="3" t="n">
        <v>3353741</v>
      </c>
      <c r="H225" t="inlineStr">
        <is>
          <t>Самарская обл, г Тольятти, ул Свердлова, влд 51</t>
        </is>
      </c>
      <c r="I225" t="inlineStr">
        <is>
          <t>27 04 22 13:00</t>
        </is>
      </c>
      <c r="J225" t="inlineStr">
        <is>
          <t>63:09:0101163:8424</t>
        </is>
      </c>
      <c r="L225" t="inlineStr">
        <is>
          <t>EA</t>
        </is>
      </c>
      <c r="M225" t="inlineStr">
        <is>
          <t>М</t>
        </is>
      </c>
      <c r="N225" s="2">
        <f>HYPERLINK("https://yandex.ru/maps/?&amp;text=53.52945, 49.26407", "53.52945, 49.26407")</f>
        <v/>
      </c>
      <c r="O225" t="n">
        <v>4411</v>
      </c>
      <c r="P225" s="7" t="n">
        <v>0.5</v>
      </c>
      <c r="R225" t="n">
        <v>3650</v>
      </c>
      <c r="S225" s="8" t="n">
        <v>0.6</v>
      </c>
    </row>
    <row r="226">
      <c r="A226" s="4" t="n">
        <v>228</v>
      </c>
      <c r="B226" t="inlineStr">
        <is>
          <t>38</t>
        </is>
      </c>
      <c r="C226" s="1" t="n">
        <v>233.5</v>
      </c>
      <c r="D226" s="2">
        <f>HYPERLINK("https://torgi.gov.ru/new/public/lots/lot/22000061890000000001_1/(lotInfo:info)", "22000061890000000001_1")</f>
        <v/>
      </c>
      <c r="E226" t="inlineStr">
        <is>
          <t>Лот № 1 - нежилое помещение на 1-ом этаже 4-х этажного жилого дома .расположенное по адресу:.</t>
        </is>
      </c>
      <c r="F226" s="3" t="n">
        <v>12038.54389721627</v>
      </c>
      <c r="G226" s="3" t="n">
        <v>2811000</v>
      </c>
      <c r="H226" t="inlineStr">
        <is>
          <t>Иркутская обл, г Свирск, ул Дзержинского, д 3, кв 33</t>
        </is>
      </c>
      <c r="I226" t="inlineStr">
        <is>
          <t>07 04 22 10:00</t>
        </is>
      </c>
      <c r="J226" t="inlineStr">
        <is>
          <t xml:space="preserve">38:33:020147:254, </t>
        </is>
      </c>
      <c r="L226" t="inlineStr">
        <is>
          <t>EA</t>
        </is>
      </c>
      <c r="M226" t="inlineStr">
        <is>
          <t>М</t>
        </is>
      </c>
      <c r="N226" s="2">
        <f>HYPERLINK("https://yandex.ru/maps/?&amp;text=53.075596, 103.34048", "53.075596, 103.34048")</f>
        <v/>
      </c>
      <c r="O226" t="n">
        <v>1093</v>
      </c>
      <c r="P226" s="7" t="n">
        <v>11.01</v>
      </c>
      <c r="R226" t="n">
        <v>930</v>
      </c>
      <c r="S226" s="8" t="n">
        <v>12.94</v>
      </c>
    </row>
    <row r="227">
      <c r="A227" s="4" t="n">
        <v>229</v>
      </c>
      <c r="B227" t="inlineStr">
        <is>
          <t>51</t>
        </is>
      </c>
      <c r="C227" s="1" t="n">
        <v>32.5</v>
      </c>
      <c r="D227" s="2">
        <f>HYPERLINK("https://torgi.gov.ru/new/public/lots/lot/22000023110000000004_1/(lotInfo:info)", "22000023110000000004_1")</f>
        <v/>
      </c>
      <c r="E227" t="inlineStr">
        <is>
          <t>нежилое помещениерасположенное по адресу:. Мурмаши Кольского р-на, п.г.т. Мурмаши, ул.Цесарского, д. 2, пом. 69,70</t>
        </is>
      </c>
      <c r="F227" s="3" t="n">
        <v>15503.84615384615</v>
      </c>
      <c r="G227" s="3" t="n">
        <v>503875</v>
      </c>
      <c r="H227" t="inlineStr">
        <is>
          <t xml:space="preserve"> Мурманская область, МО г.п . Мурмаши Кольского р-на, п.г.т. Мурмаши, ул.Цесарского, д. 2, пом. 69</t>
        </is>
      </c>
      <c r="I227" t="inlineStr">
        <is>
          <t>28 04 22 20:59</t>
        </is>
      </c>
      <c r="J227" t="inlineStr">
        <is>
          <t xml:space="preserve">51:01:0207004:484, </t>
        </is>
      </c>
      <c r="L227" t="inlineStr">
        <is>
          <t>EA</t>
        </is>
      </c>
      <c r="M227" t="inlineStr">
        <is>
          <t>М</t>
        </is>
      </c>
      <c r="N227" t="inlineStr">
        <is>
          <t>68.815881, 32.828115</t>
        </is>
      </c>
      <c r="O227" t="n">
        <v>169</v>
      </c>
      <c r="P227" s="7" t="n">
        <v>91.73999999999999</v>
      </c>
      <c r="R227" t="n">
        <v>169</v>
      </c>
      <c r="S227" s="8" t="n">
        <v>91.73999999999999</v>
      </c>
    </row>
    <row r="228">
      <c r="A228" s="4" t="n">
        <v>230</v>
      </c>
      <c r="B228" t="inlineStr">
        <is>
          <t>37</t>
        </is>
      </c>
      <c r="C228" s="1" t="n">
        <v>120.8</v>
      </c>
      <c r="D228" s="2">
        <f>HYPERLINK("https://torgi.gov.ru/new/public/lots/lot/21000010870000000002_3/(lotInfo:info)", "21000010870000000002_3")</f>
        <v/>
      </c>
      <c r="E228" t="inlineStr">
        <is>
          <t>Нежилое помещение , расположенное по адресу:.</t>
        </is>
      </c>
      <c r="F228" s="3" t="n">
        <v>31622.51655629139</v>
      </c>
      <c r="G228" s="3" t="n">
        <v>3820000</v>
      </c>
      <c r="H228" t="inlineStr">
        <is>
          <t>г Иваново, Шахтинский проезд, д 79, помещ 1001</t>
        </is>
      </c>
      <c r="I228" t="inlineStr">
        <is>
          <t>20 04 22 20:59</t>
        </is>
      </c>
      <c r="J228" t="inlineStr">
        <is>
          <t xml:space="preserve">37:24:040626:470 </t>
        </is>
      </c>
      <c r="L228" t="inlineStr">
        <is>
          <t>EA</t>
        </is>
      </c>
      <c r="M228" t="inlineStr">
        <is>
          <t>М</t>
        </is>
      </c>
      <c r="N228" s="2">
        <f>HYPERLINK("https://yandex.ru/maps/?&amp;text=56.991302, 40.931529", "56.991302, 40.931529")</f>
        <v/>
      </c>
      <c r="O228" t="n">
        <v>3485</v>
      </c>
      <c r="P228" s="7" t="n">
        <v>9.07</v>
      </c>
      <c r="R228" t="n">
        <v>3485</v>
      </c>
      <c r="S228" s="8" t="n">
        <v>9.07</v>
      </c>
    </row>
    <row r="229">
      <c r="A229" s="4" t="n">
        <v>231</v>
      </c>
      <c r="B229" t="inlineStr">
        <is>
          <t>63</t>
        </is>
      </c>
      <c r="C229" s="1" t="n">
        <v>64.3</v>
      </c>
      <c r="D229" s="2">
        <f>HYPERLINK("https://torgi.gov.ru/new/public/lots/lot/22000071240000000002_1/(lotInfo:info)", "22000071240000000002_1")</f>
        <v/>
      </c>
      <c r="E229" t="inlineStr">
        <is>
          <t>Пристроенное нежилое помещение  расположенное по адресу:</t>
        </is>
      </c>
      <c r="F229" s="3" t="n">
        <v>23405.90979782271</v>
      </c>
      <c r="G229" s="3" t="n">
        <v>1505000</v>
      </c>
      <c r="H229" t="inlineStr">
        <is>
          <t>Самарская обл, г Нефтегорск, ул Нефтяников, д 54А</t>
        </is>
      </c>
      <c r="I229" t="inlineStr">
        <is>
          <t>28 04 22 13:00</t>
        </is>
      </c>
      <c r="J229" t="inlineStr">
        <is>
          <t xml:space="preserve">63:27:0704015:875 </t>
        </is>
      </c>
      <c r="L229" t="inlineStr">
        <is>
          <t>EA</t>
        </is>
      </c>
      <c r="M229" t="inlineStr">
        <is>
          <t>М</t>
        </is>
      </c>
      <c r="N229" s="2">
        <f>HYPERLINK("https://yandex.ru/maps/?&amp;text=52.794323, 51.156445", "52.794323, 51.156445")</f>
        <v/>
      </c>
      <c r="O229" t="n">
        <v>1256</v>
      </c>
      <c r="P229" s="7" t="n">
        <v>18.64</v>
      </c>
      <c r="R229" t="n">
        <v>1240</v>
      </c>
      <c r="S229" s="8" t="n">
        <v>18.88</v>
      </c>
    </row>
    <row r="230">
      <c r="A230" s="4" t="n">
        <v>232</v>
      </c>
      <c r="B230" t="inlineStr">
        <is>
          <t>78</t>
        </is>
      </c>
      <c r="C230" s="1" t="n">
        <v>22.6</v>
      </c>
      <c r="D230" s="2">
        <f>HYPERLINK("https://torgi.gov.ru/new/public/lots/lot/21000002210000000346_1/(lotInfo:info)", "21000002210000000346_1")</f>
        <v/>
      </c>
      <c r="E230" t="inlineStr">
        <is>
          <t>Нежилое помещение, расположенное по адресу: Санкт-Петербург,, литера А, пом. 8-Н, назначение: нежилое, этаж: цокольный</t>
        </is>
      </c>
      <c r="F230" s="3" t="n">
        <v>91150.4424778761</v>
      </c>
      <c r="G230" s="3" t="n">
        <v>2060000</v>
      </c>
      <c r="H230" t="inlineStr">
        <is>
          <t>г Санкт-Петербург, наб Канала Грибоедова, д 96 литера А, помещ 8-Н</t>
        </is>
      </c>
      <c r="I230" t="inlineStr">
        <is>
          <t>20 05 22 20:00</t>
        </is>
      </c>
      <c r="J230" t="inlineStr">
        <is>
          <t>78:32:0001240:1493</t>
        </is>
      </c>
      <c r="L230" t="inlineStr">
        <is>
          <t>EA</t>
        </is>
      </c>
      <c r="M230" t="inlineStr">
        <is>
          <t>М</t>
        </is>
      </c>
      <c r="N230" s="2">
        <f>HYPERLINK("https://yandex.ru/maps/?&amp;text=59.926715, 30.302447", "59.926715, 30.302447")</f>
        <v/>
      </c>
      <c r="O230" t="n">
        <v>10908</v>
      </c>
      <c r="P230" s="7" t="n">
        <v>8.359999999999999</v>
      </c>
      <c r="R230" t="n">
        <v>10908</v>
      </c>
      <c r="S230" s="8" t="n">
        <v>8.359999999999999</v>
      </c>
    </row>
    <row r="231">
      <c r="A231" s="4" t="n">
        <v>233</v>
      </c>
      <c r="B231" t="inlineStr">
        <is>
          <t>78</t>
        </is>
      </c>
      <c r="C231" s="1" t="n">
        <v>10.1</v>
      </c>
      <c r="D231" s="2">
        <f>HYPERLINK("https://torgi.gov.ru/new/public/lots/lot/21000002210000000343_1/(lotInfo:info)", "21000002210000000343_1")</f>
        <v/>
      </c>
      <c r="E231" t="inlineStr">
        <is>
          <t>Нежилое помещение, расположенное по адресу: Санкт-Петербург,, литера Б, пом. 2-Н, назначение: нежилое, этаж №1</t>
        </is>
      </c>
      <c r="F231" s="3" t="n">
        <v>133663.3663366337</v>
      </c>
      <c r="G231" s="3" t="n">
        <v>1350000</v>
      </c>
      <c r="H231" t="inlineStr">
        <is>
          <t>г Санкт-Петербург, ул Витебская, д 31</t>
        </is>
      </c>
      <c r="I231" t="inlineStr">
        <is>
          <t>20 05 22 20:00</t>
        </is>
      </c>
      <c r="J231" t="inlineStr">
        <is>
          <t>78:32:0001079:1293</t>
        </is>
      </c>
      <c r="L231" t="inlineStr">
        <is>
          <t>EA</t>
        </is>
      </c>
      <c r="M231" t="inlineStr">
        <is>
          <t>М</t>
        </is>
      </c>
      <c r="N231" s="2">
        <f>HYPERLINK("https://yandex.ru/maps/?&amp;text=59.919193, 30.276378", "59.919193, 30.276378")</f>
        <v/>
      </c>
      <c r="O231" t="n">
        <v>15227</v>
      </c>
      <c r="P231" s="7" t="n">
        <v>8.779999999999999</v>
      </c>
      <c r="R231" t="n">
        <v>15227</v>
      </c>
      <c r="S231" s="8" t="n">
        <v>8.779999999999999</v>
      </c>
    </row>
    <row r="232">
      <c r="A232" s="4" t="n">
        <v>234</v>
      </c>
      <c r="B232" t="inlineStr">
        <is>
          <t>78</t>
        </is>
      </c>
      <c r="C232" s="1" t="n">
        <v>20.1</v>
      </c>
      <c r="D232" s="2">
        <f>HYPERLINK("https://torgi.gov.ru/new/public/lots/lot/21000002210000000342_1/(lotInfo:info)", "21000002210000000342_1")</f>
        <v/>
      </c>
      <c r="E232" t="inlineStr">
        <is>
          <t>Нежилое помещение, расположенное по адресу: Санкт-Петербург,, литера А, пом. 6-Н, назначение: нежилое помещение, наименование: нежилое помещение, этаж №1</t>
        </is>
      </c>
      <c r="F232" s="3" t="n">
        <v>142786.0696517413</v>
      </c>
      <c r="G232" s="3" t="n">
        <v>2870000</v>
      </c>
      <c r="H232" t="inlineStr">
        <is>
          <t>г Санкт-Петербург, ул Будапештская, д 95 к 1 литера А, помещ 6-Н</t>
        </is>
      </c>
      <c r="I232" t="inlineStr">
        <is>
          <t>20 05 22 20:00</t>
        </is>
      </c>
      <c r="J232" t="inlineStr">
        <is>
          <t>78:13:0007438:2355</t>
        </is>
      </c>
      <c r="L232" t="inlineStr">
        <is>
          <t>EA</t>
        </is>
      </c>
      <c r="M232" t="inlineStr">
        <is>
          <t>М</t>
        </is>
      </c>
      <c r="N232" s="2">
        <f>HYPERLINK("https://yandex.ru/maps/?&amp;text=59.83049, 30.402933", "59.83049, 30.402933")</f>
        <v/>
      </c>
      <c r="O232" t="n">
        <v>12722</v>
      </c>
      <c r="P232" s="7" t="n">
        <v>11.22</v>
      </c>
      <c r="R232" t="n">
        <v>9852</v>
      </c>
      <c r="S232" s="8" t="n">
        <v>14.49</v>
      </c>
    </row>
    <row r="233">
      <c r="A233" s="4" t="n">
        <v>235</v>
      </c>
      <c r="B233" t="inlineStr">
        <is>
          <t>23</t>
        </is>
      </c>
      <c r="C233" s="1" t="n">
        <v>119.6</v>
      </c>
      <c r="D233" s="2">
        <f>HYPERLINK("https://torgi.gov.ru/new/public/lots/lot/22000007100000000022_1/(lotInfo:info)", "22000007100000000022_1")</f>
        <v/>
      </c>
      <c r="E233" t="inlineStr">
        <is>
      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      </is>
      </c>
      <c r="F233" s="3" t="n">
        <v>53105.39297658863</v>
      </c>
      <c r="G233" s="3" t="n">
        <v>6351405</v>
      </c>
      <c r="H233" t="inlineStr">
        <is>
          <t>Краснодарский край, г Сочи, ул Чехова, д 58</t>
        </is>
      </c>
      <c r="I233" t="inlineStr">
        <is>
          <t>25 04 22 06:00</t>
        </is>
      </c>
      <c r="J233" t="inlineStr">
        <is>
          <t xml:space="preserve">23:49:0202021:1294, </t>
        </is>
      </c>
      <c r="L233" t="inlineStr">
        <is>
          <t>EA</t>
        </is>
      </c>
      <c r="M233" t="inlineStr">
        <is>
          <t>М</t>
        </is>
      </c>
      <c r="N233">
        <f>HYPERLINK("https://yandex.ru/maps/?&amp;text=43.62209, 39.726902", "43.62209, 39.726902")</f>
        <v/>
      </c>
      <c r="O233" t="n">
        <v>2312</v>
      </c>
      <c r="P233" s="7" t="n">
        <v>22.97</v>
      </c>
      <c r="R233" t="n">
        <v>1327</v>
      </c>
      <c r="S233" s="8" t="n">
        <v>40.02</v>
      </c>
    </row>
    <row r="234">
      <c r="A234" s="4" t="n">
        <v>236</v>
      </c>
      <c r="B234" t="inlineStr">
        <is>
          <t>60</t>
        </is>
      </c>
      <c r="C234" s="1" t="n">
        <v>190.8</v>
      </c>
      <c r="D234" s="2">
        <f>HYPERLINK("https://torgi.gov.ru/new/public/lots/lot/21000018880000000001_1/(lotInfo:info)", "21000018880000000001_1")</f>
        <v/>
      </c>
      <c r="E234" t="inlineStr">
        <is>
          <t>нежилое помещение, входящее в состав объекта культурного наследия федерального значения «Дом Трубинских со служебными постройками», XVII в.расположенное по адресу:,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      </is>
      </c>
      <c r="F234" s="3" t="n">
        <v>10980.06289308176</v>
      </c>
      <c r="G234" s="3" t="n">
        <v>2094996</v>
      </c>
      <c r="H234" t="inlineStr">
        <is>
          <t>г Псков, ул Леона Поземского, д 22, помещ 1</t>
        </is>
      </c>
      <c r="I234" t="inlineStr">
        <is>
          <t>25 04 22 14:00</t>
        </is>
      </c>
      <c r="J234" t="inlineStr">
        <is>
          <t xml:space="preserve">60:27:0010205:43, </t>
        </is>
      </c>
      <c r="L234" t="inlineStr">
        <is>
          <t>EK</t>
        </is>
      </c>
      <c r="M234" t="inlineStr">
        <is>
          <t>М</t>
        </is>
      </c>
      <c r="N234" s="2">
        <f>HYPERLINK("https://yandex.ru/maps/?&amp;text=57.825256, 28.330519", "57.825256, 28.330519")</f>
        <v/>
      </c>
      <c r="O234" t="n">
        <v>93</v>
      </c>
      <c r="P234" s="7" t="n">
        <v>118.07</v>
      </c>
      <c r="R234" t="n">
        <v>266</v>
      </c>
      <c r="S234" s="8" t="n">
        <v>41.28</v>
      </c>
    </row>
    <row r="235">
      <c r="A235" s="4" t="n">
        <v>237</v>
      </c>
      <c r="B235" t="inlineStr">
        <is>
          <t>35</t>
        </is>
      </c>
      <c r="C235" s="1" t="n">
        <v>32.9</v>
      </c>
      <c r="D235" s="2">
        <f>HYPERLINK("https://torgi.gov.ru/new/public/lots/lot/21000002750000000022_1/(lotInfo:info)", "21000002750000000022_1")</f>
        <v/>
      </c>
      <c r="E235" t="inlineStr">
        <is>
          <t>нежилое помещение по адресу:.</t>
        </is>
      </c>
      <c r="F235" s="3" t="n">
        <v>56352.58358662614</v>
      </c>
      <c r="G235" s="3" t="n">
        <v>1854000</v>
      </c>
      <c r="H235" t="inlineStr">
        <is>
          <t>г Вологда, ул Новгородская, д 3</t>
        </is>
      </c>
      <c r="I235" t="inlineStr">
        <is>
          <t>27 04 22 11:30</t>
        </is>
      </c>
      <c r="J235" t="inlineStr">
        <is>
          <t xml:space="preserve">35:24:0402007:4089  </t>
        </is>
      </c>
      <c r="L235" t="inlineStr">
        <is>
          <t>EA</t>
        </is>
      </c>
      <c r="M235" t="inlineStr">
        <is>
          <t>М</t>
        </is>
      </c>
      <c r="N235" s="2">
        <f>HYPERLINK("https://yandex.ru/maps/?&amp;text=59.204586, 39.843536", "59.204586, 39.843536")</f>
        <v/>
      </c>
      <c r="O235" t="n">
        <v>3293</v>
      </c>
      <c r="P235" s="7" t="n">
        <v>17.11</v>
      </c>
      <c r="R235" t="n">
        <v>3414</v>
      </c>
      <c r="S235" s="8" t="n">
        <v>16.51</v>
      </c>
    </row>
    <row r="236">
      <c r="A236" s="4" t="n">
        <v>238</v>
      </c>
      <c r="B236" t="inlineStr">
        <is>
          <t>79</t>
        </is>
      </c>
      <c r="C236" s="1" t="n">
        <v>310.2</v>
      </c>
      <c r="D236" s="2">
        <f>HYPERLINK("https://torgi.gov.ru/new/public/lots/lot/22000034760000000039_1/(lotInfo:info)", "22000034760000000039_1")</f>
        <v/>
      </c>
      <c r="E236" t="inlineStr">
        <is>
          <t>В соответствии с Извещением.</t>
        </is>
      </c>
      <c r="F236" s="3" t="n">
        <v>14775.30625402966</v>
      </c>
      <c r="G236" s="3" t="n">
        <v>4583300</v>
      </c>
      <c r="H236" t="inlineStr">
        <is>
          <t>г Биробиджан, ул Шолом-Алейхема, д 39</t>
        </is>
      </c>
      <c r="I236" t="inlineStr">
        <is>
          <t>23 05 22 14:30</t>
        </is>
      </c>
      <c r="J236" t="inlineStr">
        <is>
          <t>79:01:0200034:1064</t>
        </is>
      </c>
      <c r="L236" t="inlineStr">
        <is>
          <t>EA</t>
        </is>
      </c>
      <c r="M236" t="inlineStr">
        <is>
          <t>М</t>
        </is>
      </c>
      <c r="N236" s="2">
        <f>HYPERLINK("https://yandex.ru/maps/?&amp;text=48.79526, 132.91965", "48.79526, 132.91965")</f>
        <v/>
      </c>
      <c r="O236" t="n">
        <v>2632</v>
      </c>
      <c r="P236" s="7" t="n">
        <v>5.61</v>
      </c>
      <c r="R236" t="n">
        <v>2057</v>
      </c>
      <c r="S236" s="8" t="n">
        <v>7.18</v>
      </c>
    </row>
    <row r="237">
      <c r="A237" s="4" t="n">
        <v>239</v>
      </c>
      <c r="B237" t="inlineStr">
        <is>
          <t>35</t>
        </is>
      </c>
      <c r="C237" s="1" t="n">
        <v>622.1</v>
      </c>
      <c r="D237" s="2">
        <f>HYPERLINK("https://torgi.gov.ru/new/public/lots/lot/22000036740000000002_1/(lotInfo:info)", "22000036740000000002_1")</f>
        <v/>
      </c>
      <c r="E237" t="inlineStr">
        <is>
          <t>Нежилое помещение общей площадью 622,1 м2 , расположенного по адресу:.Помещение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      </is>
      </c>
      <c r="F237" s="3" t="n">
        <v>6285.163157048706</v>
      </c>
      <c r="G237" s="3" t="n">
        <v>3910000</v>
      </c>
      <c r="H237" t="inlineStr">
        <is>
          <t>Вологодская обл, г Сокол, ул Суворова, д 22</t>
        </is>
      </c>
      <c r="I237" t="inlineStr">
        <is>
          <t>27 04 22 14:00</t>
        </is>
      </c>
      <c r="J237" t="inlineStr">
        <is>
          <t xml:space="preserve">35:26:0202015:656, </t>
        </is>
      </c>
      <c r="L237" t="inlineStr">
        <is>
          <t>EA</t>
        </is>
      </c>
      <c r="M237" t="inlineStr">
        <is>
          <t>М</t>
        </is>
      </c>
      <c r="N237" s="2">
        <f>HYPERLINK("https://yandex.ru/maps/?&amp;text=59.456734, 40.124454", "59.456734, 40.124454")</f>
        <v/>
      </c>
      <c r="O237" t="n">
        <v>1447</v>
      </c>
      <c r="P237" s="7" t="n">
        <v>4.34</v>
      </c>
      <c r="R237" t="n">
        <v>1447</v>
      </c>
      <c r="S237" s="8" t="n">
        <v>4.34</v>
      </c>
    </row>
    <row r="238">
      <c r="A238" s="4" t="n">
        <v>240</v>
      </c>
      <c r="B238" t="inlineStr">
        <is>
          <t>24</t>
        </is>
      </c>
      <c r="C238" s="1" t="n">
        <v>1392</v>
      </c>
      <c r="D238" s="2">
        <f>HYPERLINK("https://torgi.gov.ru/new/public/lots/lot/22000024070000000006_5/(lotInfo:info)", "22000024070000000006_5")</f>
        <v/>
      </c>
      <c r="E238" t="inlineStr">
        <is>
          <t>Здание – Штаб/казарма, назначение: нежилое. Количество этажей -2, в том числе подземных 0. Материал наружных стен: из прочих материалов. . Адрес (местонахождение):, микрорайон Авиатор, здание 54.Земельный участок – земли населенных пунктов. 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      </is>
      </c>
      <c r="F238" s="3" t="n">
        <v>2692.875</v>
      </c>
      <c r="G238" s="3" t="n">
        <v>3748482</v>
      </c>
      <c r="H238" t="inlineStr">
        <is>
          <t>Красноярский край, г Ачинск, мкр Авиатор, зд 54</t>
        </is>
      </c>
      <c r="I238" t="inlineStr">
        <is>
          <t>16 05 22 10:00</t>
        </is>
      </c>
      <c r="J238" t="inlineStr">
        <is>
          <t>24:43:0000000:25960</t>
        </is>
      </c>
      <c r="L238" t="inlineStr">
        <is>
          <t>PP</t>
        </is>
      </c>
      <c r="M238" t="inlineStr">
        <is>
          <t>М</t>
        </is>
      </c>
      <c r="N238" s="2">
        <f>HYPERLINK("https://yandex.ru/maps/?&amp;text=56.262582, 90.48181", "56.262582, 90.48181")</f>
        <v/>
      </c>
      <c r="O238" t="n">
        <v>2251</v>
      </c>
      <c r="P238" s="7" t="n">
        <v>1.2</v>
      </c>
      <c r="R238" t="n">
        <v>2346</v>
      </c>
      <c r="S238" s="8" t="n">
        <v>1.15</v>
      </c>
    </row>
    <row r="239">
      <c r="A239" s="4" t="n">
        <v>241</v>
      </c>
      <c r="B239" t="inlineStr">
        <is>
          <t>73</t>
        </is>
      </c>
      <c r="C239" s="1" t="n">
        <v>28.4</v>
      </c>
      <c r="D239" s="2">
        <f>HYPERLINK("https://torgi.gov.ru/new/public/lots/lot/22000041520000000002_1/(lotInfo:info)", "22000041520000000002_1")</f>
        <v/>
      </c>
      <c r="E239" t="inlineStr">
        <is>
          <t>Помещение нежилое., этаж:1, номер на поэтажном плане: 1.,. 3 Интернационала</t>
        </is>
      </c>
      <c r="F239" s="3" t="n">
        <v>28626.76056338028</v>
      </c>
      <c r="G239" s="3" t="n">
        <v>813000</v>
      </c>
      <c r="H239" t="inlineStr">
        <is>
          <t xml:space="preserve">Ульяновская область, г. Ульяновск,ул. 3 Интернационала. № 4 </t>
        </is>
      </c>
      <c r="I239" t="inlineStr">
        <is>
          <t>28 04 22 13:00</t>
        </is>
      </c>
      <c r="J239" t="inlineStr">
        <is>
          <t>73:24:010205:4814</t>
        </is>
      </c>
      <c r="L239" t="inlineStr">
        <is>
          <t>EA</t>
        </is>
      </c>
      <c r="M239" t="inlineStr">
        <is>
          <t>М</t>
        </is>
      </c>
      <c r="O239" t="n">
        <v>2251</v>
      </c>
      <c r="P239" s="7" t="n">
        <v>12.72</v>
      </c>
      <c r="R239" t="n">
        <v>2251</v>
      </c>
      <c r="S239" s="7" t="n">
        <v>12.72</v>
      </c>
    </row>
    <row r="240">
      <c r="A240" s="4" t="n">
        <v>242</v>
      </c>
      <c r="B240" t="inlineStr">
        <is>
          <t>73</t>
        </is>
      </c>
      <c r="C240" s="1" t="n">
        <v>166.1</v>
      </c>
      <c r="D240" s="2">
        <f>HYPERLINK("https://torgi.gov.ru/new/public/lots/lot/21000013570000000006_1/(lotInfo:info)", "21000013570000000006_1")</f>
        <v/>
      </c>
      <c r="E240" t="inlineStr">
        <is>
          <t>нежилые помещения  расположенные по, помещения №№ 1-7, 9, 11, 12, 15, 16, 43-46</t>
        </is>
      </c>
      <c r="F240" s="3" t="n">
        <v>9833.626610475616</v>
      </c>
      <c r="G240" s="3" t="n">
        <v>1633365.38</v>
      </c>
      <c r="H240" t="inlineStr">
        <is>
          <t>г Ульяновск, ул Станкостроителей, д 18</t>
        </is>
      </c>
      <c r="I240" t="inlineStr">
        <is>
          <t>26 04 22 13:00</t>
        </is>
      </c>
      <c r="J240" t="inlineStr">
        <is>
          <t xml:space="preserve">73:24:030904:1184, </t>
        </is>
      </c>
      <c r="L240" t="inlineStr">
        <is>
          <t>PP</t>
        </is>
      </c>
      <c r="M240" t="inlineStr">
        <is>
          <t>М</t>
        </is>
      </c>
      <c r="N240" s="2">
        <f>HYPERLINK("https://yandex.ru/maps/?&amp;text=54.287344, 48.299269", "54.287344, 48.299269")</f>
        <v/>
      </c>
      <c r="O240" t="n">
        <v>1643</v>
      </c>
      <c r="P240" s="7" t="n">
        <v>5.99</v>
      </c>
      <c r="R240" t="n">
        <v>2504</v>
      </c>
      <c r="S240" s="8" t="n">
        <v>3.93</v>
      </c>
    </row>
    <row r="241">
      <c r="A241" s="4" t="n">
        <v>243</v>
      </c>
      <c r="B241" t="inlineStr">
        <is>
          <t>35</t>
        </is>
      </c>
      <c r="C241" s="1" t="n">
        <v>23.9</v>
      </c>
      <c r="D241" s="2">
        <f>HYPERLINK("https://torgi.gov.ru/new/public/lots/lot/21000002750000000019_1/(lotInfo:info)", "21000002750000000019_1")</f>
        <v/>
      </c>
      <c r="E241" t="inlineStr">
        <is>
          <t>нежилое помещение по адресу:. Нежилое помещение используется третьими лицами без договорных отношений.</t>
        </is>
      </c>
      <c r="F241" s="3" t="n">
        <v>28443.51464435147</v>
      </c>
      <c r="G241" s="3" t="n">
        <v>679800</v>
      </c>
      <c r="H241" t="inlineStr">
        <is>
          <t>г Вологда, ул Фрязиновская, д 37</t>
        </is>
      </c>
      <c r="I241" t="inlineStr">
        <is>
          <t>26 04 22 12:00</t>
        </is>
      </c>
      <c r="J241" t="inlineStr">
        <is>
          <t xml:space="preserve">35:24:0305021:4167  </t>
        </is>
      </c>
      <c r="L241" t="inlineStr">
        <is>
          <t>EA</t>
        </is>
      </c>
      <c r="M241" t="inlineStr">
        <is>
          <t>М</t>
        </is>
      </c>
      <c r="N241" s="2">
        <f>HYPERLINK("https://yandex.ru/maps/?&amp;text=59.223835, 39.936528", "59.223835, 39.936528")</f>
        <v/>
      </c>
      <c r="O241" t="n">
        <v>3702</v>
      </c>
      <c r="P241" s="7" t="n">
        <v>7.68</v>
      </c>
      <c r="R241" t="n">
        <v>3702</v>
      </c>
      <c r="S241" s="8" t="n">
        <v>7.68</v>
      </c>
    </row>
    <row r="242">
      <c r="A242" s="4" t="n">
        <v>244</v>
      </c>
      <c r="B242" t="inlineStr">
        <is>
          <t>78</t>
        </is>
      </c>
      <c r="C242" s="1" t="n">
        <v>19.4</v>
      </c>
      <c r="D242" s="2">
        <f>HYPERLINK("https://torgi.gov.ru/new/public/lots/lot/21000002210000000321_1/(lotInfo:info)", "21000002210000000321_1")</f>
        <v/>
      </c>
      <c r="E242" t="inlineStr">
        <is>
          <t>Нежилое помещение, расположенное по адресу: Санкт-Петербург,, литера В, пом. 5-Н, назначение: нежилое помещение, этаж: цокольный</t>
        </is>
      </c>
      <c r="F242" s="3" t="n">
        <v>89948.45360824742</v>
      </c>
      <c r="G242" s="3" t="n">
        <v>1745000</v>
      </c>
      <c r="H242" t="inlineStr">
        <is>
          <t>г Санкт-Петербург, ул Белы Куна, д 16 литера В, помещ 5-Н</t>
        </is>
      </c>
      <c r="I242" t="inlineStr">
        <is>
          <t>17 05 22 20:00</t>
        </is>
      </c>
      <c r="J242" t="inlineStr">
        <is>
          <t>78:13:0007406:3526</t>
        </is>
      </c>
      <c r="L242" t="inlineStr">
        <is>
          <t>EA</t>
        </is>
      </c>
      <c r="M242" t="inlineStr">
        <is>
          <t>М</t>
        </is>
      </c>
      <c r="N242" s="2">
        <f>HYPERLINK("https://yandex.ru/maps/?&amp;text=59.873451, 30.384005", "59.873451, 30.384005")</f>
        <v/>
      </c>
      <c r="O242" t="n">
        <v>8621</v>
      </c>
      <c r="P242" s="7" t="n">
        <v>10.43</v>
      </c>
      <c r="R242" t="n">
        <v>6584</v>
      </c>
      <c r="S242" s="8" t="n">
        <v>13.66</v>
      </c>
    </row>
    <row r="243">
      <c r="A243" s="4" t="n">
        <v>245</v>
      </c>
      <c r="B243" t="inlineStr">
        <is>
          <t>1</t>
        </is>
      </c>
      <c r="C243" s="1" t="n">
        <v>52.9</v>
      </c>
      <c r="D243" s="2">
        <f>HYPERLINK("https://torgi.gov.ru/new/public/lots/lot/22000066460000000003_1/(lotInfo:info)", "22000066460000000003_1")</f>
        <v/>
      </c>
      <c r="E243" t="inlineStr">
        <is>
          <t>Нежилое помещение, Этаж № 1по адресу:</t>
        </is>
      </c>
      <c r="F243" s="3" t="n">
        <v>26729.6786389414</v>
      </c>
      <c r="G243" s="3" t="n">
        <v>1414000</v>
      </c>
      <c r="H243" t="inlineStr">
        <is>
          <t>г Майкоп, ул Гоголя, д 19</t>
        </is>
      </c>
      <c r="I243" t="inlineStr">
        <is>
          <t>22 04 22 21:00</t>
        </is>
      </c>
      <c r="J243" t="inlineStr">
        <is>
          <t xml:space="preserve">01:08:0507074:272, </t>
        </is>
      </c>
      <c r="L243" t="inlineStr">
        <is>
          <t>EA</t>
        </is>
      </c>
      <c r="M243" t="inlineStr">
        <is>
          <t>М</t>
        </is>
      </c>
      <c r="N243" s="2">
        <f>HYPERLINK("https://yandex.ru/maps/?&amp;text=44.604739, 40.108358", "44.604739, 40.108358")</f>
        <v/>
      </c>
      <c r="O243" t="n">
        <v>3211</v>
      </c>
      <c r="P243" s="7" t="n">
        <v>8.32</v>
      </c>
      <c r="R243" t="n">
        <v>3142</v>
      </c>
      <c r="S243" s="8" t="n">
        <v>8.51</v>
      </c>
    </row>
    <row r="244">
      <c r="A244" s="4" t="n">
        <v>246</v>
      </c>
      <c r="B244" t="inlineStr">
        <is>
          <t>50</t>
        </is>
      </c>
      <c r="C244" s="1" t="n">
        <v>85.5</v>
      </c>
      <c r="D244" s="2">
        <f>HYPERLINK("https://torgi.gov.ru/new/public/lots/lot/21000004710000000765_1/(lotInfo:info)", "21000004710000000765_1")</f>
        <v/>
      </c>
      <c r="E244" t="inlineStr">
        <is>
          <t>Продажа нежилого помещения 85,5 кв.м в Богородском г.о.</t>
        </is>
      </c>
      <c r="F244" s="3" t="n">
        <v>8839.95321637427</v>
      </c>
      <c r="G244" s="3" t="n">
        <v>755816</v>
      </c>
      <c r="H244" t="inlineStr">
        <is>
          <t>Московская обл, г Ногинск, ул Текстилей, д 29</t>
        </is>
      </c>
      <c r="I244" t="inlineStr">
        <is>
          <t>04 05 22 15:00</t>
        </is>
      </c>
      <c r="J244" t="inlineStr">
        <is>
          <t>50:16:0301001:3345</t>
        </is>
      </c>
      <c r="L244" t="inlineStr">
        <is>
          <t>BOC</t>
        </is>
      </c>
      <c r="M244" t="inlineStr">
        <is>
          <t>М</t>
        </is>
      </c>
      <c r="N244">
        <f>HYPERLINK("https://yandex.ru/maps/?&amp;text=55.881545, 38.436638", "55.881545, 38.436638")</f>
        <v/>
      </c>
      <c r="O244" t="n">
        <v>1281</v>
      </c>
      <c r="P244" s="7" t="n">
        <v>6.9</v>
      </c>
      <c r="R244" t="n">
        <v>1281</v>
      </c>
      <c r="S244" s="8" t="n">
        <v>6.9</v>
      </c>
    </row>
    <row r="245">
      <c r="A245" s="4" t="n">
        <v>247</v>
      </c>
      <c r="B245" t="inlineStr">
        <is>
          <t>59</t>
        </is>
      </c>
      <c r="C245" s="1" t="n">
        <v>205.3</v>
      </c>
      <c r="D245" s="2">
        <f>HYPERLINK("https://torgi.gov.ru/new/public/lots/lot/22000013150000000007_1/(lotInfo:info)", "22000013150000000007_1")</f>
        <v/>
      </c>
      <c r="E245" t="inlineStr">
        <is>
          <t>нежилое помещение  на 1 этаже жилого дома</t>
        </is>
      </c>
      <c r="F245" s="3" t="n">
        <v>7837.311251826594</v>
      </c>
      <c r="G245" s="3" t="n">
        <v>1609000</v>
      </c>
      <c r="H245" t="inlineStr">
        <is>
          <t>Пермский край, г Соликамск, ул Привокзальная, д 4</t>
        </is>
      </c>
      <c r="I245" t="inlineStr">
        <is>
          <t>24 04 22 18:00</t>
        </is>
      </c>
      <c r="J245" t="inlineStr">
        <is>
          <t>59:10:0406004:3162</t>
        </is>
      </c>
      <c r="L245" t="inlineStr">
        <is>
          <t>EA</t>
        </is>
      </c>
      <c r="M245" t="inlineStr">
        <is>
          <t>М</t>
        </is>
      </c>
      <c r="N245">
        <f>HYPERLINK("https://yandex.ru/maps/?&amp;text=59.640835, 56.749783", "59.640835, 56.749783")</f>
        <v/>
      </c>
      <c r="O245" t="n">
        <v>1818</v>
      </c>
      <c r="P245" s="7" t="n">
        <v>4.31</v>
      </c>
      <c r="R245" t="n">
        <v>928</v>
      </c>
      <c r="S245" s="8" t="n">
        <v>8.449999999999999</v>
      </c>
    </row>
    <row r="246">
      <c r="A246" s="4" t="n">
        <v>248</v>
      </c>
      <c r="B246" t="inlineStr">
        <is>
          <t>44</t>
        </is>
      </c>
      <c r="C246" s="1" t="n">
        <v>84.2</v>
      </c>
      <c r="D246" s="2">
        <f>HYPERLINK("https://torgi.gov.ru/new/public/lots/lot/21000024540000000002_1/(lotInfo:info)", "21000024540000000002_1")</f>
        <v/>
      </c>
      <c r="E246" t="inlineStr">
        <is>
          <t>нежилое помещение, расположенное на 1 этаже МКД.</t>
        </is>
      </c>
      <c r="F246" s="3" t="n">
        <v>34354.82957244656</v>
      </c>
      <c r="G246" s="3" t="n">
        <v>2892676.65</v>
      </c>
      <c r="H246" t="inlineStr">
        <is>
          <t>Костромская обл., Шарьинский р-н., гор. Шарья, ул. Ивана Шатрова, д. 14, помещение № 92</t>
        </is>
      </c>
      <c r="I246" t="inlineStr">
        <is>
          <t>19 04 22 14:00</t>
        </is>
      </c>
      <c r="J246" t="inlineStr">
        <is>
          <t>44:31:020408:578</t>
        </is>
      </c>
      <c r="L246" t="inlineStr">
        <is>
          <t>EA</t>
        </is>
      </c>
      <c r="M246" t="inlineStr">
        <is>
          <t>М</t>
        </is>
      </c>
      <c r="N246" t="inlineStr">
        <is>
          <t>58.380085, 45.515165</t>
        </is>
      </c>
      <c r="O246" t="n">
        <v>1501</v>
      </c>
      <c r="P246" s="7" t="n">
        <v>22.89</v>
      </c>
      <c r="R246" t="n">
        <v>1073</v>
      </c>
      <c r="S246" s="8" t="n">
        <v>32.02</v>
      </c>
    </row>
    <row r="247">
      <c r="A247" s="4" t="n">
        <v>249</v>
      </c>
      <c r="B247" t="inlineStr">
        <is>
          <t>77</t>
        </is>
      </c>
      <c r="C247" s="1" t="n">
        <v>54.1</v>
      </c>
      <c r="D247" s="2">
        <f>HYPERLINK("https://torgi.gov.ru/new/public/lots/lot/21000005000000000821_1/(lotInfo:info)", "21000005000000000821_1")</f>
        <v/>
      </c>
      <c r="E247" t="inlineStr">
        <is>
          <t>Продажа имущества, находящегося в собственности города Москвы, нежилое помещение по адресу:., Цокольный этаж № 0</t>
        </is>
      </c>
      <c r="F247" s="3" t="n">
        <v>84617.37523105361</v>
      </c>
      <c r="G247" s="3" t="n">
        <v>4577800</v>
      </c>
      <c r="H247" t="inlineStr">
        <is>
          <t>г Москва, ул 6-я Парковая, д 29А, помещ 3/Н</t>
        </is>
      </c>
      <c r="I247" t="inlineStr">
        <is>
          <t>11 05 22 12:00</t>
        </is>
      </c>
      <c r="J247" t="inlineStr">
        <is>
          <t xml:space="preserve">77:03:0005007:4939, </t>
        </is>
      </c>
      <c r="L247" t="inlineStr">
        <is>
          <t>PP</t>
        </is>
      </c>
      <c r="M247" t="inlineStr">
        <is>
          <t>М</t>
        </is>
      </c>
      <c r="N247" s="2">
        <f>HYPERLINK("https://yandex.ru/maps/?&amp;text=55.795753, 37.790104", "55.795753, 37.790104")</f>
        <v/>
      </c>
      <c r="O247" t="n">
        <v>9270</v>
      </c>
      <c r="P247" s="7" t="n">
        <v>9.130000000000001</v>
      </c>
      <c r="R247" t="n">
        <v>7570</v>
      </c>
      <c r="S247" s="8" t="n">
        <v>11.18</v>
      </c>
    </row>
    <row r="248">
      <c r="A248" s="4" t="n">
        <v>250</v>
      </c>
      <c r="B248" t="inlineStr">
        <is>
          <t>78</t>
        </is>
      </c>
      <c r="C248" s="1" t="n">
        <v>13</v>
      </c>
      <c r="D248" s="2">
        <f>HYPERLINK("https://torgi.gov.ru/new/public/lots/lot/21000002210000000298_1/(lotInfo:info)", "21000002210000000298_1")</f>
        <v/>
      </c>
      <c r="E248" t="inlineStr">
        <is>
          <t>Нежилое помещение, расположенное по адресу: Санкт-Петербург,, литера А, пом. 17-Н, назначение: нежилое помещение, этаж № 1</t>
        </is>
      </c>
      <c r="F248" s="3" t="n">
        <v>159230.7692307692</v>
      </c>
      <c r="G248" s="3" t="n">
        <v>2070000</v>
      </c>
      <c r="H248" t="inlineStr">
        <is>
          <t>г Санкт-Петербург, ул Мясная, д 19-21 литера А, помещ 17-Н</t>
        </is>
      </c>
      <c r="I248" t="inlineStr">
        <is>
          <t>11 05 22 20:00</t>
        </is>
      </c>
      <c r="J248" t="inlineStr">
        <is>
          <t>78:32:0001077:1223</t>
        </is>
      </c>
      <c r="L248" t="inlineStr">
        <is>
          <t>EA</t>
        </is>
      </c>
      <c r="M248" t="inlineStr">
        <is>
          <t>М</t>
        </is>
      </c>
      <c r="N248" s="2">
        <f>HYPERLINK("https://yandex.ru/maps/?&amp;text=59.918751, 30.280825", "59.918751, 30.280825")</f>
        <v/>
      </c>
      <c r="O248" t="n">
        <v>15227</v>
      </c>
      <c r="P248" s="7" t="n">
        <v>10.46</v>
      </c>
      <c r="R248" t="n">
        <v>15227</v>
      </c>
      <c r="S248" s="8" t="n">
        <v>10.46</v>
      </c>
    </row>
    <row r="249">
      <c r="A249" s="4" t="n">
        <v>251</v>
      </c>
      <c r="B249" t="inlineStr">
        <is>
          <t>77</t>
        </is>
      </c>
      <c r="C249" s="1" t="n">
        <v>59.9</v>
      </c>
      <c r="D249" s="2">
        <f>HYPERLINK("https://torgi.gov.ru/new/public/lots/lot/21000005000000000820_1/(lotInfo:info)", "21000005000000000820_1")</f>
        <v/>
      </c>
      <c r="E249" t="inlineStr">
        <is>
          <t>Продажа имущества, находящегося в собственности города Москвы, нежилое помещение по адресу:., Цокольный этаж № 0</t>
        </is>
      </c>
      <c r="F249" s="3" t="n">
        <v>88743.73956594324</v>
      </c>
      <c r="G249" s="3" t="n">
        <v>5315750</v>
      </c>
      <c r="H249" t="inlineStr">
        <is>
          <t>г Москва, ул 6-я Парковая, д 29А, помещ 2/Н</t>
        </is>
      </c>
      <c r="I249" t="inlineStr">
        <is>
          <t>11 05 22 12:00</t>
        </is>
      </c>
      <c r="J249" t="inlineStr">
        <is>
          <t xml:space="preserve">77:03:0005007:4938, </t>
        </is>
      </c>
      <c r="L249" t="inlineStr">
        <is>
          <t>PP</t>
        </is>
      </c>
      <c r="M249" t="inlineStr">
        <is>
          <t>М</t>
        </is>
      </c>
      <c r="N249" s="2">
        <f>HYPERLINK("https://yandex.ru/maps/?&amp;text=55.795753, 37.790104", "55.795753, 37.790104")</f>
        <v/>
      </c>
      <c r="O249" t="n">
        <v>9270</v>
      </c>
      <c r="P249" s="7" t="n">
        <v>9.57</v>
      </c>
      <c r="R249" t="n">
        <v>7570</v>
      </c>
      <c r="S249" s="8" t="n">
        <v>11.72</v>
      </c>
    </row>
    <row r="250">
      <c r="A250" s="4" t="n">
        <v>252</v>
      </c>
      <c r="B250" t="inlineStr">
        <is>
          <t>77</t>
        </is>
      </c>
      <c r="C250" s="1" t="n">
        <v>398.5</v>
      </c>
      <c r="D250" s="2">
        <f>HYPERLINK("https://torgi.gov.ru/new/public/lots/lot/21000005000000000819_1/(lotInfo:info)", "21000005000000000819_1")</f>
        <v/>
      </c>
      <c r="E250" t="inlineStr">
        <is>
          <t>Продажа имущества, находящегося в собственности города Москвы, нежилое помещение по адресу:., Цокольный этаж № 0</t>
        </is>
      </c>
      <c r="F250" s="3" t="n">
        <v>22547.05144291092</v>
      </c>
      <c r="G250" s="3" t="n">
        <v>8985000</v>
      </c>
      <c r="H250" t="inlineStr">
        <is>
          <t>г Москва, ул Парковая 3-я, д 38</t>
        </is>
      </c>
      <c r="I250" t="inlineStr">
        <is>
          <t>11 05 22 12:00</t>
        </is>
      </c>
      <c r="J250" t="inlineStr">
        <is>
          <t xml:space="preserve">77:03:0005006:6292, </t>
        </is>
      </c>
      <c r="L250" t="inlineStr">
        <is>
          <t>PP</t>
        </is>
      </c>
      <c r="M250" t="inlineStr">
        <is>
          <t>М</t>
        </is>
      </c>
      <c r="N250" s="2">
        <f>HYPERLINK("https://yandex.ru/maps/?&amp;text=55.8018915, 37.782743", "55.8018915, 37.782743")</f>
        <v/>
      </c>
      <c r="O250" t="n">
        <v>7183</v>
      </c>
      <c r="P250" s="7" t="n">
        <v>3.14</v>
      </c>
      <c r="R250" t="n">
        <v>7183</v>
      </c>
      <c r="S250" s="8" t="n">
        <v>3.14</v>
      </c>
    </row>
    <row r="251">
      <c r="A251" s="4" t="n">
        <v>253</v>
      </c>
      <c r="B251" t="inlineStr">
        <is>
          <t>78</t>
        </is>
      </c>
      <c r="C251" s="1" t="n">
        <v>20.4</v>
      </c>
      <c r="D251" s="2">
        <f>HYPERLINK("https://torgi.gov.ru/new/public/lots/lot/21000002210000000296_1/(lotInfo:info)", "21000002210000000296_1")</f>
        <v/>
      </c>
      <c r="E251" t="inlineStr">
        <is>
          <t>Нежилое помещение, расположенное по адресу: Санкт-Петербург, Петергоф,, лит. Б, пом. 1-Н., назначение: нежилое, этаж № 1(далее Объект 1); пом. 2-Н, назначение: нежилое, этаж № 1, № 2(далее Объект 2).</t>
        </is>
      </c>
      <c r="F251" s="3" t="n">
        <v>175686.2745098039</v>
      </c>
      <c r="G251" s="3" t="n">
        <v>3584000</v>
      </c>
      <c r="H251" t="inlineStr">
        <is>
          <t>г Москва, ул Прудовая, д 4-4А стр 3</t>
        </is>
      </c>
      <c r="I251" t="inlineStr">
        <is>
          <t>11 05 22 20:00</t>
        </is>
      </c>
      <c r="J251" t="inlineStr">
        <is>
          <t xml:space="preserve">78:40:0019218:1283 </t>
        </is>
      </c>
      <c r="L251" t="inlineStr">
        <is>
          <t>EA</t>
        </is>
      </c>
      <c r="M251" t="inlineStr">
        <is>
          <t>М</t>
        </is>
      </c>
      <c r="N251" s="2">
        <f>HYPERLINK("https://yandex.ru/maps/?&amp;text=55.673315, 37.4112134", "55.673315, 37.4112134")</f>
        <v/>
      </c>
      <c r="O251" t="n">
        <v>801</v>
      </c>
      <c r="P251" s="7" t="n">
        <v>219.33</v>
      </c>
      <c r="R251" t="n">
        <v>2487</v>
      </c>
      <c r="S251" s="8" t="n">
        <v>70.64</v>
      </c>
    </row>
    <row r="252">
      <c r="A252" s="4" t="n">
        <v>254</v>
      </c>
      <c r="B252" t="inlineStr">
        <is>
          <t>69</t>
        </is>
      </c>
      <c r="C252" s="1" t="n">
        <v>71.5</v>
      </c>
      <c r="D252" s="2">
        <f>HYPERLINK("https://torgi.gov.ru/new/public/lots/lot/21000014400000000005_10/(lotInfo:info)", "21000014400000000005_10")</f>
        <v/>
      </c>
      <c r="E252" t="inlineStr">
        <is>
          <t>Нежилое помещение на первом этаже пятиэтажного жилого дома</t>
        </is>
      </c>
      <c r="F252" s="3" t="n">
        <v>31487.4</v>
      </c>
      <c r="G252" s="3" t="n">
        <v>2251349.1</v>
      </c>
      <c r="H252" t="inlineStr">
        <is>
          <t>г Тверь, ул Учительская, д 13/34</t>
        </is>
      </c>
      <c r="I252" t="inlineStr">
        <is>
          <t>19 05 22 14:00</t>
        </is>
      </c>
      <c r="J252" t="inlineStr">
        <is>
          <t>69:40:0400020:61</t>
        </is>
      </c>
      <c r="L252" t="inlineStr">
        <is>
          <t>EA</t>
        </is>
      </c>
      <c r="M252" t="inlineStr">
        <is>
          <t>М</t>
        </is>
      </c>
      <c r="N252" s="2">
        <f>HYPERLINK("https://yandex.ru/maps/?&amp;text=56.860029, 35.886142", "56.860029, 35.886142")</f>
        <v/>
      </c>
      <c r="O252" t="n">
        <v>3327</v>
      </c>
      <c r="P252" s="7" t="n">
        <v>9.460000000000001</v>
      </c>
      <c r="R252" t="n">
        <v>3327</v>
      </c>
      <c r="S252" s="8" t="n">
        <v>9.460000000000001</v>
      </c>
    </row>
    <row r="253">
      <c r="A253" s="4" t="n">
        <v>255</v>
      </c>
      <c r="B253" t="inlineStr">
        <is>
          <t>69</t>
        </is>
      </c>
      <c r="C253" s="1" t="n">
        <v>33.7</v>
      </c>
      <c r="D253" s="2">
        <f>HYPERLINK("https://torgi.gov.ru/new/public/lots/lot/21000014400000000005_5/(lotInfo:info)", "21000014400000000005_5")</f>
        <v/>
      </c>
      <c r="E253" t="inlineStr">
        <is>
          <t>Нежилое помещение на втором этаже пятиэтажного жилого дома</t>
        </is>
      </c>
      <c r="F253" s="3" t="n">
        <v>17431.9881305638</v>
      </c>
      <c r="G253" s="3" t="n">
        <v>587458</v>
      </c>
      <c r="H253" t="inlineStr">
        <is>
          <t>г Тверь, ул Орджоникидзе, д 25б</t>
        </is>
      </c>
      <c r="I253" t="inlineStr">
        <is>
          <t>19 05 22 14:00</t>
        </is>
      </c>
      <c r="J253" t="inlineStr">
        <is>
          <t>69:40:0200022:217</t>
        </is>
      </c>
      <c r="L253" t="inlineStr">
        <is>
          <t>EA</t>
        </is>
      </c>
      <c r="M253" t="inlineStr">
        <is>
          <t>М</t>
        </is>
      </c>
      <c r="N253" s="2">
        <f>HYPERLINK("https://yandex.ru/maps/?&amp;text=56.839527, 35.93424", "56.839527, 35.93424")</f>
        <v/>
      </c>
      <c r="O253" t="n">
        <v>2897</v>
      </c>
      <c r="P253" s="7" t="n">
        <v>6.02</v>
      </c>
      <c r="R253" t="n">
        <v>3056</v>
      </c>
      <c r="S253" s="8" t="n">
        <v>5.7</v>
      </c>
    </row>
    <row r="254">
      <c r="A254" s="4" t="n">
        <v>256</v>
      </c>
      <c r="B254" t="inlineStr">
        <is>
          <t>52</t>
        </is>
      </c>
      <c r="C254" s="1" t="n">
        <v>116.8</v>
      </c>
      <c r="D254" s="2">
        <f>HYPERLINK("https://torgi.gov.ru/new/public/lots/lot/21000012580000000003_1/(lotInfo:info)", "21000012580000000003_1")</f>
        <v/>
      </c>
      <c r="E254" t="inlineStr">
        <is>
          <t>нежилое здание хлебопекарни .нежилое производственное здание площадью 483,3 кв.мнежилое здание котельной  Адрес (местоположения ) 606860 Нижегородская обл. Ветлужский район деревня Отлузиха.</t>
        </is>
      </c>
      <c r="F254" s="3" t="n">
        <v>42260.27397260274</v>
      </c>
      <c r="G254" s="3" t="n">
        <v>4936000</v>
      </c>
      <c r="H254" t="inlineStr">
        <is>
          <t>г Тверь, ул Орджоникидзе, д 25б</t>
        </is>
      </c>
      <c r="I254" t="inlineStr">
        <is>
          <t>19 04 22 09:00</t>
        </is>
      </c>
      <c r="L254" t="inlineStr">
        <is>
          <t>EA</t>
        </is>
      </c>
      <c r="M254" t="inlineStr">
        <is>
          <t>М</t>
        </is>
      </c>
      <c r="N254" s="2">
        <f>HYPERLINK("https://yandex.ru/maps/?&amp;text=56.839527, 35.93424", "56.839527, 35.93424")</f>
        <v/>
      </c>
      <c r="O254" t="n">
        <v>2897</v>
      </c>
      <c r="P254" s="7" t="n">
        <v>14.59</v>
      </c>
      <c r="R254" t="n">
        <v>3056</v>
      </c>
      <c r="S254" s="8" t="n">
        <v>13.83</v>
      </c>
    </row>
    <row r="255">
      <c r="A255" s="4" t="n">
        <v>257</v>
      </c>
      <c r="B255" t="inlineStr">
        <is>
          <t>74</t>
        </is>
      </c>
      <c r="C255" s="1" t="n">
        <v>845.2</v>
      </c>
      <c r="D255" s="2">
        <f>HYPERLINK("https://torgi.gov.ru/new/public/lots/lot/21000017550000000021_1/(lotInfo:info)", "21000017550000000021_1")</f>
        <v/>
      </c>
      <c r="E255" t="inlineStr">
        <is>
          <t>Наименование:Нежилое помещение по адресу:, пом. 7Номер РФИ:П13770007468Площадь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      </is>
      </c>
      <c r="F255" s="3" t="n">
        <v>2638.428774254614</v>
      </c>
      <c r="G255" s="3" t="n">
        <v>2230000</v>
      </c>
      <c r="H255" t="inlineStr">
        <is>
          <t>г Челябинск, ул Сормовская, д 15</t>
        </is>
      </c>
      <c r="I255" t="inlineStr">
        <is>
          <t>19 04 22 13:00</t>
        </is>
      </c>
      <c r="J255" t="inlineStr">
        <is>
          <t>74:36:0609012:456</t>
        </is>
      </c>
      <c r="L255" t="inlineStr">
        <is>
          <t>BOC</t>
        </is>
      </c>
      <c r="M255" t="inlineStr">
        <is>
          <t>М</t>
        </is>
      </c>
      <c r="N255" s="2">
        <f>HYPERLINK("https://yandex.ru/maps/?&amp;text=55.19282, 61.443607", "55.19282, 61.443607")</f>
        <v/>
      </c>
      <c r="O255" t="n">
        <v>4681</v>
      </c>
      <c r="P255" s="7" t="n">
        <v>0.5600000000000001</v>
      </c>
      <c r="R255" t="n">
        <v>4097</v>
      </c>
      <c r="S255" s="8" t="n">
        <v>0.64</v>
      </c>
    </row>
    <row r="256">
      <c r="A256" s="4" t="n">
        <v>258</v>
      </c>
      <c r="B256" t="inlineStr">
        <is>
          <t>66</t>
        </is>
      </c>
      <c r="C256" s="1" t="n">
        <v>134.7</v>
      </c>
      <c r="D256" s="2">
        <f>HYPERLINK("https://torgi.gov.ru/new/public/lots/lot/22000034760000000031_1/(lotInfo:info)", "22000034760000000031_1")</f>
        <v/>
      </c>
      <c r="E256" t="inlineStr">
        <is>
          <t>В соответствии с Извещением.</t>
        </is>
      </c>
      <c r="F256" s="3" t="n">
        <v>46645.87973273943</v>
      </c>
      <c r="G256" s="3" t="n">
        <v>6283200</v>
      </c>
      <c r="H256" t="inlineStr">
        <is>
          <t xml:space="preserve"> Свердловская область, г. Екатеринбург, ул. Набережная рабочей молодежи, д. 51</t>
        </is>
      </c>
      <c r="I256" t="inlineStr">
        <is>
          <t>06 06 22 14:30</t>
        </is>
      </c>
      <c r="J256" t="inlineStr">
        <is>
          <t>66:41:0303004:230</t>
        </is>
      </c>
      <c r="L256" t="inlineStr">
        <is>
          <t>EA</t>
        </is>
      </c>
      <c r="M256" t="inlineStr">
        <is>
          <t>М</t>
        </is>
      </c>
      <c r="N256" s="2" t="inlineStr">
        <is>
          <t>56.846258, 60.582544</t>
        </is>
      </c>
      <c r="O256" t="n">
        <v>4180</v>
      </c>
      <c r="P256" s="7" t="n">
        <v>11.16</v>
      </c>
      <c r="R256" t="n">
        <v>4180</v>
      </c>
      <c r="S256" s="8" t="n">
        <v>11.16</v>
      </c>
    </row>
    <row r="257">
      <c r="A257" s="4" t="n">
        <v>259</v>
      </c>
      <c r="B257" t="inlineStr">
        <is>
          <t>78</t>
        </is>
      </c>
      <c r="C257" s="1" t="n">
        <v>86.8</v>
      </c>
      <c r="D257" s="2">
        <f>HYPERLINK("https://torgi.gov.ru/new/public/lots/lot/21000002210000000274_1/(lotInfo:info)", "21000002210000000274_1")</f>
        <v/>
      </c>
      <c r="E257" t="inlineStr">
        <is>
          <t>Нежилое помещение, расположенное по адресу: Санкт-Петербург,, литера А, пом. 2-Н., назначение: нежилое, этаж: цокольный</t>
        </is>
      </c>
      <c r="F257" s="3" t="n">
        <v>99078.34101382489</v>
      </c>
      <c r="G257" s="3" t="n">
        <v>8600000</v>
      </c>
      <c r="H257" t="inlineStr">
        <is>
          <t>г Санкт-Петербург, наб Реки Фонтанки, д 189 литера А, помещ 2-Н</t>
        </is>
      </c>
      <c r="I257" t="inlineStr">
        <is>
          <t>20 04 22 20:00</t>
        </is>
      </c>
      <c r="J257" t="inlineStr">
        <is>
          <t>78:32:0001074:1432</t>
        </is>
      </c>
      <c r="L257" t="inlineStr">
        <is>
          <t>EA</t>
        </is>
      </c>
      <c r="M257" t="inlineStr">
        <is>
          <t>М</t>
        </is>
      </c>
      <c r="N257" s="2">
        <f>HYPERLINK("https://yandex.ru/maps/?&amp;text=59.916649, 30.286098", "59.916649, 30.286098")</f>
        <v/>
      </c>
      <c r="O257" t="n">
        <v>5515</v>
      </c>
      <c r="P257" s="7" t="n">
        <v>17.97</v>
      </c>
      <c r="R257" t="n">
        <v>8455</v>
      </c>
      <c r="S257" s="8" t="n">
        <v>11.72</v>
      </c>
    </row>
    <row r="258">
      <c r="A258" s="4" t="n">
        <v>260</v>
      </c>
      <c r="B258" t="inlineStr">
        <is>
          <t>78</t>
        </is>
      </c>
      <c r="C258" s="1" t="n">
        <v>19.5</v>
      </c>
      <c r="D258" s="2">
        <f>HYPERLINK("https://torgi.gov.ru/new/public/lots/lot/21000002210000000273_1/(lotInfo:info)", "21000002210000000273_1")</f>
        <v/>
      </c>
      <c r="E258" t="inlineStr">
        <is>
          <t>Нежилое помещение, расположенное по адресу: Санкт-Петербург,, литера А, пом. 18-Н, назначение: нежилое помещение, наименование: нежилое помещение, этаж №1</t>
        </is>
      </c>
      <c r="F258" s="3" t="n">
        <v>209538.4615384615</v>
      </c>
      <c r="G258" s="3" t="n">
        <v>4086000</v>
      </c>
      <c r="H258" t="inlineStr">
        <is>
          <t>г Санкт-Петербург, ул Таллинская, д 12/18 литера А, помещ 18-Н</t>
        </is>
      </c>
      <c r="I258" t="inlineStr">
        <is>
          <t>20 04 22 20:00</t>
        </is>
      </c>
      <c r="J258" t="inlineStr">
        <is>
          <t>78:11:0006025:4808</t>
        </is>
      </c>
      <c r="L258" t="inlineStr">
        <is>
          <t>EA</t>
        </is>
      </c>
      <c r="M258" t="inlineStr">
        <is>
          <t>М</t>
        </is>
      </c>
      <c r="N258" s="2">
        <f>HYPERLINK("https://yandex.ru/maps/?&amp;text=59.923836, 30.412355", "59.923836, 30.412355")</f>
        <v/>
      </c>
      <c r="O258" t="n">
        <v>6430</v>
      </c>
      <c r="P258" s="7" t="n">
        <v>32.59</v>
      </c>
      <c r="R258" t="n">
        <v>5746</v>
      </c>
      <c r="S258" s="8" t="n">
        <v>36.47</v>
      </c>
    </row>
    <row r="259">
      <c r="A259" s="4" t="n">
        <v>261</v>
      </c>
      <c r="B259" t="inlineStr">
        <is>
          <t>77</t>
        </is>
      </c>
      <c r="C259" s="1" t="n">
        <v>35.3</v>
      </c>
      <c r="D259" s="2">
        <f>HYPERLINK("https://torgi.gov.ru/new/public/lots/lot/21000005000000000826_1/(lotInfo:info)", "21000005000000000826_1")</f>
        <v/>
      </c>
      <c r="E259" t="inlineStr">
        <is>
          <t>Продажа имущества, находящегося в собственности города Москвы, нежилое помещение по адресу: ., Цокольный этаж № 0.</t>
        </is>
      </c>
      <c r="F259" s="3" t="n">
        <v>194260.6232294618</v>
      </c>
      <c r="G259" s="3" t="n">
        <v>6857400</v>
      </c>
      <c r="H259" t="inlineStr">
        <is>
          <t>г Москва, ул Шарикоподшипниковская, д 9, помещ 17Ц</t>
        </is>
      </c>
      <c r="I259" t="inlineStr">
        <is>
          <t>11 05 22 12:00</t>
        </is>
      </c>
      <c r="J259" t="inlineStr">
        <is>
          <t>77:04:0001018:10161</t>
        </is>
      </c>
      <c r="L259" t="inlineStr">
        <is>
          <t>EA</t>
        </is>
      </c>
      <c r="M259" t="inlineStr">
        <is>
          <t>М</t>
        </is>
      </c>
      <c r="N259" s="2">
        <f>HYPERLINK("https://yandex.ru/maps/?&amp;text=55.721503, 37.672334", "55.721503, 37.672334")</f>
        <v/>
      </c>
      <c r="O259" t="n">
        <v>12326</v>
      </c>
      <c r="P259" s="7" t="n">
        <v>15.76</v>
      </c>
      <c r="R259" t="n">
        <v>12326</v>
      </c>
      <c r="S259" s="8" t="n">
        <v>15.76</v>
      </c>
    </row>
    <row r="260">
      <c r="A260" s="4" t="n">
        <v>262</v>
      </c>
      <c r="B260" t="inlineStr">
        <is>
          <t>78</t>
        </is>
      </c>
      <c r="C260" s="1" t="n">
        <v>14</v>
      </c>
      <c r="D260" s="2">
        <f>HYPERLINK("https://torgi.gov.ru/new/public/lots/lot/21000002210000000271_1/(lotInfo:info)", "21000002210000000271_1")</f>
        <v/>
      </c>
      <c r="E260" t="inlineStr">
        <is>
          <t>Нежилое помещение, расположенное по адресу: Санкт-Петербург, Свердловская набережная, д. 60, литера А, пом. 7-Н, назначение: нежилое помещение, наименование: нежилое помещение, этаж: цокольный</t>
        </is>
      </c>
      <c r="F260" s="3" t="n">
        <v>77142.85714285714</v>
      </c>
      <c r="G260" s="3" t="n">
        <v>1080000</v>
      </c>
      <c r="H260" t="inlineStr">
        <is>
          <t>г Санкт-Петербург, Свердловская наб, д 60 литера А, помещ 7-Н</t>
        </is>
      </c>
      <c r="I260" t="inlineStr">
        <is>
          <t>20 04 22 20:00</t>
        </is>
      </c>
      <c r="J260" t="inlineStr">
        <is>
          <t>78:11:0006068:4755</t>
        </is>
      </c>
      <c r="L260" t="inlineStr">
        <is>
          <t>EA</t>
        </is>
      </c>
      <c r="M260" t="inlineStr">
        <is>
          <t>М</t>
        </is>
      </c>
      <c r="N260" s="2">
        <f>HYPERLINK("https://yandex.ru/maps/?&amp;text=59.954502, 30.409113", "59.954502, 30.409113")</f>
        <v/>
      </c>
      <c r="O260" t="n">
        <v>6233</v>
      </c>
      <c r="P260" s="7" t="n">
        <v>12.38</v>
      </c>
      <c r="R260" t="n">
        <v>6233</v>
      </c>
      <c r="S260" s="8" t="n">
        <v>12.38</v>
      </c>
    </row>
    <row r="261">
      <c r="A261" s="4" t="n">
        <v>263</v>
      </c>
      <c r="B261" t="inlineStr">
        <is>
          <t>78</t>
        </is>
      </c>
      <c r="C261" s="1" t="n">
        <v>25.9</v>
      </c>
      <c r="D261" s="2">
        <f>HYPERLINK("https://torgi.gov.ru/new/public/lots/lot/21000002210000000267_1/(lotInfo:info)", "21000002210000000267_1")</f>
        <v/>
      </c>
      <c r="E261" t="inlineStr">
        <is>
          <t>Нежилое помещение, расположенное по адресу: Санкт-Петербург,, литера А, пом. 4-Н, назначение: нежилое, наименование: нежилое помещение, этаж №1</t>
        </is>
      </c>
      <c r="F261" s="3" t="n">
        <v>113822.3938223938</v>
      </c>
      <c r="G261" s="3" t="n">
        <v>2948000</v>
      </c>
      <c r="H261" t="inlineStr">
        <is>
          <t>г Санкт-Петербург, ул Конторская, д 14 литера А, помещ 4-Н</t>
        </is>
      </c>
      <c r="I261" t="inlineStr">
        <is>
          <t>20 04 22 20:00</t>
        </is>
      </c>
      <c r="J261" t="inlineStr">
        <is>
          <t>78:11:0006065:3341</t>
        </is>
      </c>
      <c r="L261" t="inlineStr">
        <is>
          <t>EA</t>
        </is>
      </c>
      <c r="M261" t="inlineStr">
        <is>
          <t>М</t>
        </is>
      </c>
      <c r="N261" s="2">
        <f>HYPERLINK("https://yandex.ru/maps/?&amp;text=59.947167, 30.412132", "59.947167, 30.412132")</f>
        <v/>
      </c>
      <c r="O261" t="n">
        <v>8155</v>
      </c>
      <c r="P261" s="7" t="n">
        <v>13.96</v>
      </c>
      <c r="R261" t="n">
        <v>8155</v>
      </c>
      <c r="S261" s="8" t="n">
        <v>13.96</v>
      </c>
    </row>
    <row r="262">
      <c r="A262" s="4" t="n">
        <v>264</v>
      </c>
      <c r="B262" t="inlineStr">
        <is>
          <t>78</t>
        </is>
      </c>
      <c r="C262" s="1" t="n">
        <v>130.5</v>
      </c>
      <c r="D262" s="2">
        <f>HYPERLINK("https://torgi.gov.ru/new/public/lots/lot/21000002210000000268_1/(lotInfo:info)", "21000002210000000268_1")</f>
        <v/>
      </c>
      <c r="E262" t="inlineStr">
        <is>
          <t>Нежилое помещение, расположенное по адресу: Санкт-Петербург,, литера А, пом. 1-Н, назначение: нежилое помещение, наименование: помещение, этаж №1</t>
        </is>
      </c>
      <c r="F262" s="3" t="n">
        <v>63310.34482758621</v>
      </c>
      <c r="G262" s="3" t="n">
        <v>8262000</v>
      </c>
      <c r="H262" t="inlineStr">
        <is>
          <t>г Санкт-Петербург, ул Ковалёвская, д 14 литера А, помещ 1-Н</t>
        </is>
      </c>
      <c r="I262" t="inlineStr">
        <is>
          <t>20 04 22 20:00</t>
        </is>
      </c>
      <c r="J262" t="inlineStr">
        <is>
          <t>78:11:0613501:1295</t>
        </is>
      </c>
      <c r="L262" t="inlineStr">
        <is>
          <t>EA</t>
        </is>
      </c>
      <c r="M262" t="inlineStr">
        <is>
          <t>М</t>
        </is>
      </c>
      <c r="N262" s="2">
        <f>HYPERLINK("https://yandex.ru/maps/?&amp;text=59.977008, 30.508539", "59.977008, 30.508539")</f>
        <v/>
      </c>
      <c r="O262" t="n">
        <v>642</v>
      </c>
      <c r="P262" s="7" t="n">
        <v>98.61</v>
      </c>
      <c r="R262" t="n">
        <v>757</v>
      </c>
      <c r="S262" s="8" t="n">
        <v>83.63</v>
      </c>
    </row>
    <row r="263">
      <c r="A263" s="4" t="n">
        <v>265</v>
      </c>
      <c r="B263" t="inlineStr">
        <is>
          <t>77</t>
        </is>
      </c>
      <c r="C263" s="1" t="n">
        <v>27.5</v>
      </c>
      <c r="D263" s="2">
        <f>HYPERLINK("https://torgi.gov.ru/new/public/lots/lot/21000005000000000752_1/(lotInfo:info)", "21000005000000000752_1")</f>
        <v/>
      </c>
      <c r="E263" t="inlineStr">
        <is>
          <t>Продажа имущества, находящегося в собственности города Москвы, нежилое помещение по адресу: (Этаж № 1)</t>
        </is>
      </c>
      <c r="F263" s="3" t="n">
        <v>170267.2727272727</v>
      </c>
      <c r="G263" s="3" t="n">
        <v>4682350</v>
      </c>
      <c r="H263" t="inlineStr">
        <is>
          <t>г Москва, ул Косинская, д 4А</t>
        </is>
      </c>
      <c r="I263" t="inlineStr">
        <is>
          <t>05 05 22 12:00</t>
        </is>
      </c>
      <c r="J263" t="inlineStr">
        <is>
          <t>77:03:0007010:2178</t>
        </is>
      </c>
      <c r="L263" t="inlineStr">
        <is>
          <t>EA</t>
        </is>
      </c>
      <c r="M263" t="inlineStr">
        <is>
          <t>М</t>
        </is>
      </c>
      <c r="N263" s="2">
        <f>HYPERLINK("https://yandex.ru/maps/?&amp;text=55.726923, 37.832117", "55.726923, 37.832117")</f>
        <v/>
      </c>
      <c r="O263" t="n">
        <v>8571</v>
      </c>
      <c r="P263" s="7" t="n">
        <v>19.87</v>
      </c>
      <c r="R263" t="n">
        <v>11298</v>
      </c>
      <c r="S263" s="8" t="n">
        <v>15.07</v>
      </c>
    </row>
    <row r="264">
      <c r="A264" s="4" t="n">
        <v>266</v>
      </c>
      <c r="B264" t="inlineStr">
        <is>
          <t>33</t>
        </is>
      </c>
      <c r="C264" s="1" t="n">
        <v>758.4</v>
      </c>
      <c r="D264" s="2">
        <f>HYPERLINK("https://torgi.gov.ru/new/public/lots/lot/21000001470000000002_1/(lotInfo:info)", "21000001470000000002_1")</f>
        <v/>
      </c>
      <c r="E264" t="inlineStr">
        <is>
          <t>Представляет собой нежилое помещение с отдельным входом в нежилом трехэтажном здании, расположенное на 1,2 и 3 этажах здания и в надстроенном этаже.оснащено системами отопления, водоснабжения, электроснабжения (в настоящее время отключены</t>
        </is>
      </c>
      <c r="F264" s="3" t="n">
        <v>2640.427215189874</v>
      </c>
      <c r="G264" s="3" t="n">
        <v>2002500</v>
      </c>
      <c r="H264" t="inlineStr">
        <is>
          <t>Владимирская обл, г Кольчугино, ул Ленина, д 15</t>
        </is>
      </c>
      <c r="I264" t="inlineStr">
        <is>
          <t>18 04 22 14:15</t>
        </is>
      </c>
      <c r="J264" t="inlineStr">
        <is>
          <t xml:space="preserve">33:18:000538:2266, </t>
        </is>
      </c>
      <c r="L264" t="inlineStr">
        <is>
          <t>PP</t>
        </is>
      </c>
      <c r="M264" t="inlineStr">
        <is>
          <t>М</t>
        </is>
      </c>
      <c r="N264">
        <f>HYPERLINK("https://yandex.ru/maps/?&amp;text=56.29895, 39.37774", "56.29895, 39.37774")</f>
        <v/>
      </c>
      <c r="O264" t="n">
        <v>1896</v>
      </c>
      <c r="P264" s="7" t="n">
        <v>1.39</v>
      </c>
      <c r="R264" t="n">
        <v>1377</v>
      </c>
      <c r="S264" s="8" t="n">
        <v>1.92</v>
      </c>
    </row>
    <row r="265">
      <c r="A265" s="4" t="n">
        <v>267</v>
      </c>
      <c r="B265" t="inlineStr">
        <is>
          <t>78</t>
        </is>
      </c>
      <c r="C265" s="1" t="n">
        <v>148.1</v>
      </c>
      <c r="D265" s="2">
        <f>HYPERLINK("https://torgi.gov.ru/new/public/lots/lot/21000002210000000258_1/(lotInfo:info)", "21000002210000000258_1")</f>
        <v/>
      </c>
      <c r="E265" t="inlineStr">
        <is>
          <t>Нежилое помещение, расположенное по адресу: Санкт-Петербург,., наименование: нежилое помещение, назначение: нежилое помещение, этаж: цокольный</t>
        </is>
      </c>
      <c r="F265" s="3" t="n">
        <v>52667.11681296422</v>
      </c>
      <c r="G265" s="3" t="n">
        <v>7800000</v>
      </c>
      <c r="H265" t="inlineStr">
        <is>
          <t>г Санкт-Петербург, Кузнечный пер, д 19-21 литера П, помещ 5-Н</t>
        </is>
      </c>
      <c r="I265" t="inlineStr">
        <is>
          <t>19 04 22 20:00</t>
        </is>
      </c>
      <c r="J265" t="inlineStr">
        <is>
          <t>78:31:0001047:2742</t>
        </is>
      </c>
      <c r="L265" t="inlineStr">
        <is>
          <t>EA</t>
        </is>
      </c>
      <c r="M265" t="inlineStr">
        <is>
          <t>М</t>
        </is>
      </c>
      <c r="N265" s="2">
        <f>HYPERLINK("https://yandex.ru/maps/?&amp;text=59.926535, 30.357173", "59.926535, 30.357173")</f>
        <v/>
      </c>
      <c r="O265" t="n">
        <v>18744</v>
      </c>
      <c r="P265" s="7" t="n">
        <v>2.81</v>
      </c>
      <c r="R265" t="n">
        <v>10406</v>
      </c>
      <c r="S265" s="8" t="n">
        <v>5.06</v>
      </c>
    </row>
    <row r="266">
      <c r="A266" s="4" t="n">
        <v>268</v>
      </c>
      <c r="B266" t="inlineStr">
        <is>
          <t>36</t>
        </is>
      </c>
      <c r="C266" s="1" t="n">
        <v>66.5</v>
      </c>
      <c r="D266" s="2">
        <f>HYPERLINK("https://torgi.gov.ru/new/public/lots/lot/21000031780000000003_1/(lotInfo:info)", "21000031780000000003_1")</f>
        <v/>
      </c>
      <c r="E266" t="inlineStr">
        <is>
          <t>нежилое помещение IV ., расположенного по адресу:. 4,</t>
        </is>
      </c>
      <c r="F266" s="3" t="n">
        <v>9203.007518796992</v>
      </c>
      <c r="G266" s="3" t="n">
        <v>612000</v>
      </c>
      <c r="H266" t="inlineStr">
        <is>
          <t>Воронежская обл, пгт Каменка, ул Ленина, д 4, помещ 4Г</t>
        </is>
      </c>
      <c r="I266" t="inlineStr">
        <is>
          <t>20 04 22 13:00</t>
        </is>
      </c>
      <c r="J266" t="inlineStr">
        <is>
          <t xml:space="preserve">36:11:0100017:78 </t>
        </is>
      </c>
      <c r="L266" t="inlineStr">
        <is>
          <t>BOC</t>
        </is>
      </c>
      <c r="M266" t="inlineStr">
        <is>
          <t>М</t>
        </is>
      </c>
      <c r="N266" s="2">
        <f>HYPERLINK("https://yandex.ru/maps/?&amp;text=50.712498, 39.43391", "50.712498, 39.43391")</f>
        <v/>
      </c>
      <c r="O266" t="n">
        <v>949</v>
      </c>
      <c r="P266" s="7" t="n">
        <v>9.699999999999999</v>
      </c>
      <c r="R266" t="n">
        <v>949</v>
      </c>
      <c r="S266" s="8" t="n">
        <v>9.699999999999999</v>
      </c>
    </row>
    <row r="267">
      <c r="A267" s="4" t="n">
        <v>269</v>
      </c>
      <c r="B267" t="inlineStr">
        <is>
          <t>12</t>
        </is>
      </c>
      <c r="C267" s="1" t="n">
        <v>211.66</v>
      </c>
      <c r="D267" s="2">
        <f>HYPERLINK("https://torgi.gov.ru/new/public/lots/lot/22000065910000000001_1/(lotInfo:info)", "22000065910000000001_1")</f>
        <v/>
      </c>
      <c r="E267" t="inlineStr">
        <is>
          <t>Помещение №2 нежилого зданияназначение помещения- нежилое, местоположение:</t>
        </is>
      </c>
      <c r="F267" s="3" t="n">
        <v>8858.54672588113</v>
      </c>
      <c r="G267" s="3" t="n">
        <v>1875000</v>
      </c>
      <c r="H267" t="inlineStr">
        <is>
          <t>Респ Марий Эл, Медведевский р-н, поселок Новый, ул Сельская, д 1</t>
        </is>
      </c>
      <c r="I267" t="inlineStr">
        <is>
          <t>15 04 22 14:00</t>
        </is>
      </c>
      <c r="J267" t="inlineStr">
        <is>
          <t xml:space="preserve">12:04:0000000:8964, </t>
        </is>
      </c>
      <c r="L267" t="inlineStr">
        <is>
          <t>EA</t>
        </is>
      </c>
      <c r="M267" t="inlineStr">
        <is>
          <t>М</t>
        </is>
      </c>
      <c r="N267" s="2">
        <f>HYPERLINK("https://yandex.ru/maps/?&amp;text=56.671281, 47.824294", "56.671281, 47.824294")</f>
        <v/>
      </c>
      <c r="O267" t="n">
        <v>409</v>
      </c>
      <c r="P267" s="7" t="n">
        <v>21.66</v>
      </c>
      <c r="R267" t="n">
        <v>284</v>
      </c>
      <c r="S267" s="8" t="n">
        <v>31.19</v>
      </c>
    </row>
    <row r="268">
      <c r="A268" s="4" t="n">
        <v>270</v>
      </c>
      <c r="B268" t="inlineStr">
        <is>
          <t>37</t>
        </is>
      </c>
      <c r="C268" s="1" t="n">
        <v>239.1</v>
      </c>
      <c r="D268" s="2">
        <f>HYPERLINK("https://torgi.gov.ru/new/public/lots/lot/21000007300000000003_1/(lotInfo:info)", "21000007300000000003_1")</f>
        <v/>
      </c>
      <c r="E268" t="inlineStr">
        <is>
          <t>Нежилое помещение., этаж № 01, по адресу:,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      </is>
      </c>
      <c r="F268" s="3" t="n">
        <v>18090.33877038896</v>
      </c>
      <c r="G268" s="3" t="n">
        <v>4325400</v>
      </c>
      <c r="H268" t="inlineStr">
        <is>
          <t>Ивановская обл, г Шуя, ул Советская, д 2, помещ 1004</t>
        </is>
      </c>
      <c r="I268" t="inlineStr">
        <is>
          <t>14 04 22 06:00</t>
        </is>
      </c>
      <c r="J268" t="inlineStr">
        <is>
          <t>37:28:030407:29</t>
        </is>
      </c>
      <c r="L268" t="inlineStr">
        <is>
          <t>EA</t>
        </is>
      </c>
      <c r="M268" t="inlineStr">
        <is>
          <t>М</t>
        </is>
      </c>
      <c r="N268" s="2">
        <f>HYPERLINK("https://yandex.ru/maps/?&amp;text=56.850697, 41.369038", "56.850697, 41.369038")</f>
        <v/>
      </c>
      <c r="O268" t="n">
        <v>1171</v>
      </c>
      <c r="P268" s="7" t="n">
        <v>15.45</v>
      </c>
      <c r="R268" t="n">
        <v>1644</v>
      </c>
      <c r="S268" s="8" t="n">
        <v>11</v>
      </c>
    </row>
    <row r="269">
      <c r="A269" s="4" t="n">
        <v>271</v>
      </c>
      <c r="B269" t="inlineStr">
        <is>
          <t>26</t>
        </is>
      </c>
      <c r="C269" s="1" t="n">
        <v>81.5</v>
      </c>
      <c r="D269" s="2">
        <f>HYPERLINK("https://torgi.gov.ru/new/public/lots/lot/21000004820000000003_3/(lotInfo:info)", "21000004820000000003_3")</f>
        <v/>
      </c>
      <c r="E269" t="inlineStr">
        <is>
          <t>Нежилые помещения, цокольный этажг. Пятигорск,.</t>
        </is>
      </c>
      <c r="F269" s="3" t="n">
        <v>14429.44785276074</v>
      </c>
      <c r="G269" s="3" t="n">
        <v>1176000</v>
      </c>
      <c r="H269" t="inlineStr">
        <is>
          <t>Ставропольский край, г Пятигорск, пр-кт Калинина, д 2 к 3</t>
        </is>
      </c>
      <c r="I269" t="inlineStr">
        <is>
          <t>17 04 22 21:00</t>
        </is>
      </c>
      <c r="J269" t="inlineStr">
        <is>
          <t>26:33:130304:852</t>
        </is>
      </c>
      <c r="L269" t="inlineStr">
        <is>
          <t>EA</t>
        </is>
      </c>
      <c r="M269" t="inlineStr">
        <is>
          <t>М</t>
        </is>
      </c>
      <c r="N269" s="2">
        <f>HYPERLINK("https://yandex.ru/maps/?&amp;text=44.057153, 43.066097", "44.057153, 43.066097")</f>
        <v/>
      </c>
      <c r="O269" t="n">
        <v>1538</v>
      </c>
      <c r="P269" s="7" t="n">
        <v>9.380000000000001</v>
      </c>
      <c r="R269" t="n">
        <v>1538</v>
      </c>
      <c r="S269" s="8" t="n">
        <v>9.380000000000001</v>
      </c>
    </row>
    <row r="270">
      <c r="A270" s="4" t="n">
        <v>272</v>
      </c>
      <c r="B270" t="inlineStr">
        <is>
          <t>63</t>
        </is>
      </c>
      <c r="C270" s="1" t="n">
        <v>35.9</v>
      </c>
      <c r="D270" s="2">
        <f>HYPERLINK("https://torgi.gov.ru/new/public/lots/lot/21000014860000000002_2/(lotInfo:info)", "21000014860000000002_2")</f>
        <v/>
      </c>
      <c r="E270" t="inlineStr">
        <is>
          <t>в соответствии с информационным сообщением</t>
        </is>
      </c>
      <c r="F270" s="3" t="n">
        <v>39917.13091922006</v>
      </c>
      <c r="G270" s="3" t="n">
        <v>1433025</v>
      </c>
      <c r="H270" t="inlineStr">
        <is>
          <t>Самарская обл, г Новокуйбышевск, пр-кт Победы, д 50</t>
        </is>
      </c>
      <c r="I270" t="inlineStr">
        <is>
          <t>20 04 22 05:00</t>
        </is>
      </c>
      <c r="L270" t="inlineStr">
        <is>
          <t>EA</t>
        </is>
      </c>
      <c r="M270" t="inlineStr">
        <is>
          <t>М</t>
        </is>
      </c>
      <c r="N270" s="2">
        <f>HYPERLINK("https://yandex.ru/maps/?&amp;text=53.08905, 49.989243", "53.08905, 49.989243")</f>
        <v/>
      </c>
      <c r="O270" t="n">
        <v>2667</v>
      </c>
      <c r="P270" s="7" t="n">
        <v>14.97</v>
      </c>
      <c r="R270" t="n">
        <v>2667</v>
      </c>
      <c r="S270" s="8" t="n">
        <v>14.97</v>
      </c>
    </row>
    <row r="271">
      <c r="A271" s="4" t="n">
        <v>273</v>
      </c>
      <c r="B271" t="inlineStr">
        <is>
          <t>63</t>
        </is>
      </c>
      <c r="C271" s="1" t="n">
        <v>35</v>
      </c>
      <c r="D271" s="2">
        <f>HYPERLINK("https://torgi.gov.ru/new/public/lots/lot/21000014860000000002_1/(lotInfo:info)", "21000014860000000002_1")</f>
        <v/>
      </c>
      <c r="E271" t="inlineStr">
        <is>
          <t>в соответствии с информационным сообщением</t>
        </is>
      </c>
      <c r="F271" s="3" t="n">
        <v>31047</v>
      </c>
      <c r="G271" s="3" t="n">
        <v>1086645</v>
      </c>
      <c r="H271" t="inlineStr">
        <is>
          <t>Самарская обл, г Новокуйбышевск, пр-кт Победы, д 38</t>
        </is>
      </c>
      <c r="I271" t="inlineStr">
        <is>
          <t>20 04 22 05:00</t>
        </is>
      </c>
      <c r="L271" t="inlineStr">
        <is>
          <t>EA</t>
        </is>
      </c>
      <c r="M271" t="inlineStr">
        <is>
          <t>М</t>
        </is>
      </c>
      <c r="N271" s="2">
        <f>HYPERLINK("https://yandex.ru/maps/?&amp;text=53.092045, 49.98071", "53.092045, 49.98071")</f>
        <v/>
      </c>
      <c r="O271" t="n">
        <v>2913</v>
      </c>
      <c r="P271" s="7" t="n">
        <v>10.66</v>
      </c>
      <c r="R271" t="n">
        <v>2469</v>
      </c>
      <c r="S271" s="8" t="n">
        <v>12.57</v>
      </c>
    </row>
    <row r="272">
      <c r="A272" s="4" t="n">
        <v>274</v>
      </c>
      <c r="B272" t="inlineStr">
        <is>
          <t>69</t>
        </is>
      </c>
      <c r="C272" s="1" t="n">
        <v>36.5</v>
      </c>
      <c r="D272" s="2">
        <f>HYPERLINK("https://torgi.gov.ru/new/public/lots/lot/22000038240000000001_1/(lotInfo:info)", "22000038240000000001_1")</f>
        <v/>
      </c>
      <c r="E272" t="inlineStr">
        <is>
          <t>нежилое помещение.расположенное по адресу:</t>
        </is>
      </c>
      <c r="F272" s="3" t="n">
        <v>17260.27397260274</v>
      </c>
      <c r="G272" s="3" t="n">
        <v>630000</v>
      </c>
      <c r="H272" t="inlineStr">
        <is>
          <t>Тверская обл, г Лихославль, Привокзальный пер, д 7, помещ 4</t>
        </is>
      </c>
      <c r="I272" t="inlineStr">
        <is>
          <t>12 04 22 07:00</t>
        </is>
      </c>
      <c r="J272" t="inlineStr">
        <is>
          <t xml:space="preserve">69:19:0070113:479, </t>
        </is>
      </c>
      <c r="L272" t="inlineStr">
        <is>
          <t>EA</t>
        </is>
      </c>
      <c r="M272" t="inlineStr">
        <is>
          <t>М</t>
        </is>
      </c>
      <c r="N272">
        <f>HYPERLINK("https://yandex.ru/maps/?&amp;text=57.124472, 35.459963", "57.124472, 35.459963")</f>
        <v/>
      </c>
      <c r="O272" t="n">
        <v>376</v>
      </c>
      <c r="P272" s="7" t="n">
        <v>45.9</v>
      </c>
      <c r="R272" t="n">
        <v>311</v>
      </c>
      <c r="S272" s="8" t="n">
        <v>55.5</v>
      </c>
    </row>
    <row r="273">
      <c r="A273" s="4" t="n">
        <v>275</v>
      </c>
      <c r="B273" t="inlineStr">
        <is>
          <t>52</t>
        </is>
      </c>
      <c r="C273" s="1" t="n">
        <v>45.1</v>
      </c>
      <c r="D273" s="2">
        <f>HYPERLINK("https://torgi.gov.ru/new/public/lots/lot/21000011320000000030_5/(lotInfo:info)", "21000011320000000030_5")</f>
        <v/>
      </c>
      <c r="E273" t="inlineStr">
        <is>
      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      </is>
      </c>
      <c r="F273" s="3" t="n">
        <v>18847.0066518847</v>
      </c>
      <c r="G273" s="3" t="n">
        <v>850000</v>
      </c>
      <c r="H273" t="inlineStr">
        <is>
          <t>г Нижний Новгород, ул Ульянова, д 34</t>
        </is>
      </c>
      <c r="I273" t="inlineStr">
        <is>
          <t>21 04 22 12:00</t>
        </is>
      </c>
      <c r="L273" t="inlineStr">
        <is>
          <t>PP</t>
        </is>
      </c>
      <c r="M273" t="inlineStr">
        <is>
          <t>М</t>
        </is>
      </c>
      <c r="N273" s="2">
        <f>HYPERLINK("https://yandex.ru/maps/?&amp;text=56.324512, 44.017807", "56.324512, 44.017807")</f>
        <v/>
      </c>
      <c r="O273" t="n">
        <v>5314</v>
      </c>
      <c r="P273" s="7" t="n">
        <v>3.55</v>
      </c>
      <c r="R273" t="n">
        <v>3537</v>
      </c>
      <c r="S273" s="8" t="n">
        <v>5.33</v>
      </c>
    </row>
    <row r="274">
      <c r="A274" s="4" t="n">
        <v>276</v>
      </c>
      <c r="B274" t="inlineStr">
        <is>
          <t>74</t>
        </is>
      </c>
      <c r="C274" s="1" t="n">
        <v>216.7</v>
      </c>
      <c r="D274" s="2">
        <f>HYPERLINK("https://torgi.gov.ru/new/public/lots/lot/21000007680000000007_1/(lotInfo:info)", "21000007680000000007_1")</f>
        <v/>
      </c>
      <c r="E274" t="inlineStr">
        <is>
          <t>В соответствии с приложением № 1 к информационному сообщению</t>
        </is>
      </c>
      <c r="F274" s="3" t="n">
        <v>2781.199815413013</v>
      </c>
      <c r="G274" s="3" t="n">
        <v>602686</v>
      </c>
      <c r="H274" t="inlineStr">
        <is>
          <t xml:space="preserve"> Челябинская область, г. Троицк, ул. 10 квартал, д. 6</t>
        </is>
      </c>
      <c r="I274" t="inlineStr">
        <is>
          <t>12 04 22 12:30</t>
        </is>
      </c>
      <c r="J274" t="inlineStr">
        <is>
          <t>74:35:2700006:2462</t>
        </is>
      </c>
      <c r="L274" t="inlineStr">
        <is>
          <t>EA</t>
        </is>
      </c>
      <c r="M274" t="inlineStr">
        <is>
          <t>М</t>
        </is>
      </c>
      <c r="N274" s="2" t="inlineStr">
        <is>
          <t>54.051450, 61.639637</t>
        </is>
      </c>
      <c r="O274" t="n">
        <v>562</v>
      </c>
      <c r="P274" s="7" t="n">
        <v>4.95</v>
      </c>
      <c r="R274" t="n">
        <v>562</v>
      </c>
      <c r="S274" s="8" t="n">
        <v>4.95</v>
      </c>
    </row>
    <row r="275">
      <c r="A275" s="4" t="n">
        <v>277</v>
      </c>
      <c r="B275" t="inlineStr">
        <is>
          <t>86</t>
        </is>
      </c>
      <c r="C275" s="1" t="n">
        <v>519.6</v>
      </c>
      <c r="D275" s="2">
        <f>HYPERLINK("https://torgi.gov.ru/new/public/lots/lot/21000010520000000003_1/(lotInfo:info)", "21000010520000000003_1")</f>
        <v/>
      </c>
      <c r="E275" t="inlineStr">
        <is>
          <t>этажность -2.</t>
        </is>
      </c>
      <c r="F275" s="3" t="n">
        <v>4170.900692840646</v>
      </c>
      <c r="G275" s="3" t="n">
        <v>2167200</v>
      </c>
      <c r="H275" t="inlineStr">
        <is>
          <t>г.Нефтеюганск, мкр-н 6, здание 47, пом. 1</t>
        </is>
      </c>
      <c r="I275" t="inlineStr">
        <is>
          <t>18 04 22 12:30</t>
        </is>
      </c>
      <c r="J275" t="inlineStr">
        <is>
          <t>86:10:0000000:19032</t>
        </is>
      </c>
      <c r="L275" t="inlineStr">
        <is>
          <t>EA</t>
        </is>
      </c>
      <c r="M275" t="inlineStr">
        <is>
          <t>М</t>
        </is>
      </c>
      <c r="N275" t="inlineStr">
        <is>
          <t>61.094214, 72.619260</t>
        </is>
      </c>
      <c r="O275" t="n">
        <v>2335</v>
      </c>
      <c r="P275" s="7" t="n">
        <v>1.79</v>
      </c>
      <c r="R275" t="n">
        <v>2335</v>
      </c>
      <c r="S275" s="8" t="n">
        <v>1.79</v>
      </c>
    </row>
    <row r="276">
      <c r="A276" s="4" t="n">
        <v>278</v>
      </c>
      <c r="B276" t="inlineStr">
        <is>
          <t>78</t>
        </is>
      </c>
      <c r="C276" s="1" t="n">
        <v>24.7</v>
      </c>
      <c r="D276" s="2">
        <f>HYPERLINK("https://torgi.gov.ru/new/public/lots/lot/21000002210000000236_1/(lotInfo:info)", "21000002210000000236_1")</f>
        <v/>
      </c>
      <c r="E276" t="inlineStr">
        <is>
          <t>Нежилое помещение, расположенное по адресу: Санкт-Петербург,, литера А, пом. 7-Н., назначение: нежилое помещение, этаж №1</t>
        </is>
      </c>
      <c r="F276" s="3" t="n">
        <v>107692.3076923077</v>
      </c>
      <c r="G276" s="3" t="n">
        <v>2660000</v>
      </c>
      <c r="H276" t="inlineStr">
        <is>
          <t>г Санкт-Петербург, ул Большая Подьяческая, д 5 литера А, помещ 7-Н</t>
        </is>
      </c>
      <c r="I276" t="inlineStr">
        <is>
          <t>13 04 22 20:00</t>
        </is>
      </c>
      <c r="J276" t="inlineStr">
        <is>
          <t>78:32:0001239:2288</t>
        </is>
      </c>
      <c r="L276" t="inlineStr">
        <is>
          <t>EA</t>
        </is>
      </c>
      <c r="M276" t="inlineStr">
        <is>
          <t>М</t>
        </is>
      </c>
      <c r="N276" s="2">
        <f>HYPERLINK("https://yandex.ru/maps/?&amp;text=59.925908, 30.305322", "59.925908, 30.305322")</f>
        <v/>
      </c>
      <c r="O276" t="n">
        <v>7754</v>
      </c>
      <c r="P276" s="7" t="n">
        <v>13.89</v>
      </c>
      <c r="R276" t="n">
        <v>9714</v>
      </c>
      <c r="S276" s="8" t="n">
        <v>11.09</v>
      </c>
    </row>
    <row r="277">
      <c r="A277" s="4" t="n">
        <v>279</v>
      </c>
      <c r="B277" t="inlineStr">
        <is>
          <t>54</t>
        </is>
      </c>
      <c r="C277" s="1" t="n">
        <v>293.4</v>
      </c>
      <c r="D277" s="2">
        <f>HYPERLINK("https://torgi.gov.ru/new/public/lots/lot/21000023030000000007_1/(lotInfo:info)", "21000023030000000007_1")</f>
        <v/>
      </c>
      <c r="E277" t="inlineStr">
        <is>
          <t>Помещение., назначение: нежилое помещениерасположенное по адресу:</t>
        </is>
      </c>
      <c r="F277" s="3" t="n">
        <v>11711.99727334697</v>
      </c>
      <c r="G277" s="3" t="n">
        <v>3436300</v>
      </c>
      <c r="H277" t="inlineStr">
        <is>
          <t>г Новосибирск, ул Аэропорт, д 7</t>
        </is>
      </c>
      <c r="I277" t="inlineStr">
        <is>
          <t>15 04 22 05:00</t>
        </is>
      </c>
      <c r="J277" t="inlineStr">
        <is>
          <t xml:space="preserve">54:35:033545:741, </t>
        </is>
      </c>
      <c r="L277" t="inlineStr">
        <is>
          <t>EA</t>
        </is>
      </c>
      <c r="M277" t="inlineStr">
        <is>
          <t>М</t>
        </is>
      </c>
      <c r="N277" s="2">
        <f>HYPERLINK("https://yandex.ru/maps/?&amp;text=55.078267, 82.906919", "55.078267, 82.906919")</f>
        <v/>
      </c>
      <c r="O277" t="n">
        <v>4877</v>
      </c>
      <c r="P277" s="7" t="n">
        <v>2.4</v>
      </c>
      <c r="R277" t="n">
        <v>4339</v>
      </c>
      <c r="S277" s="8" t="n">
        <v>2.7</v>
      </c>
    </row>
    <row r="278">
      <c r="A278" s="4" t="n">
        <v>280</v>
      </c>
      <c r="B278" t="inlineStr">
        <is>
          <t>74</t>
        </is>
      </c>
      <c r="C278" s="1" t="n">
        <v>116.1</v>
      </c>
      <c r="D278" s="2">
        <f>HYPERLINK("https://torgi.gov.ru/new/public/lots/lot/21000007680000000006_1/(lotInfo:info)", "21000007680000000006_1")</f>
        <v/>
      </c>
      <c r="E278" t="inlineStr">
        <is>
          <t>В соответствии с приложением № 1 к информационному сообщению</t>
        </is>
      </c>
      <c r="F278" s="3" t="n">
        <v>5628.914728682171</v>
      </c>
      <c r="G278" s="3" t="n">
        <v>653517</v>
      </c>
      <c r="H278" t="inlineStr">
        <is>
          <t>Челябинская обл, г Троицк, ул им. Овсянникова</t>
        </is>
      </c>
      <c r="I278" t="inlineStr">
        <is>
          <t>11 04 22 12:30</t>
        </is>
      </c>
      <c r="J278" t="inlineStr">
        <is>
          <t xml:space="preserve">74:35:0600002:649, </t>
        </is>
      </c>
      <c r="L278" t="inlineStr">
        <is>
          <t>EA</t>
        </is>
      </c>
      <c r="M278" t="inlineStr">
        <is>
          <t>М</t>
        </is>
      </c>
      <c r="N278" s="2">
        <f>HYPERLINK("https://yandex.ru/maps/?&amp;text=54.090537, 61.591568", "54.090537, 61.591568")</f>
        <v/>
      </c>
      <c r="O278" t="n">
        <v>805</v>
      </c>
      <c r="P278" s="7" t="n">
        <v>6.99</v>
      </c>
      <c r="R278" t="n">
        <v>509</v>
      </c>
      <c r="S278" s="8" t="n">
        <v>11.06</v>
      </c>
    </row>
    <row r="279">
      <c r="A279" s="4" t="n">
        <v>281</v>
      </c>
      <c r="B279" t="inlineStr">
        <is>
          <t>62</t>
        </is>
      </c>
      <c r="C279" s="1" t="n">
        <v>40.1</v>
      </c>
      <c r="D279" s="2">
        <f>HYPERLINK("https://torgi.gov.ru/new/public/lots/lot/21000001570000000011_1/(lotInfo:info)", "21000001570000000011_1")</f>
        <v/>
      </c>
      <c r="E279" t="inlineStr">
        <is>
          <t>нежилые помещения назначение: нежилое помещение, этаж № 1, расположенное по адресу:, пом. Н2 , реестровый номер 24931 и назначение: нежилое помещение., этаж № 1, этаж № 2, расположенное по адресу:, пом. Н3, реестровый номер 278785.</t>
        </is>
      </c>
      <c r="F279" s="3" t="n">
        <v>39346.07905236907</v>
      </c>
      <c r="G279" s="3" t="n">
        <v>1577777.77</v>
      </c>
      <c r="H279" t="inlineStr">
        <is>
          <t>г Рязань, ул Предзаводская, д 10</t>
        </is>
      </c>
      <c r="I279" t="inlineStr">
        <is>
          <t>19 04 22 08:00</t>
        </is>
      </c>
      <c r="J279" t="inlineStr">
        <is>
          <t xml:space="preserve">62:29:0130004:1630, </t>
        </is>
      </c>
      <c r="L279" t="inlineStr">
        <is>
          <t>BOC</t>
        </is>
      </c>
      <c r="M279" t="inlineStr">
        <is>
          <t>М</t>
        </is>
      </c>
      <c r="N279" s="2">
        <f>HYPERLINK("https://yandex.ru/maps/?&amp;text=54.535416, 39.7807", "54.535416, 39.7807")</f>
        <v/>
      </c>
      <c r="O279" t="n">
        <v>1519</v>
      </c>
      <c r="P279" s="7" t="n">
        <v>25.9</v>
      </c>
      <c r="R279" t="n">
        <v>1207</v>
      </c>
      <c r="S279" s="8" t="n">
        <v>32.6</v>
      </c>
    </row>
    <row r="280">
      <c r="A280" s="4" t="n">
        <v>282</v>
      </c>
      <c r="B280" t="inlineStr">
        <is>
          <t>77</t>
        </is>
      </c>
      <c r="C280" s="1" t="n">
        <v>69.40000000000001</v>
      </c>
      <c r="D280" s="2">
        <f>HYPERLINK("https://torgi.gov.ru/new/public/lots/lot/21000005000000000696_1/(lotInfo:info)", "21000005000000000696_1")</f>
        <v/>
      </c>
      <c r="E280" t="inlineStr">
        <is>
          <t>Продажа имущества, находящегося в собственности города Москвы, нежилое помещение по адресу:, этаж № 1</t>
        </is>
      </c>
      <c r="F280" s="3" t="n">
        <v>29243.51585014409</v>
      </c>
      <c r="G280" s="3" t="n">
        <v>2029500</v>
      </c>
      <c r="H280" t="inlineStr">
        <is>
          <t>г Москва, ул Генерала Тюленева, д 41Б</t>
        </is>
      </c>
      <c r="I280" t="inlineStr">
        <is>
          <t>19 04 22 12:00</t>
        </is>
      </c>
      <c r="J280" t="inlineStr">
        <is>
          <t xml:space="preserve">77:06:0007005:14417 </t>
        </is>
      </c>
      <c r="L280" t="inlineStr">
        <is>
          <t>PP</t>
        </is>
      </c>
      <c r="M280" t="inlineStr">
        <is>
          <t>М</t>
        </is>
      </c>
      <c r="N280" s="2">
        <f>HYPERLINK("https://yandex.ru/maps/?&amp;text=55.614296, 37.49481", "55.614296, 37.49481")</f>
        <v/>
      </c>
      <c r="O280" t="n">
        <v>5819</v>
      </c>
      <c r="P280" s="7" t="n">
        <v>5.03</v>
      </c>
      <c r="R280" t="n">
        <v>5819</v>
      </c>
      <c r="S280" s="8" t="n">
        <v>5.03</v>
      </c>
    </row>
    <row r="281">
      <c r="A281" s="4" t="n">
        <v>283</v>
      </c>
      <c r="B281" t="inlineStr">
        <is>
          <t>56</t>
        </is>
      </c>
      <c r="C281" s="1" t="n">
        <v>69.8</v>
      </c>
      <c r="D281" s="2">
        <f>HYPERLINK("https://torgi.gov.ru/new/public/lots/lot/21000028810000000001_1/(lotInfo:info)", "21000028810000000001_1")</f>
        <v/>
      </c>
      <c r="E281" t="inlineStr">
        <is>
          <t>Нежилого помещение .расположенное по адресу:,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      </is>
      </c>
      <c r="F281" s="3" t="n">
        <v>22592.76504297994</v>
      </c>
      <c r="G281" s="3" t="n">
        <v>1576975</v>
      </c>
      <c r="H281" t="inlineStr">
        <is>
          <t>Оренбургская обл, село Ташла, ул Довженко, зд 31А</t>
        </is>
      </c>
      <c r="I281" t="inlineStr">
        <is>
          <t>08 04 22 05:00</t>
        </is>
      </c>
      <c r="J281" t="inlineStr">
        <is>
          <t xml:space="preserve">56:31:1301019:248, </t>
        </is>
      </c>
      <c r="L281" t="inlineStr">
        <is>
          <t>EA</t>
        </is>
      </c>
      <c r="M281" t="inlineStr">
        <is>
          <t>М</t>
        </is>
      </c>
      <c r="N281" s="2">
        <f>HYPERLINK("https://yandex.ru/maps/?&amp;text=51.766443, 52.750637", "51.766443, 52.750637")</f>
        <v/>
      </c>
      <c r="O281" t="n">
        <v>1269</v>
      </c>
      <c r="P281" s="7" t="n">
        <v>17.8</v>
      </c>
      <c r="R281" t="n">
        <v>1939</v>
      </c>
      <c r="S281" s="8" t="n">
        <v>11.65</v>
      </c>
    </row>
    <row r="282">
      <c r="A282" s="4" t="n">
        <v>284</v>
      </c>
      <c r="B282" t="inlineStr">
        <is>
          <t>52</t>
        </is>
      </c>
      <c r="C282" s="1" t="n">
        <v>42.9</v>
      </c>
      <c r="D282" s="2">
        <f>HYPERLINK("https://torgi.gov.ru/new/public/lots/lot/21000009830000000001_1/(lotInfo:info)", "21000009830000000001_1")</f>
        <v/>
      </c>
      <c r="E282" t="inlineStr">
        <is>
          <t>Нежилое помещение,</t>
        </is>
      </c>
      <c r="F282" s="3" t="n">
        <v>25329.83682983683</v>
      </c>
      <c r="G282" s="3" t="n">
        <v>1086650</v>
      </c>
      <c r="H282" t="inlineStr">
        <is>
          <t>Нижегородская обл, Володарский р-н, поселок Мулино</t>
        </is>
      </c>
      <c r="I282" t="inlineStr">
        <is>
          <t>29 04 22 13:00</t>
        </is>
      </c>
      <c r="J282" t="inlineStr">
        <is>
          <t>52:22:0500004:3635</t>
        </is>
      </c>
      <c r="L282" t="inlineStr">
        <is>
          <t>EA</t>
        </is>
      </c>
      <c r="M282" t="inlineStr">
        <is>
          <t>М</t>
        </is>
      </c>
      <c r="N282" s="2">
        <f>HYPERLINK("https://yandex.ru/maps/?&amp;text=56.316579, 42.946711", "56.316579, 42.946711")</f>
        <v/>
      </c>
      <c r="O282" t="n">
        <v>839</v>
      </c>
      <c r="P282" s="7" t="n">
        <v>30.19</v>
      </c>
      <c r="R282" t="n">
        <v>733</v>
      </c>
      <c r="S282" s="8" t="n">
        <v>34.56</v>
      </c>
    </row>
    <row r="283">
      <c r="A283" s="4" t="n">
        <v>285</v>
      </c>
      <c r="B283" t="inlineStr">
        <is>
          <t>68</t>
        </is>
      </c>
      <c r="C283" s="1" t="n">
        <v>467.8</v>
      </c>
      <c r="D283" s="2">
        <f>HYPERLINK("https://torgi.gov.ru/new/public/lots/lot/22000009410000000002_1/(lotInfo:info)", "22000009410000000002_1")</f>
        <v/>
      </c>
      <c r="E283" t="inlineStr">
        <is>
          <t>Продажа муниципального имущества на аукционе в электронной форме: столярная мастерская, назначение: нежилое зданиеи земельный участокрасположенные по адресу:, дом 11Г.</t>
        </is>
      </c>
      <c r="F283" s="3" t="n">
        <v>3743.629756306113</v>
      </c>
      <c r="G283" s="3" t="n">
        <v>1751270</v>
      </c>
      <c r="H283" t="inlineStr">
        <is>
          <t>Тамбовская обл, г Котовск, ул Октябрьская, д 11Г</t>
        </is>
      </c>
      <c r="I283" t="inlineStr">
        <is>
          <t>08 04 22 14:00</t>
        </is>
      </c>
      <c r="J283" t="inlineStr">
        <is>
          <t xml:space="preserve">68:25:0000046:474, </t>
        </is>
      </c>
      <c r="L283" t="inlineStr">
        <is>
          <t>EA</t>
        </is>
      </c>
      <c r="M283" t="inlineStr">
        <is>
          <t>М</t>
        </is>
      </c>
      <c r="N283" s="2">
        <f>HYPERLINK("https://yandex.ru/maps/?&amp;text=52.585243, 41.49728", "52.585243, 41.49728")</f>
        <v/>
      </c>
      <c r="O283" t="n">
        <v>4236</v>
      </c>
      <c r="P283" s="7" t="n">
        <v>0.88</v>
      </c>
      <c r="R283" t="n">
        <v>3345</v>
      </c>
      <c r="S283" s="8" t="n">
        <v>1.12</v>
      </c>
    </row>
    <row r="284">
      <c r="A284" s="4" t="n">
        <v>286</v>
      </c>
      <c r="B284" t="inlineStr">
        <is>
          <t>3</t>
        </is>
      </c>
      <c r="C284" s="1" t="n">
        <v>20.6</v>
      </c>
      <c r="D284" s="2">
        <f>HYPERLINK("https://torgi.gov.ru/new/public/lots/lot/22000016660000000004_5/(lotInfo:info)", "22000016660000000004_5")</f>
        <v/>
      </c>
      <c r="E284" t="inlineStr">
        <is>
          <t>Нежилое помещение № 34, расположенное на 3 этаже многоквартирного дома, по адресу:..</t>
        </is>
      </c>
      <c r="F284" s="3" t="n">
        <v>60514.56310679611</v>
      </c>
      <c r="G284" s="3" t="n">
        <v>1246600</v>
      </c>
      <c r="H284" t="inlineStr">
        <is>
          <t>Респ Бурятия, г Северобайкальск, ул Ленинградская, д 12</t>
        </is>
      </c>
      <c r="I284" t="inlineStr">
        <is>
          <t>12 04 22 06:00</t>
        </is>
      </c>
      <c r="J284" t="inlineStr">
        <is>
          <t>03:23:010560:294</t>
        </is>
      </c>
      <c r="L284" t="inlineStr">
        <is>
          <t>EA</t>
        </is>
      </c>
      <c r="M284" t="inlineStr">
        <is>
          <t>М</t>
        </is>
      </c>
      <c r="N284" s="2">
        <f>HYPERLINK("https://yandex.ru/maps/?&amp;text=55.634132, 109.31769", "55.634132, 109.31769")</f>
        <v/>
      </c>
      <c r="O284" t="n">
        <v>1915</v>
      </c>
      <c r="P284" s="7" t="n">
        <v>31.6</v>
      </c>
      <c r="R284" t="n">
        <v>1971</v>
      </c>
      <c r="S284" s="8" t="n">
        <v>30.7</v>
      </c>
    </row>
    <row r="285">
      <c r="A285" s="4" t="n">
        <v>287</v>
      </c>
      <c r="B285" t="inlineStr">
        <is>
          <t>77</t>
        </is>
      </c>
      <c r="C285" s="1" t="n">
        <v>72.7</v>
      </c>
      <c r="D285" s="2">
        <f>HYPERLINK("https://torgi.gov.ru/new/public/lots/lot/21000005000000000691_1/(lotInfo:info)", "21000005000000000691_1")</f>
        <v/>
      </c>
      <c r="E285" t="inlineStr">
        <is>
          <t>Продажа имущества, находящегося в собственности города Москвы, нежилое помещение по адресу:, этаж № 1</t>
        </is>
      </c>
      <c r="F285" s="3" t="n">
        <v>92654.74552957359</v>
      </c>
      <c r="G285" s="3" t="n">
        <v>6736000</v>
      </c>
      <c r="H285" t="inlineStr">
        <is>
          <t>г Москва, ул Изюмская, д 47 к 4, помещ 1/1</t>
        </is>
      </c>
      <c r="I285" t="inlineStr">
        <is>
          <t>18 04 22 12:00</t>
        </is>
      </c>
      <c r="J285" t="inlineStr">
        <is>
          <t xml:space="preserve">77:06:0012001:9222, </t>
        </is>
      </c>
      <c r="L285" t="inlineStr">
        <is>
          <t>PP</t>
        </is>
      </c>
      <c r="M285" t="inlineStr">
        <is>
          <t>М</t>
        </is>
      </c>
      <c r="N285" s="2">
        <f>HYPERLINK("https://yandex.ru/maps/?&amp;text=55.547204, 37.569459", "55.547204, 37.569459")</f>
        <v/>
      </c>
      <c r="O285" t="n">
        <v>2917</v>
      </c>
      <c r="P285" s="7" t="n">
        <v>31.76</v>
      </c>
      <c r="R285" t="n">
        <v>2253</v>
      </c>
      <c r="S285" s="8" t="n">
        <v>41.13</v>
      </c>
    </row>
    <row r="286">
      <c r="A286" s="4" t="n">
        <v>288</v>
      </c>
      <c r="B286" t="inlineStr">
        <is>
          <t>77</t>
        </is>
      </c>
      <c r="C286" s="1" t="n">
        <v>103.1</v>
      </c>
      <c r="D286" s="2">
        <f>HYPERLINK("https://torgi.gov.ru/new/public/lots/lot/21000005000000000690_1/(lotInfo:info)", "21000005000000000690_1")</f>
        <v/>
      </c>
      <c r="E286" t="inlineStr">
        <is>
          <t>Продажа имущества, находящегося в собственности города Москвы, нежилое помещение по адресу:, цокольный этаж № 0</t>
        </is>
      </c>
      <c r="F286" s="3" t="n">
        <v>41125.12124151309</v>
      </c>
      <c r="G286" s="3" t="n">
        <v>4240000</v>
      </c>
      <c r="H286" t="inlineStr">
        <is>
          <t>г Москва, ул Черкизовская Б., д 22 к 6, помещ 4Ц</t>
        </is>
      </c>
      <c r="I286" t="inlineStr">
        <is>
          <t>18 04 22 12:00</t>
        </is>
      </c>
      <c r="J286" t="inlineStr">
        <is>
          <t xml:space="preserve">77:03:0003016:7508, </t>
        </is>
      </c>
      <c r="L286" t="inlineStr">
        <is>
          <t>PP</t>
        </is>
      </c>
      <c r="M286" t="inlineStr">
        <is>
          <t>М</t>
        </is>
      </c>
      <c r="N286" s="2">
        <f>HYPERLINK("https://yandex.ru/maps/?&amp;text=55.794877, 37.734596", "55.794877, 37.734596")</f>
        <v/>
      </c>
      <c r="O286" t="n">
        <v>7430</v>
      </c>
      <c r="P286" s="7" t="n">
        <v>5.54</v>
      </c>
      <c r="R286" t="n">
        <v>8398</v>
      </c>
      <c r="S286" s="8" t="n">
        <v>4.9</v>
      </c>
    </row>
    <row r="287">
      <c r="A287" s="4" t="n">
        <v>289</v>
      </c>
      <c r="B287" t="inlineStr">
        <is>
          <t>58</t>
        </is>
      </c>
      <c r="C287" s="1" t="n">
        <v>144.7</v>
      </c>
      <c r="D287" s="2">
        <f>HYPERLINK("https://torgi.gov.ru/new/public/lots/lot/22000061470000000001_10/(lotInfo:info)", "22000061470000000001_10")</f>
        <v/>
      </c>
      <c r="E287" t="inlineStr">
        <is>
          <t>Лот №10: Нежилое помещение, расположенное по адресу:. Техническое состояние объекта удовлетворительное.</t>
        </is>
      </c>
      <c r="F287" s="3" t="n">
        <v>11610.22805805114</v>
      </c>
      <c r="G287" s="3" t="n">
        <v>1680000</v>
      </c>
      <c r="H287" t="inlineStr">
        <is>
          <t>Пензенская обл, г Сердобск, ул Гагарина, д 17, помещ 3</t>
        </is>
      </c>
      <c r="I287" t="inlineStr">
        <is>
          <t>08 04 22 14:00</t>
        </is>
      </c>
      <c r="J287" t="inlineStr">
        <is>
          <t>58:32:0020529:157</t>
        </is>
      </c>
      <c r="L287" t="inlineStr">
        <is>
          <t>EA</t>
        </is>
      </c>
      <c r="M287" t="inlineStr">
        <is>
          <t>М</t>
        </is>
      </c>
      <c r="N287" s="2">
        <f>HYPERLINK("https://yandex.ru/maps/?&amp;text=52.460484, 44.205044", "52.460484, 44.205044")</f>
        <v/>
      </c>
      <c r="O287" t="n">
        <v>2817</v>
      </c>
      <c r="P287" s="7" t="n">
        <v>4.12</v>
      </c>
      <c r="R287" t="n">
        <v>2817</v>
      </c>
      <c r="S287" s="8" t="n">
        <v>4.12</v>
      </c>
    </row>
    <row r="288">
      <c r="A288" s="4" t="n">
        <v>290</v>
      </c>
      <c r="B288" t="inlineStr">
        <is>
          <t>10</t>
        </is>
      </c>
      <c r="C288" s="1" t="n">
        <v>94.09999999999999</v>
      </c>
      <c r="D288" s="2">
        <f>HYPERLINK("https://torgi.gov.ru/new/public/lots/lot/22000007320000000008_1/(lotInfo:info)", "22000007320000000008_1")</f>
        <v/>
      </c>
      <c r="E288" t="inlineStr">
        <is>
          <t>нежилые помещения (№ 1, 2, 16, 18, 19, 20, 21, 25 на поэтажном плане)., расположенные на втором этаже здания по адресу:,2,3,16-21,24</t>
        </is>
      </c>
      <c r="F288" s="3" t="n">
        <v>60688.62911795962</v>
      </c>
      <c r="G288" s="3" t="n">
        <v>5710800</v>
      </c>
      <c r="H288" t="inlineStr">
        <is>
          <t>Респ Карелия, г Сортавала, ул Вяйнемяйнена, д 6, помещ 1</t>
        </is>
      </c>
      <c r="I288" t="inlineStr">
        <is>
          <t>11 04 22 07:00</t>
        </is>
      </c>
      <c r="J288" t="inlineStr">
        <is>
          <t xml:space="preserve">10:07:0010121:139, </t>
        </is>
      </c>
      <c r="L288" t="inlineStr">
        <is>
          <t>EA</t>
        </is>
      </c>
      <c r="M288" t="inlineStr">
        <is>
          <t>М</t>
        </is>
      </c>
      <c r="N288" s="2">
        <f>HYPERLINK("https://yandex.ru/maps/?&amp;text=61.701971, 30.690618", "61.701971, 30.690618")</f>
        <v/>
      </c>
      <c r="O288" t="n">
        <v>126</v>
      </c>
      <c r="P288" s="7" t="n">
        <v>481.66</v>
      </c>
      <c r="R288" t="n">
        <v>716</v>
      </c>
      <c r="S288" s="8" t="n">
        <v>84.76000000000001</v>
      </c>
    </row>
    <row r="289">
      <c r="A289" s="4" t="n">
        <v>291</v>
      </c>
      <c r="B289" t="inlineStr">
        <is>
          <t>52</t>
        </is>
      </c>
      <c r="C289" s="1" t="n">
        <v>27</v>
      </c>
      <c r="D289" s="2">
        <f>HYPERLINK("https://torgi.gov.ru/new/public/lots/lot/21000011320000000026_9/(lotInfo:info)", "21000011320000000026_9")</f>
        <v/>
      </c>
      <c r="E289" t="inlineStr">
        <is>
          <t>Нежилое помещение расположено на цокольном этаже одноэтажного жилого дома. Вход совместный с другими пользователями.</t>
        </is>
      </c>
      <c r="F289" s="3" t="n">
        <v>24556.35</v>
      </c>
      <c r="G289" s="3" t="n">
        <v>663021.45</v>
      </c>
      <c r="H289" t="inlineStr">
        <is>
          <t>г Нижний Новгород, ул Канавинская, д 59</t>
        </is>
      </c>
      <c r="I289" t="inlineStr">
        <is>
          <t>07 04 22 12:00</t>
        </is>
      </c>
      <c r="J289" t="inlineStr">
        <is>
          <t xml:space="preserve">52:18:0030080:129, </t>
        </is>
      </c>
      <c r="L289" t="inlineStr">
        <is>
          <t>EA</t>
        </is>
      </c>
      <c r="M289" t="inlineStr">
        <is>
          <t>М</t>
        </is>
      </c>
      <c r="N289" s="2">
        <f>HYPERLINK("https://yandex.ru/maps/?&amp;text=56.317442, 43.948827", "56.317442, 43.948827")</f>
        <v/>
      </c>
      <c r="O289" t="n">
        <v>5540</v>
      </c>
      <c r="P289" s="7" t="n">
        <v>4.43</v>
      </c>
      <c r="R289" t="n">
        <v>3992</v>
      </c>
      <c r="S289" s="8" t="n">
        <v>6.15</v>
      </c>
    </row>
    <row r="290">
      <c r="A290" s="4" t="n">
        <v>292</v>
      </c>
      <c r="B290" t="inlineStr">
        <is>
          <t>63</t>
        </is>
      </c>
      <c r="C290" s="1" t="n">
        <v>19.4</v>
      </c>
      <c r="D290" s="2">
        <f>HYPERLINK("https://torgi.gov.ru/new/public/lots/lot/21000002520000000001_9/(lotInfo:info)", "21000002520000000001_9")</f>
        <v/>
      </c>
      <c r="E290" t="inlineStr">
        <is>
          <t>Нежилое помещение , Этаж № 1, расположенное по адресу:.</t>
        </is>
      </c>
      <c r="F290" s="3" t="n">
        <v>31546.39175257732</v>
      </c>
      <c r="G290" s="3" t="n">
        <v>612000</v>
      </c>
      <c r="H290" t="inlineStr">
        <is>
          <t>г Самара, ул Калинина, д 11</t>
        </is>
      </c>
      <c r="I290" t="inlineStr">
        <is>
          <t>06 04 22 05:00</t>
        </is>
      </c>
      <c r="J290" t="inlineStr">
        <is>
          <t>63:01:0729001:901</t>
        </is>
      </c>
      <c r="L290" t="inlineStr">
        <is>
          <t>EA</t>
        </is>
      </c>
      <c r="M290" t="inlineStr">
        <is>
          <t>М</t>
        </is>
      </c>
      <c r="N290" s="2">
        <f>HYPERLINK("https://yandex.ru/maps/?&amp;text=53.216783, 50.252485", "53.216783, 50.252485")</f>
        <v/>
      </c>
      <c r="O290" t="n">
        <v>4122</v>
      </c>
      <c r="P290" s="7" t="n">
        <v>7.65</v>
      </c>
      <c r="R290" t="n">
        <v>4122</v>
      </c>
      <c r="S290" s="8" t="n">
        <v>7.65</v>
      </c>
    </row>
    <row r="291">
      <c r="A291" s="4" t="n">
        <v>293</v>
      </c>
      <c r="B291" t="inlineStr">
        <is>
          <t>63</t>
        </is>
      </c>
      <c r="C291" s="1" t="n">
        <v>19.5</v>
      </c>
      <c r="D291" s="2">
        <f>HYPERLINK("https://torgi.gov.ru/new/public/lots/lot/21000002520000000001_10/(lotInfo:info)", "21000002520000000001_10")</f>
        <v/>
      </c>
      <c r="E291" t="inlineStr">
        <is>
          <t>Нежилое помещение , Этаж № 1, расположенное по адресу:.</t>
        </is>
      </c>
      <c r="F291" s="3" t="n">
        <v>32000</v>
      </c>
      <c r="G291" s="3" t="n">
        <v>624000</v>
      </c>
      <c r="H291" t="inlineStr">
        <is>
          <t>г Самара, ул Калинина, д 11</t>
        </is>
      </c>
      <c r="I291" t="inlineStr">
        <is>
          <t>06 04 22 05:00</t>
        </is>
      </c>
      <c r="J291" t="inlineStr">
        <is>
          <t>63:01:0729001:902</t>
        </is>
      </c>
      <c r="L291" t="inlineStr">
        <is>
          <t>EA</t>
        </is>
      </c>
      <c r="M291" t="inlineStr">
        <is>
          <t>М</t>
        </is>
      </c>
      <c r="N291" s="2">
        <f>HYPERLINK("https://yandex.ru/maps/?&amp;text=53.216783, 50.252485", "53.216783, 50.252485")</f>
        <v/>
      </c>
      <c r="O291" t="n">
        <v>4122</v>
      </c>
      <c r="P291" s="7" t="n">
        <v>7.76</v>
      </c>
      <c r="R291" t="n">
        <v>4122</v>
      </c>
      <c r="S291" s="8" t="n">
        <v>7.76</v>
      </c>
    </row>
    <row r="292">
      <c r="A292" s="4" t="n">
        <v>294</v>
      </c>
      <c r="B292" t="inlineStr">
        <is>
          <t>63</t>
        </is>
      </c>
      <c r="C292" s="1" t="n">
        <v>127.1</v>
      </c>
      <c r="D292" s="2">
        <f>HYPERLINK("https://torgi.gov.ru/new/public/lots/lot/21000002520000000001_7/(lotInfo:info)", "21000002520000000001_7")</f>
        <v/>
      </c>
      <c r="E292" t="inlineStr">
        <is>
          <t>Нежилое помещение , Цокольный этаж № 1, расположенное по адресу:.</t>
        </is>
      </c>
      <c r="F292" s="3" t="n">
        <v>25180.95987411487</v>
      </c>
      <c r="G292" s="3" t="n">
        <v>3200500</v>
      </c>
      <c r="H292" t="inlineStr">
        <is>
          <t>г Самара, ул Мичурина, д 6</t>
        </is>
      </c>
      <c r="I292" t="inlineStr">
        <is>
          <t>06 04 22 05:00</t>
        </is>
      </c>
      <c r="J292" t="inlineStr">
        <is>
          <t>63:01:0517003:586</t>
        </is>
      </c>
      <c r="L292" t="inlineStr">
        <is>
          <t>EA</t>
        </is>
      </c>
      <c r="M292" t="inlineStr">
        <is>
          <t>М</t>
        </is>
      </c>
      <c r="N292" s="2">
        <f>HYPERLINK("https://yandex.ru/maps/?&amp;text=53.198775, 50.128679", "53.198775, 50.128679")</f>
        <v/>
      </c>
      <c r="O292" t="n">
        <v>5352</v>
      </c>
      <c r="P292" s="7" t="n">
        <v>4.7</v>
      </c>
      <c r="R292" t="n">
        <v>5352</v>
      </c>
      <c r="S292" s="8" t="n">
        <v>4.7</v>
      </c>
    </row>
    <row r="293">
      <c r="A293" s="4" t="n">
        <v>295</v>
      </c>
      <c r="B293" t="inlineStr">
        <is>
          <t>63</t>
        </is>
      </c>
      <c r="C293" s="1" t="n">
        <v>15.1</v>
      </c>
      <c r="D293" s="2">
        <f>HYPERLINK("https://torgi.gov.ru/new/public/lots/lot/21000002520000000001_11/(lotInfo:info)", "21000002520000000001_11")</f>
        <v/>
      </c>
      <c r="E293" t="inlineStr">
        <is>
          <t>Нежилое помещение , Этаж № 1, расположенное по адресу:.</t>
        </is>
      </c>
      <c r="F293" s="3" t="n">
        <v>42781.45695364239</v>
      </c>
      <c r="G293" s="3" t="n">
        <v>646000</v>
      </c>
      <c r="H293" t="inlineStr">
        <is>
          <t>г Самара, ул Ново-Вокзальная, д 277</t>
        </is>
      </c>
      <c r="I293" t="inlineStr">
        <is>
          <t>06 04 22 05:00</t>
        </is>
      </c>
      <c r="J293" t="inlineStr">
        <is>
          <t>63:01:0705003:2960</t>
        </is>
      </c>
      <c r="L293" t="inlineStr">
        <is>
          <t>EA</t>
        </is>
      </c>
      <c r="M293" t="inlineStr">
        <is>
          <t>М</t>
        </is>
      </c>
      <c r="N293" s="2">
        <f>HYPERLINK("https://yandex.ru/maps/?&amp;text=53.249493, 50.2018", "53.249493, 50.2018")</f>
        <v/>
      </c>
      <c r="O293" t="n">
        <v>4933</v>
      </c>
      <c r="P293" s="7" t="n">
        <v>8.67</v>
      </c>
      <c r="R293" t="n">
        <v>4933</v>
      </c>
      <c r="S293" s="8" t="n">
        <v>8.67</v>
      </c>
    </row>
    <row r="294">
      <c r="A294" s="4" t="n">
        <v>296</v>
      </c>
      <c r="B294" t="inlineStr">
        <is>
          <t>63</t>
        </is>
      </c>
      <c r="C294" s="1" t="n">
        <v>29.3</v>
      </c>
      <c r="D294" s="2">
        <f>HYPERLINK("https://torgi.gov.ru/new/public/lots/lot/21000002520000000001_16/(lotInfo:info)", "21000002520000000001_16")</f>
        <v/>
      </c>
      <c r="E294" t="inlineStr">
        <is>
          <t>Нежилое помещение , Этаж № 1, расположенного по адресу:, 1 этаж: комнаты №№ 52-54..</t>
        </is>
      </c>
      <c r="F294" s="3" t="n">
        <v>34641.63822525597</v>
      </c>
      <c r="G294" s="3" t="n">
        <v>1015000</v>
      </c>
      <c r="H294" t="inlineStr">
        <is>
          <t>г Самара, ул Промышленности, д 298</t>
        </is>
      </c>
      <c r="I294" t="inlineStr">
        <is>
          <t>06 04 22 05:00</t>
        </is>
      </c>
      <c r="J294" t="inlineStr">
        <is>
          <t>63:01:0916005:1368</t>
        </is>
      </c>
      <c r="L294" t="inlineStr">
        <is>
          <t>EA</t>
        </is>
      </c>
      <c r="M294" t="inlineStr">
        <is>
          <t>М</t>
        </is>
      </c>
      <c r="N294" s="2">
        <f>HYPERLINK("https://yandex.ru/maps/?&amp;text=53.200808, 50.225966", "53.200808, 50.225966")</f>
        <v/>
      </c>
      <c r="O294" t="n">
        <v>6112</v>
      </c>
      <c r="P294" s="7" t="n">
        <v>5.67</v>
      </c>
      <c r="R294" t="n">
        <v>6112</v>
      </c>
      <c r="S294" s="8" t="n">
        <v>5.67</v>
      </c>
    </row>
    <row r="295">
      <c r="A295" s="4" t="n">
        <v>297</v>
      </c>
      <c r="B295" t="inlineStr">
        <is>
          <t>63</t>
        </is>
      </c>
      <c r="C295" s="1" t="n">
        <v>29.8</v>
      </c>
      <c r="D295" s="2">
        <f>HYPERLINK("https://torgi.gov.ru/new/public/lots/lot/21000002520000000001_12/(lotInfo:info)", "21000002520000000001_12")</f>
        <v/>
      </c>
      <c r="E295" t="inlineStr">
        <is>
          <t>Нежилое помещение , Этаж № 1, расположенное по адресу:</t>
        </is>
      </c>
      <c r="F295" s="3" t="n">
        <v>19463.08724832215</v>
      </c>
      <c r="G295" s="3" t="n">
        <v>580000</v>
      </c>
      <c r="H295" t="inlineStr">
        <is>
          <t>г Самара, ул Теннисная, д 31</t>
        </is>
      </c>
      <c r="I295" t="inlineStr">
        <is>
          <t>06 04 22 05:00</t>
        </is>
      </c>
      <c r="J295" t="inlineStr">
        <is>
          <t>63:01:0734001:2586</t>
        </is>
      </c>
      <c r="L295" t="inlineStr">
        <is>
          <t>EA</t>
        </is>
      </c>
      <c r="M295" t="inlineStr">
        <is>
          <t>М</t>
        </is>
      </c>
      <c r="N295" s="2">
        <f>HYPERLINK("https://yandex.ru/maps/?&amp;text=53.215763, 50.271313", "53.215763, 50.271313")</f>
        <v/>
      </c>
      <c r="O295" t="n">
        <v>6256</v>
      </c>
      <c r="P295" s="7" t="n">
        <v>3.11</v>
      </c>
      <c r="R295" t="n">
        <v>5733</v>
      </c>
      <c r="S295" s="8" t="n">
        <v>3.39</v>
      </c>
    </row>
    <row r="296">
      <c r="A296" s="4" t="n">
        <v>298</v>
      </c>
      <c r="B296" t="inlineStr">
        <is>
          <t>59</t>
        </is>
      </c>
      <c r="C296" s="1" t="n">
        <v>128.9</v>
      </c>
      <c r="D296" s="2">
        <f>HYPERLINK("https://torgi.gov.ru/new/public/lots/lot/21000032160000000004_1/(lotInfo:info)", "21000032160000000004_1")</f>
        <v/>
      </c>
      <c r="E296" t="inlineStr">
        <is>
          <t>нежилое помещение, расположенное по адресу: (цокольный этаж)</t>
        </is>
      </c>
      <c r="F296" s="3" t="n">
        <v>6749.418153607447</v>
      </c>
      <c r="G296" s="3" t="n">
        <v>870000</v>
      </c>
      <c r="H296" t="inlineStr">
        <is>
          <t>Пермский край, г Лысьва, ул Кирова, д 21</t>
        </is>
      </c>
      <c r="I296" t="inlineStr">
        <is>
          <t>06 04 22 18:00</t>
        </is>
      </c>
      <c r="J296" t="inlineStr">
        <is>
          <t>59:09:0014503:788</t>
        </is>
      </c>
      <c r="L296" t="inlineStr">
        <is>
          <t>EA</t>
        </is>
      </c>
      <c r="M296" t="inlineStr">
        <is>
          <t>М</t>
        </is>
      </c>
      <c r="N296" s="2">
        <f>HYPERLINK("https://yandex.ru/maps/?&amp;text=58.100716, 57.806335", "58.100716, 57.806335")</f>
        <v/>
      </c>
      <c r="O296" t="n">
        <v>3423</v>
      </c>
      <c r="P296" s="7" t="n">
        <v>1.97</v>
      </c>
      <c r="R296" t="n">
        <v>3423</v>
      </c>
      <c r="S296" s="8" t="n">
        <v>1.97</v>
      </c>
    </row>
    <row r="297">
      <c r="A297" s="4" t="n">
        <v>299</v>
      </c>
      <c r="B297" t="inlineStr">
        <is>
          <t>29</t>
        </is>
      </c>
      <c r="C297" s="1" t="n">
        <v>295.3</v>
      </c>
      <c r="D297" s="2">
        <f>HYPERLINK("https://torgi.gov.ru/new/public/lots/lot/22000037620000000002_1/(lotInfo:info)", "22000037620000000002_1")</f>
        <v/>
      </c>
      <c r="E297" t="inlineStr">
        <is>
          <t>назначение: нежилое, количество этажей 2, в том числе подземных 1, год постройки 1973</t>
        </is>
      </c>
      <c r="F297" s="3" t="n">
        <v>20554.01286826955</v>
      </c>
      <c r="G297" s="3" t="n">
        <v>6069600</v>
      </c>
      <c r="H297" t="inlineStr">
        <is>
          <t>Архангельская обл, г Коряжма, ул Советская, д 8</t>
        </is>
      </c>
      <c r="I297" t="inlineStr">
        <is>
          <t>31 03 22 14:00</t>
        </is>
      </c>
      <c r="J297" t="inlineStr">
        <is>
          <t>29:23:010209:106</t>
        </is>
      </c>
      <c r="L297" t="inlineStr">
        <is>
          <t>EA</t>
        </is>
      </c>
      <c r="M297" t="inlineStr">
        <is>
          <t>М</t>
        </is>
      </c>
      <c r="N297">
        <f>HYPERLINK("https://yandex.ru/maps/?&amp;text=61.309, 47.191269", "61.309, 47.191269")</f>
        <v/>
      </c>
      <c r="O297" t="n">
        <v>56</v>
      </c>
      <c r="P297" s="7" t="n">
        <v>367.04</v>
      </c>
      <c r="R297" t="n">
        <v>56</v>
      </c>
      <c r="S297" s="8" t="n">
        <v>367.04</v>
      </c>
    </row>
    <row r="298">
      <c r="A298" s="4" t="n">
        <v>300</v>
      </c>
      <c r="B298" t="inlineStr">
        <is>
          <t>74</t>
        </is>
      </c>
      <c r="C298" s="1" t="n">
        <v>91.5</v>
      </c>
      <c r="D298" s="2">
        <f>HYPERLINK("https://torgi.gov.ru/new/public/lots/lot/22000044760000000001_1/(lotInfo:info)", "22000044760000000001_1")</f>
        <v/>
      </c>
      <c r="E298" t="inlineStr">
        <is>
          <t>Нежилое помещение № 1, общей площадью 91,5 м²расположенное по адресу:,</t>
        </is>
      </c>
      <c r="F298" s="3" t="n">
        <v>21836.06557377049</v>
      </c>
      <c r="G298" s="3" t="n">
        <v>1998000</v>
      </c>
      <c r="H298" t="inlineStr">
        <is>
          <t>Челябинская обл, г Миасс, ул Ильменская, д 81, помещ 1</t>
        </is>
      </c>
      <c r="I298" t="inlineStr">
        <is>
          <t>10 04 22 19:00</t>
        </is>
      </c>
      <c r="J298" t="inlineStr">
        <is>
          <t xml:space="preserve">74:34:1600036:49, </t>
        </is>
      </c>
      <c r="L298" t="inlineStr">
        <is>
          <t>EA</t>
        </is>
      </c>
      <c r="M298" t="inlineStr">
        <is>
          <t>М</t>
        </is>
      </c>
      <c r="N298" s="2">
        <f>HYPERLINK("https://yandex.ru/maps/?&amp;text=55.048714, 60.1157", "55.048714, 60.1157")</f>
        <v/>
      </c>
      <c r="O298" t="n">
        <v>2535</v>
      </c>
      <c r="P298" s="7" t="n">
        <v>8.609999999999999</v>
      </c>
      <c r="R298" t="n">
        <v>2413</v>
      </c>
      <c r="S298" s="8" t="n">
        <v>9.050000000000001</v>
      </c>
    </row>
    <row r="299">
      <c r="A299" s="4" t="n">
        <v>301</v>
      </c>
      <c r="B299" t="inlineStr">
        <is>
          <t>59</t>
        </is>
      </c>
      <c r="C299" s="1" t="n">
        <v>319.3</v>
      </c>
      <c r="D299" s="2">
        <f>HYPERLINK("https://torgi.gov.ru/new/public/lots/lot/22000013150000000004_1/(lotInfo:info)", "22000013150000000004_1")</f>
        <v/>
      </c>
      <c r="E299" t="inlineStr">
        <is>
          <t xml:space="preserve">Нежилое помещение  на 1 этаже жилого дома, расположенное по адресу: </t>
        </is>
      </c>
      <c r="F299" s="3" t="n">
        <v>5693.704979642969</v>
      </c>
      <c r="G299" s="3" t="n">
        <v>1818000</v>
      </c>
      <c r="H299" t="inlineStr">
        <is>
          <t>Пермский край, г Соликамск, ул 20-летия Победы, д 200</t>
        </is>
      </c>
      <c r="I299" t="inlineStr">
        <is>
          <t>31 03 22 18:00</t>
        </is>
      </c>
      <c r="J299" t="inlineStr">
        <is>
          <t>59:10:0406004:3159</t>
        </is>
      </c>
      <c r="L299" t="inlineStr">
        <is>
          <t>EA</t>
        </is>
      </c>
      <c r="M299" t="inlineStr">
        <is>
          <t>М</t>
        </is>
      </c>
      <c r="N299">
        <f>HYPERLINK("https://yandex.ru/maps/?&amp;text=59.637165, 56.74355", "59.637165, 56.74355")</f>
        <v/>
      </c>
      <c r="O299" t="n">
        <v>1818</v>
      </c>
      <c r="P299" s="7" t="n">
        <v>3.13</v>
      </c>
      <c r="R299" t="n">
        <v>1064</v>
      </c>
      <c r="S299" s="8" t="n">
        <v>5.35</v>
      </c>
    </row>
    <row r="300">
      <c r="A300" s="4" t="n">
        <v>302</v>
      </c>
      <c r="B300" t="inlineStr">
        <is>
          <t>50</t>
        </is>
      </c>
      <c r="C300" s="1" t="n">
        <v>45.7</v>
      </c>
      <c r="D300" s="2">
        <f>HYPERLINK("https://torgi.gov.ru/new/public/lots/lot/21000004710000000512_1/(lotInfo:info)", "21000004710000000512_1")</f>
        <v/>
      </c>
      <c r="E300" t="inlineStr">
        <is>
          <t>Продажа нежилого помещения 45,7 кв.м в г.о Реутов</t>
        </is>
      </c>
      <c r="F300" s="3" t="n">
        <v>115887.5273522976</v>
      </c>
      <c r="G300" s="3" t="n">
        <v>5296060</v>
      </c>
      <c r="H300" t="inlineStr">
        <is>
          <t>Московская обл, г Реутов, ул Гагарина, д 11, помещ 34</t>
        </is>
      </c>
      <c r="I300" t="inlineStr">
        <is>
          <t>14 04 22 15:00</t>
        </is>
      </c>
      <c r="J300" t="inlineStr">
        <is>
          <t>50:48:0000000:23453</t>
        </is>
      </c>
      <c r="L300" t="inlineStr">
        <is>
          <t>EA</t>
        </is>
      </c>
      <c r="M300" t="inlineStr">
        <is>
          <t>М</t>
        </is>
      </c>
      <c r="N300">
        <f>HYPERLINK("https://yandex.ru/maps/?&amp;text=55.76424, 37.85888", "55.76424, 37.85888")</f>
        <v/>
      </c>
      <c r="O300" t="n">
        <v>8201</v>
      </c>
      <c r="P300" s="7" t="n">
        <v>14.13</v>
      </c>
      <c r="R300" t="n">
        <v>8201</v>
      </c>
      <c r="S300" s="8" t="n">
        <v>14.13</v>
      </c>
    </row>
    <row r="301">
      <c r="A301" s="4" t="n">
        <v>303</v>
      </c>
      <c r="B301" t="inlineStr">
        <is>
          <t>38</t>
        </is>
      </c>
      <c r="C301" s="1" t="n">
        <v>1977.2</v>
      </c>
      <c r="D301" s="2">
        <f>HYPERLINK("https://torgi.gov.ru/new/public/lots/lot/21000015330000000004_1/(lotInfo:info)", "21000015330000000004_1")</f>
        <v/>
      </c>
      <c r="E301" t="inlineStr">
        <is>
          <t>Нежилое помещение по адресу:, жилой район Гидростритель, проезд Сталеваров, 4, помещение 1001</t>
        </is>
      </c>
      <c r="F301" s="3" t="n">
        <v>3295.962472182885</v>
      </c>
      <c r="G301" s="3" t="n">
        <v>6516777</v>
      </c>
      <c r="H301" t="inlineStr">
        <is>
          <t>Иркутская обл, г Братск, ж/р Гидростроитель, пр-д Сталеваров, зд 4, помещ 1001</t>
        </is>
      </c>
      <c r="I301" t="inlineStr">
        <is>
          <t>11 04 22 02:00</t>
        </is>
      </c>
      <c r="J301" t="inlineStr">
        <is>
          <t>38:34:030201:717</t>
        </is>
      </c>
      <c r="L301" t="inlineStr">
        <is>
          <t>EA</t>
        </is>
      </c>
      <c r="M301" t="inlineStr">
        <is>
          <t>М</t>
        </is>
      </c>
      <c r="N301">
        <f>HYPERLINK("https://yandex.ru/maps/?&amp;text=56.283729, 101.881143", "56.283729, 101.881143")</f>
        <v/>
      </c>
      <c r="O301" t="n">
        <v>2255</v>
      </c>
      <c r="P301" s="7" t="n">
        <v>1.46</v>
      </c>
      <c r="R301" t="n">
        <v>2255</v>
      </c>
      <c r="S301" s="8" t="n">
        <v>1.46</v>
      </c>
    </row>
    <row r="302">
      <c r="A302" s="4" t="n">
        <v>304</v>
      </c>
      <c r="B302" t="inlineStr">
        <is>
          <t>77</t>
        </is>
      </c>
      <c r="C302" s="1" t="n">
        <v>268.2</v>
      </c>
      <c r="D302" s="2">
        <f>HYPERLINK("https://torgi.gov.ru/new/public/lots/lot/21000005000000000584_1/(lotInfo:info)", "21000005000000000584_1")</f>
        <v/>
      </c>
      <c r="E302" t="inlineStr">
        <is>
          <t>Продажа имущества, находящегося в собственности города Москвы, нежилое помещение по адресу: (Цокольный этаж № 0)</t>
        </is>
      </c>
      <c r="F302" s="3" t="n">
        <v>25167.78523489933</v>
      </c>
      <c r="G302" s="3" t="n">
        <v>6750000</v>
      </c>
      <c r="H302" t="inlineStr">
        <is>
          <t>г Москва, ул Никитинская, д 1 к 3</t>
        </is>
      </c>
      <c r="I302" t="inlineStr">
        <is>
          <t>26 04 22 12:00</t>
        </is>
      </c>
      <c r="J302" t="inlineStr">
        <is>
          <t xml:space="preserve">77:03:0005002:7761, </t>
        </is>
      </c>
      <c r="L302" t="inlineStr">
        <is>
          <t>BOC</t>
        </is>
      </c>
      <c r="M302" t="inlineStr">
        <is>
          <t>М</t>
        </is>
      </c>
      <c r="N302" s="2">
        <f>HYPERLINK("https://yandex.ru/maps/?&amp;text=55.7954689, 37.7732247", "55.7954689, 37.7732247")</f>
        <v/>
      </c>
      <c r="O302" t="n">
        <v>8027</v>
      </c>
      <c r="P302" s="7" t="n">
        <v>3.14</v>
      </c>
      <c r="R302" t="n">
        <v>8027</v>
      </c>
      <c r="S302" s="8" t="n">
        <v>3.14</v>
      </c>
    </row>
    <row r="303">
      <c r="A303" s="4" t="n">
        <v>305</v>
      </c>
      <c r="B303" t="inlineStr">
        <is>
          <t>78</t>
        </is>
      </c>
      <c r="C303" s="1" t="n">
        <v>57.7</v>
      </c>
      <c r="D303" s="2">
        <f>HYPERLINK("https://torgi.gov.ru/new/public/lots/lot/21000002210000000212_1/(lotInfo:info)", "21000002210000000212_1")</f>
        <v/>
      </c>
      <c r="E303" t="inlineStr">
        <is>
          <t>Нежилое помещение, расположенное по адресу: Санкт-Петербург,, литера А, пом. 6-Н., этаж: цокольный, назначение: нежилое</t>
        </is>
      </c>
      <c r="F303" s="3" t="n">
        <v>71057.19237435008</v>
      </c>
      <c r="G303" s="3" t="n">
        <v>4100000</v>
      </c>
      <c r="H303" t="inlineStr">
        <is>
          <t>г Санкт-Петербург, Рижский пр-кт, д 25 литера А, помещ 6-Н</t>
        </is>
      </c>
      <c r="I303" t="inlineStr">
        <is>
          <t>01 04 22 20:00</t>
        </is>
      </c>
      <c r="J303" t="inlineStr">
        <is>
          <t>78:32:0001611:1079</t>
        </is>
      </c>
      <c r="L303" t="inlineStr">
        <is>
          <t>EA</t>
        </is>
      </c>
      <c r="M303" t="inlineStr">
        <is>
          <t>М</t>
        </is>
      </c>
      <c r="N303" s="2">
        <f>HYPERLINK("https://yandex.ru/maps/?&amp;text=59.913618, 30.281301", "59.913618, 30.281301")</f>
        <v/>
      </c>
      <c r="O303" t="n">
        <v>4623</v>
      </c>
      <c r="P303" s="7" t="n">
        <v>15.37</v>
      </c>
      <c r="R303" t="n">
        <v>4623</v>
      </c>
      <c r="S303" s="8" t="n">
        <v>15.37</v>
      </c>
    </row>
    <row r="304">
      <c r="A304" s="4" t="n">
        <v>306</v>
      </c>
      <c r="B304" t="inlineStr">
        <is>
          <t>78</t>
        </is>
      </c>
      <c r="C304" s="1" t="n">
        <v>31.4</v>
      </c>
      <c r="D304" s="2">
        <f>HYPERLINK("https://torgi.gov.ru/new/public/lots/lot/21000002210000000211_1/(lotInfo:info)", "21000002210000000211_1")</f>
        <v/>
      </c>
      <c r="E304" t="inlineStr">
        <is>
          <t>Нежилое помещение, расположенное по адресу: Санкт-Петербург,, литера А, пом. 4-Н, назначение: нежилое помещение, наименование: нежилое помещение, этаж №1</t>
        </is>
      </c>
      <c r="F304" s="3" t="n">
        <v>126114.6496815287</v>
      </c>
      <c r="G304" s="3" t="n">
        <v>3960000</v>
      </c>
      <c r="H304" t="inlineStr">
        <is>
          <t>г Санкт-Петербург, ул Олеко Дундича, д 35 к 1 литера А, помещ 4-Н</t>
        </is>
      </c>
      <c r="I304" t="inlineStr">
        <is>
          <t>01 04 22 20:00</t>
        </is>
      </c>
      <c r="J304" t="inlineStr">
        <is>
          <t>78:13:0007448:3519</t>
        </is>
      </c>
      <c r="L304" t="inlineStr">
        <is>
          <t>EA</t>
        </is>
      </c>
      <c r="M304" t="inlineStr">
        <is>
          <t>М</t>
        </is>
      </c>
      <c r="N304" s="2">
        <f>HYPERLINK("https://yandex.ru/maps/?&amp;text=59.833787, 30.42328", "59.833787, 30.42328")</f>
        <v/>
      </c>
      <c r="O304" t="n">
        <v>3669</v>
      </c>
      <c r="P304" s="7" t="n">
        <v>34.37</v>
      </c>
      <c r="R304" t="n">
        <v>3669</v>
      </c>
      <c r="S304" s="8" t="n">
        <v>34.37</v>
      </c>
    </row>
    <row r="305">
      <c r="A305" s="4" t="n">
        <v>307</v>
      </c>
      <c r="B305" t="inlineStr">
        <is>
          <t>66</t>
        </is>
      </c>
      <c r="C305" s="1" t="n">
        <v>205.7</v>
      </c>
      <c r="D305" s="2">
        <f>HYPERLINK("https://torgi.gov.ru/new/public/lots/lot/21000020190000000001_3/(lotInfo:info)", "21000020190000000001_3")</f>
        <v/>
      </c>
      <c r="E305" t="inlineStr">
        <is>
      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      </is>
      </c>
      <c r="F305" s="3" t="n">
        <v>15611.3271754983</v>
      </c>
      <c r="G305" s="3" t="n">
        <v>3211250</v>
      </c>
      <c r="H305" t="inlineStr">
        <is>
          <t>Свердловская обл, г Первоуральск, пр-кт Ильича, д 1А</t>
        </is>
      </c>
      <c r="I305" t="inlineStr">
        <is>
          <t>04 04 22 13:00</t>
        </is>
      </c>
      <c r="J305" t="inlineStr">
        <is>
          <t xml:space="preserve">66:58:0111013:4558, </t>
        </is>
      </c>
      <c r="L305" t="inlineStr">
        <is>
          <t>EA</t>
        </is>
      </c>
      <c r="M305" t="inlineStr">
        <is>
          <t>М</t>
        </is>
      </c>
      <c r="N305" s="2">
        <f>HYPERLINK("https://yandex.ru/maps/?&amp;text=56.90548, 59.92929", "56.90548, 59.92929")</f>
        <v/>
      </c>
      <c r="O305" t="n">
        <v>2184</v>
      </c>
      <c r="P305" s="7" t="n">
        <v>7.15</v>
      </c>
      <c r="R305" t="n">
        <v>1487</v>
      </c>
      <c r="S305" s="8" t="n">
        <v>10.5</v>
      </c>
    </row>
    <row r="306">
      <c r="A306" s="4" t="n">
        <v>308</v>
      </c>
      <c r="B306" t="inlineStr">
        <is>
          <t>66</t>
        </is>
      </c>
      <c r="C306" s="1" t="n">
        <v>436.1</v>
      </c>
      <c r="D306" s="2">
        <f>HYPERLINK("https://torgi.gov.ru/new/public/lots/lot/21000004700000000002_2/(lotInfo:info)", "21000004700000000002_2")</f>
        <v/>
      </c>
      <c r="E306" t="inlineStr">
        <is>
          <t>Нежилые помещения № 25-41, расположенные в двухэтажном домеэтаж: 2, литер: А., назначение: торговое, культурно-просветительское. Адрес (местоположение) объекта:.</t>
        </is>
      </c>
      <c r="F306" s="3" t="n">
        <v>12756.24856684247</v>
      </c>
      <c r="G306" s="3" t="n">
        <v>5563000</v>
      </c>
      <c r="H306" t="inlineStr">
        <is>
          <t xml:space="preserve"> Свердловская область, р-н Невьянский, р.п. Верх-Нейвинский, ул. Ленина, д. 32</t>
        </is>
      </c>
      <c r="I306" t="inlineStr">
        <is>
          <t>06 04 22 08:00</t>
        </is>
      </c>
      <c r="J306" t="inlineStr">
        <is>
          <t xml:space="preserve">66:15:0000000:2556, </t>
        </is>
      </c>
      <c r="L306" t="inlineStr">
        <is>
          <t>EA</t>
        </is>
      </c>
      <c r="M306" t="inlineStr">
        <is>
          <t>М</t>
        </is>
      </c>
      <c r="N306" t="inlineStr">
        <is>
          <t>57.265944, 60.132255</t>
        </is>
      </c>
      <c r="O306" t="n">
        <v>789</v>
      </c>
      <c r="P306" s="7" t="n">
        <v>16.17</v>
      </c>
      <c r="R306" t="n">
        <v>711</v>
      </c>
      <c r="S306" s="8" t="n">
        <v>17.94</v>
      </c>
    </row>
    <row r="307">
      <c r="A307" s="4" t="n">
        <v>309</v>
      </c>
      <c r="B307" t="inlineStr">
        <is>
          <t>89</t>
        </is>
      </c>
      <c r="C307" s="1" t="n">
        <v>294.7</v>
      </c>
      <c r="D307" s="2">
        <f>HYPERLINK("https://torgi.gov.ru/new/public/lots/lot/21000034510000000014_1/(lotInfo:info)", "21000034510000000014_1")</f>
        <v/>
      </c>
      <c r="E307" t="inlineStr">
        <is>
          <t>Недвижимое имущество – нежилое помещение.РНФИ П13460001325, расположенное по адресу:</t>
        </is>
      </c>
      <c r="F307" s="3" t="n">
        <v>12046.14862572107</v>
      </c>
      <c r="G307" s="3" t="n">
        <v>3550000</v>
      </c>
      <c r="H307" t="inlineStr">
        <is>
          <t>г Салехард, ул Чапаева, д 22, помещ 1</t>
        </is>
      </c>
      <c r="I307" t="inlineStr">
        <is>
          <t>09 03 22 09:00</t>
        </is>
      </c>
      <c r="J307" t="inlineStr">
        <is>
          <t xml:space="preserve">89:08:030201:936, </t>
        </is>
      </c>
      <c r="L307" t="inlineStr">
        <is>
          <t>BOC</t>
        </is>
      </c>
      <c r="M307" t="inlineStr">
        <is>
          <t>М</t>
        </is>
      </c>
      <c r="N307" s="2">
        <f>HYPERLINK("https://yandex.ru/maps/?&amp;text=66.557754, 66.56545", "66.557754, 66.56545")</f>
        <v/>
      </c>
      <c r="O307" t="n">
        <v>909</v>
      </c>
      <c r="P307" s="7" t="n">
        <v>13.25</v>
      </c>
      <c r="R307" t="n">
        <v>909</v>
      </c>
      <c r="S307" s="8" t="n">
        <v>13.25</v>
      </c>
    </row>
    <row r="308">
      <c r="A308" s="4" t="n">
        <v>310</v>
      </c>
      <c r="B308" t="inlineStr">
        <is>
          <t>54</t>
        </is>
      </c>
      <c r="C308" s="1" t="n">
        <v>515.5</v>
      </c>
      <c r="D308" s="2">
        <f>HYPERLINK("https://torgi.gov.ru/new/public/lots/lot/21000030710000000003_1/(lotInfo:info)", "21000030710000000003_1")</f>
        <v/>
      </c>
      <c r="E308" t="inlineStr">
        <is>
          <t>Нежилое помещение: расположенное по адресу:</t>
        </is>
      </c>
      <c r="F308" s="3" t="n">
        <v>1180.349175557711</v>
      </c>
      <c r="G308" s="3" t="n">
        <v>608470</v>
      </c>
      <c r="H308" t="inlineStr">
        <is>
          <t>Новосибирская обл, г Черепаново, ул Цыцаркина, д 58А</t>
        </is>
      </c>
      <c r="I308" t="inlineStr">
        <is>
          <t>29 03 22 14:00</t>
        </is>
      </c>
      <c r="J308" t="inlineStr">
        <is>
          <t xml:space="preserve">54:28:010411:296, </t>
        </is>
      </c>
      <c r="L308" t="inlineStr">
        <is>
          <t>EA</t>
        </is>
      </c>
      <c r="M308" t="inlineStr">
        <is>
          <t>М</t>
        </is>
      </c>
      <c r="N308" s="2">
        <f>HYPERLINK("https://yandex.ru/maps/?&amp;text=54.225822, 83.39888", "54.225822, 83.39888")</f>
        <v/>
      </c>
      <c r="O308" t="n">
        <v>2006</v>
      </c>
      <c r="P308" s="7" t="n">
        <v>0.59</v>
      </c>
      <c r="R308" t="n">
        <v>983</v>
      </c>
      <c r="S308" s="8" t="n">
        <v>1.2</v>
      </c>
    </row>
    <row r="309">
      <c r="A309" s="4" t="n">
        <v>311</v>
      </c>
      <c r="B309" t="inlineStr">
        <is>
          <t>50</t>
        </is>
      </c>
      <c r="C309" s="1" t="n">
        <v>39.5</v>
      </c>
      <c r="D309" s="2">
        <f>HYPERLINK("https://torgi.gov.ru/new/public/lots/lot/21000004710000000472_1/(lotInfo:info)", "21000004710000000472_1")</f>
        <v/>
      </c>
      <c r="E309" t="inlineStr">
        <is>
          <t>Продажа нежилого помещения 39,5 кв.м в г.о. Королёв</t>
        </is>
      </c>
      <c r="F309" s="3" t="n">
        <v>90191.74683544303</v>
      </c>
      <c r="G309" s="3" t="n">
        <v>3562574</v>
      </c>
      <c r="H309" t="inlineStr">
        <is>
          <t>Московская обл, г Королёв, мкр Юбилейный, ул М.К.Тихонравова, д 42, помещ 1</t>
        </is>
      </c>
      <c r="I309" t="inlineStr">
        <is>
          <t>12 04 22 15:00</t>
        </is>
      </c>
      <c r="J309" t="inlineStr">
        <is>
          <t>50:45:0000000:46556</t>
        </is>
      </c>
      <c r="L309" t="inlineStr">
        <is>
          <t>EA</t>
        </is>
      </c>
      <c r="M309" t="inlineStr">
        <is>
          <t>М</t>
        </is>
      </c>
      <c r="N309">
        <f>HYPERLINK("https://yandex.ru/maps/?&amp;text=55.937003, 37.852572", "55.937003, 37.852572")</f>
        <v/>
      </c>
      <c r="O309" t="n">
        <v>5567</v>
      </c>
      <c r="P309" s="7" t="n">
        <v>16.2</v>
      </c>
      <c r="R309" t="n">
        <v>5567</v>
      </c>
      <c r="S309" s="8" t="n">
        <v>16.2</v>
      </c>
    </row>
    <row r="310">
      <c r="A310" s="4" t="n">
        <v>312</v>
      </c>
      <c r="B310" t="inlineStr">
        <is>
          <t>50</t>
        </is>
      </c>
      <c r="C310" s="1" t="n">
        <v>46.3</v>
      </c>
      <c r="D310" s="2">
        <f>HYPERLINK("https://torgi.gov.ru/new/public/lots/lot/21000004710000000452_1/(lotInfo:info)", "21000004710000000452_1")</f>
        <v/>
      </c>
      <c r="E310" t="inlineStr">
        <is>
          <t>Продажа нежилого помещения 46,3 кв.м. в Рузском г.о.</t>
        </is>
      </c>
      <c r="F310" s="3" t="n">
        <v>46900</v>
      </c>
      <c r="G310" s="3" t="n">
        <v>2171470</v>
      </c>
      <c r="H310" t="inlineStr">
        <is>
          <t>Московская область, Рузский район, городское поселение Руза, г. Руза,  ул. Красная, д. 1</t>
        </is>
      </c>
      <c r="I310" t="inlineStr">
        <is>
          <t>04 04 22 15:00</t>
        </is>
      </c>
      <c r="J310" t="inlineStr">
        <is>
          <t xml:space="preserve">50:19:0010203:1730 </t>
        </is>
      </c>
      <c r="L310" t="inlineStr">
        <is>
          <t>EA</t>
        </is>
      </c>
      <c r="M310" t="inlineStr">
        <is>
          <t>М</t>
        </is>
      </c>
      <c r="N310" t="inlineStr">
        <is>
          <t>55.699299, 36.193536</t>
        </is>
      </c>
      <c r="O310" t="n">
        <v>228</v>
      </c>
      <c r="P310" s="7" t="n">
        <v>205.7</v>
      </c>
      <c r="R310" t="n">
        <v>228</v>
      </c>
      <c r="S310" s="8" t="n">
        <v>205.7</v>
      </c>
    </row>
    <row r="311">
      <c r="A311" s="4" t="n">
        <v>313</v>
      </c>
      <c r="B311" t="inlineStr">
        <is>
          <t>27</t>
        </is>
      </c>
      <c r="C311" s="1" t="n">
        <v>73.2</v>
      </c>
      <c r="D311" s="2">
        <f>HYPERLINK("https://torgi.gov.ru/new/public/lots/lot/21000032990000000005_1/(lotInfo:info)", "21000032990000000005_1")</f>
        <v/>
      </c>
      <c r="E311" t="inlineStr">
        <is>
          <t>нежилое функциональное помещение расположенное по адресу:. I (1-7)</t>
        </is>
      </c>
      <c r="F311" s="3" t="n">
        <v>9963.661202185793</v>
      </c>
      <c r="G311" s="3" t="n">
        <v>729340</v>
      </c>
      <c r="H311" t="inlineStr">
        <is>
          <t>г Хабаровск, ул Тихоокеанская, д 147пом</t>
        </is>
      </c>
      <c r="I311" t="inlineStr">
        <is>
          <t>08 04 22 07:00</t>
        </is>
      </c>
      <c r="J311" t="inlineStr">
        <is>
          <t>27:23:0011137:94</t>
        </is>
      </c>
      <c r="L311" t="inlineStr">
        <is>
          <t>EA</t>
        </is>
      </c>
      <c r="M311" t="inlineStr">
        <is>
          <t>М</t>
        </is>
      </c>
      <c r="N311" s="2">
        <f>HYPERLINK("https://yandex.ru/maps/?&amp;text=48.522502, 135.050573", "48.522502, 135.050573")</f>
        <v/>
      </c>
      <c r="O311" t="n">
        <v>1549</v>
      </c>
      <c r="P311" s="7" t="n">
        <v>6.43</v>
      </c>
      <c r="R311" t="n">
        <v>1549</v>
      </c>
      <c r="S311" s="8" t="n">
        <v>6.43</v>
      </c>
    </row>
    <row r="312">
      <c r="A312" s="4" t="n">
        <v>314</v>
      </c>
      <c r="B312" t="inlineStr">
        <is>
          <t>76</t>
        </is>
      </c>
      <c r="C312" s="1" t="n">
        <v>270.3</v>
      </c>
      <c r="D312" s="2">
        <f>HYPERLINK("https://torgi.gov.ru/new/public/lots/lot/21000019870000000003_1/(lotInfo:info)", "21000019870000000003_1")</f>
        <v/>
      </c>
      <c r="E312" t="inlineStr">
        <is>
          <t>Нежилое помещение расположенное по адресу:,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      </is>
      </c>
      <c r="F312" s="3" t="n">
        <v>20292.26785053644</v>
      </c>
      <c r="G312" s="3" t="n">
        <v>5485000</v>
      </c>
      <c r="H312" t="inlineStr">
        <is>
          <t>Ярославская обл, г Гаврилов-Ям, ул Менжинского, д 45</t>
        </is>
      </c>
      <c r="I312" t="inlineStr">
        <is>
          <t>01 04 22 13:00</t>
        </is>
      </c>
      <c r="J312" t="inlineStr">
        <is>
          <t xml:space="preserve">76:04:010101:3163, </t>
        </is>
      </c>
      <c r="L312" t="inlineStr">
        <is>
          <t>EA</t>
        </is>
      </c>
      <c r="M312" t="inlineStr">
        <is>
          <t>М</t>
        </is>
      </c>
      <c r="N312" s="2">
        <f>HYPERLINK("https://yandex.ru/maps/?&amp;text=57.304544, 39.862238", "57.304544, 39.862238")</f>
        <v/>
      </c>
      <c r="O312" t="n">
        <v>998</v>
      </c>
      <c r="P312" s="7" t="n">
        <v>20.33</v>
      </c>
      <c r="R312" t="n">
        <v>1729</v>
      </c>
      <c r="S312" s="8" t="n">
        <v>11.74</v>
      </c>
    </row>
    <row r="313">
      <c r="A313" s="4" t="n">
        <v>315</v>
      </c>
      <c r="B313" t="inlineStr">
        <is>
          <t>31</t>
        </is>
      </c>
      <c r="C313" s="1" t="n">
        <v>36.9</v>
      </c>
      <c r="D313" s="2">
        <f>HYPERLINK("https://torgi.gov.ru/new/public/lots/lot/21000026630000000004_1/(lotInfo:info)", "21000026630000000004_1")</f>
        <v/>
      </c>
      <c r="E313" t="inlineStr">
        <is>
          <t>Нежилое помещение, расположенное по адресу:</t>
        </is>
      </c>
      <c r="F313" s="3" t="n">
        <v>48970.18970189702</v>
      </c>
      <c r="G313" s="3" t="n">
        <v>1807000</v>
      </c>
      <c r="H313" t="inlineStr">
        <is>
          <t xml:space="preserve"> Белгородская обл., г. Старый Оскол, мкр. Олимпийский, д. 60 кв. 102</t>
        </is>
      </c>
      <c r="I313" t="inlineStr">
        <is>
          <t>28 03 22 15:00</t>
        </is>
      </c>
      <c r="J313" t="inlineStr">
        <is>
          <t>-</t>
        </is>
      </c>
      <c r="L313" t="inlineStr">
        <is>
          <t>EA</t>
        </is>
      </c>
      <c r="M313" t="inlineStr">
        <is>
          <t>М</t>
        </is>
      </c>
      <c r="N313" s="2" t="inlineStr">
        <is>
          <t>51.306128, 37.892484</t>
        </is>
      </c>
      <c r="O313" t="n">
        <v>1689</v>
      </c>
      <c r="P313" s="7" t="n">
        <v>28.99</v>
      </c>
      <c r="R313" t="n">
        <v>1536</v>
      </c>
      <c r="S313" s="8" t="n">
        <v>31.88</v>
      </c>
    </row>
    <row r="314">
      <c r="A314" s="4" t="n">
        <v>316</v>
      </c>
      <c r="B314" t="inlineStr">
        <is>
          <t>71</t>
        </is>
      </c>
      <c r="C314" s="1" t="n">
        <v>47</v>
      </c>
      <c r="D314" s="2">
        <f>HYPERLINK("https://torgi.gov.ru/new/public/lots/lot/21000018800000000002_1/(lotInfo:info)", "21000018800000000002_1")</f>
        <v/>
      </c>
      <c r="E314" t="inlineStr">
        <is>
          <t>Нежилое помещение, этаж № 2площадью 16,4 кв.мНежилое помещение, этаж № 2площадью 21,1 кв.мНежилое помещение, этаж № 2</t>
        </is>
      </c>
      <c r="F314" s="3" t="n">
        <v>18468.08510638298</v>
      </c>
      <c r="G314" s="3" t="n">
        <v>868000</v>
      </c>
      <c r="H314" t="inlineStr">
        <is>
          <t>г Тула, ул Октябрьская, д 5</t>
        </is>
      </c>
      <c r="I314" t="inlineStr">
        <is>
          <t>24 03 22 14:00</t>
        </is>
      </c>
      <c r="J314" t="inlineStr">
        <is>
          <t xml:space="preserve">71:30:010223:6342, </t>
        </is>
      </c>
      <c r="L314" t="inlineStr">
        <is>
          <t>EK</t>
        </is>
      </c>
      <c r="M314" t="inlineStr">
        <is>
          <t>М</t>
        </is>
      </c>
      <c r="N314">
        <f>HYPERLINK("https://yandex.ru/maps/?&amp;text=54.205135, 37.619125", "54.205135, 37.619125")</f>
        <v/>
      </c>
      <c r="O314" t="n">
        <v>3713</v>
      </c>
      <c r="P314" s="7" t="n">
        <v>4.97</v>
      </c>
      <c r="R314" t="n">
        <v>3666</v>
      </c>
      <c r="S314" s="8" t="n">
        <v>5.04</v>
      </c>
    </row>
    <row r="315">
      <c r="A315" s="4" t="n">
        <v>317</v>
      </c>
      <c r="B315" t="inlineStr">
        <is>
          <t>73</t>
        </is>
      </c>
      <c r="C315" s="1" t="n">
        <v>327.6</v>
      </c>
      <c r="D315" s="2">
        <f>HYPERLINK("https://torgi.gov.ru/new/public/lots/lot/21000013570000000004_3/(lotInfo:info)", "21000013570000000004_3")</f>
        <v/>
      </c>
      <c r="E315" t="inlineStr">
        <is>
          <t>Нежилые помещения  по адресу:</t>
        </is>
      </c>
      <c r="F315" s="3" t="n">
        <v>2478.665750915751</v>
      </c>
      <c r="G315" s="3" t="n">
        <v>812010.9</v>
      </c>
      <c r="H315" t="inlineStr">
        <is>
          <t>г Ульяновск, ул Автозаводская, д 56</t>
        </is>
      </c>
      <c r="I315" t="inlineStr">
        <is>
          <t>25 03 22 12:00</t>
        </is>
      </c>
      <c r="L315" t="inlineStr">
        <is>
          <t>EA</t>
        </is>
      </c>
      <c r="M315" t="inlineStr">
        <is>
          <t>М</t>
        </is>
      </c>
      <c r="N315" s="2">
        <f>HYPERLINK("https://yandex.ru/maps/?&amp;text=54.29175, 48.3157", "54.29175, 48.3157")</f>
        <v/>
      </c>
      <c r="O315" t="n">
        <v>4129</v>
      </c>
      <c r="P315" s="7" t="n">
        <v>0.6</v>
      </c>
      <c r="R315" t="n">
        <v>4129</v>
      </c>
      <c r="S315" s="8" t="n">
        <v>0.6</v>
      </c>
    </row>
    <row r="316">
      <c r="A316" s="4" t="n">
        <v>318</v>
      </c>
      <c r="B316" t="inlineStr">
        <is>
          <t>52</t>
        </is>
      </c>
      <c r="C316" s="1" t="n">
        <v>84.2</v>
      </c>
      <c r="D316" s="2">
        <f>HYPERLINK("https://torgi.gov.ru/new/public/lots/lot/21000012580000000001_1/(lotInfo:info)", "21000012580000000001_1")</f>
        <v/>
      </c>
      <c r="E316" t="inlineStr">
        <is>
          <t>Нежилое здание..Этажность: 1 Кадастровый номер : 52:01:02001046511. Адрес: 606860,.ленина д.9 . помещение № П-1</t>
        </is>
      </c>
      <c r="F316" s="3" t="n">
        <v>14311.16389548694</v>
      </c>
      <c r="G316" s="3" t="n">
        <v>1205000</v>
      </c>
      <c r="H316" t="inlineStr">
        <is>
          <t>Нижегородская обл, г Ветлуга, ул Алешкова</t>
        </is>
      </c>
      <c r="I316" t="inlineStr">
        <is>
          <t>04 04 22 05:00</t>
        </is>
      </c>
      <c r="J316" t="inlineStr">
        <is>
          <t>52:01:0200101:511</t>
        </is>
      </c>
      <c r="L316" t="inlineStr">
        <is>
          <t>EA</t>
        </is>
      </c>
      <c r="M316" t="inlineStr">
        <is>
          <t>М</t>
        </is>
      </c>
      <c r="N316" s="2">
        <f>HYPERLINK("https://yandex.ru/maps/?&amp;text=57.85082, 45.788424", "57.85082, 45.788424")</f>
        <v/>
      </c>
      <c r="O316" t="n">
        <v>818</v>
      </c>
      <c r="P316" s="7" t="n">
        <v>17.5</v>
      </c>
      <c r="R316" t="n">
        <v>818</v>
      </c>
      <c r="S316" s="8" t="n">
        <v>17.5</v>
      </c>
    </row>
    <row r="317">
      <c r="A317" s="4" t="n">
        <v>319</v>
      </c>
      <c r="B317" t="inlineStr">
        <is>
          <t>45</t>
        </is>
      </c>
      <c r="C317" s="1" t="n">
        <v>31.8</v>
      </c>
      <c r="D317" s="2">
        <f>HYPERLINK("https://torgi.gov.ru/new/public/lots/lot/21000025240000000011_1/(lotInfo:info)", "21000025240000000011_1")</f>
        <v/>
      </c>
      <c r="E317" t="inlineStr">
        <is>
          <t>г. Курган,, нежилое помещение.</t>
        </is>
      </c>
      <c r="F317" s="3" t="n">
        <v>22233.99371069182</v>
      </c>
      <c r="G317" s="3" t="n">
        <v>707041</v>
      </c>
      <c r="H317" t="inlineStr">
        <is>
          <t>г Новосибирск, ул Пролетарская, д 82</t>
        </is>
      </c>
      <c r="I317" t="inlineStr">
        <is>
          <t>25 03 22 13:00</t>
        </is>
      </c>
      <c r="J317" t="inlineStr">
        <is>
          <t>45:25:070401:2692</t>
        </is>
      </c>
      <c r="L317" t="inlineStr">
        <is>
          <t>EA</t>
        </is>
      </c>
      <c r="M317" t="inlineStr">
        <is>
          <t>М</t>
        </is>
      </c>
      <c r="N317" s="2">
        <f>HYPERLINK("https://yandex.ru/maps/?&amp;text=55.023926, 82.95924", "55.023926, 82.95924")</f>
        <v/>
      </c>
      <c r="O317" t="n">
        <v>5180</v>
      </c>
      <c r="P317" s="7" t="n">
        <v>4.29</v>
      </c>
      <c r="R317" t="n">
        <v>5862</v>
      </c>
      <c r="S317" s="8" t="n">
        <v>3.79</v>
      </c>
    </row>
    <row r="318">
      <c r="A318" s="4" t="n">
        <v>320</v>
      </c>
      <c r="B318" t="inlineStr">
        <is>
          <t>31</t>
        </is>
      </c>
      <c r="C318" s="1" t="n">
        <v>14.6</v>
      </c>
      <c r="D318" s="2">
        <f>HYPERLINK("https://torgi.gov.ru/new/public/lots/lot/21000026630000000002_1/(lotInfo:info)", "21000026630000000002_1")</f>
        <v/>
      </c>
      <c r="E318" t="inlineStr">
        <is>
          <t xml:space="preserve">Нежилое помещение </t>
        </is>
      </c>
      <c r="F318" s="3" t="n">
        <v>53958.90410958904</v>
      </c>
      <c r="G318" s="3" t="n">
        <v>787800</v>
      </c>
      <c r="H318" t="inlineStr">
        <is>
          <t>Белгородская обл, г Старый Оскол, Олимпийский мкр, д 55</t>
        </is>
      </c>
      <c r="I318" t="inlineStr">
        <is>
          <t>28 03 22 15:00</t>
        </is>
      </c>
      <c r="J318" t="inlineStr">
        <is>
          <t>31:06:0217002:4790</t>
        </is>
      </c>
      <c r="L318" t="inlineStr">
        <is>
          <t>EA</t>
        </is>
      </c>
      <c r="M318" t="inlineStr">
        <is>
          <t>М</t>
        </is>
      </c>
      <c r="N318">
        <f>HYPERLINK("https://yandex.ru/maps/?&amp;text=51.303886, 37.888603", "51.303886, 37.888603")</f>
        <v/>
      </c>
      <c r="O318" t="n">
        <v>1689</v>
      </c>
      <c r="P318" s="7" t="n">
        <v>31.95</v>
      </c>
      <c r="R318" t="n">
        <v>1689</v>
      </c>
      <c r="S318" s="8" t="n">
        <v>31.95</v>
      </c>
    </row>
    <row r="319">
      <c r="A319" s="4" t="n">
        <v>321</v>
      </c>
      <c r="B319" t="inlineStr">
        <is>
          <t>77</t>
        </is>
      </c>
      <c r="C319" s="1" t="n">
        <v>26</v>
      </c>
      <c r="D319" s="2">
        <f>HYPERLINK("https://torgi.gov.ru/new/public/lots/lot/21000005000000000444_1/(lotInfo:info)", "21000005000000000444_1")</f>
        <v/>
      </c>
      <c r="E319" t="inlineStr">
        <is>
          <t>Продажа имущества, находящегося в собственности города Москвы, нежилое помещение по адресу:., Технический этаж № 0</t>
        </is>
      </c>
      <c r="F319" s="3" t="n">
        <v>28153.84615384615</v>
      </c>
      <c r="G319" s="3" t="n">
        <v>732000</v>
      </c>
      <c r="H319" t="inlineStr">
        <is>
          <t>г Москва, Графский пер, д 14Б, помещ 7Т</t>
        </is>
      </c>
      <c r="I319" t="inlineStr">
        <is>
          <t>28 03 22 12:00</t>
        </is>
      </c>
      <c r="J319" t="inlineStr">
        <is>
          <t xml:space="preserve">77:02:0023016:3700, </t>
        </is>
      </c>
      <c r="L319" t="inlineStr">
        <is>
          <t>PP</t>
        </is>
      </c>
      <c r="M319" t="inlineStr">
        <is>
          <t>М</t>
        </is>
      </c>
      <c r="N319" s="2">
        <f>HYPERLINK("https://yandex.ru/maps/?&amp;text=55.802715, 37.641846", "55.802715, 37.641846")</f>
        <v/>
      </c>
      <c r="O319" t="n">
        <v>9425</v>
      </c>
      <c r="P319" s="7" t="n">
        <v>2.99</v>
      </c>
      <c r="R319" t="n">
        <v>9502</v>
      </c>
      <c r="S319" s="8" t="n">
        <v>2.96</v>
      </c>
    </row>
    <row r="320">
      <c r="A320" s="4" t="n">
        <v>322</v>
      </c>
      <c r="B320" t="inlineStr">
        <is>
          <t>78</t>
        </is>
      </c>
      <c r="C320" s="1" t="n">
        <v>11.9</v>
      </c>
      <c r="D320" s="2">
        <f>HYPERLINK("https://torgi.gov.ru/new/public/lots/lot/21000002210000000183_1/(lotInfo:info)", "21000002210000000183_1")</f>
        <v/>
      </c>
      <c r="E320" t="inlineStr">
        <is>
          <t>Нежилое помещение, расположенное по адресу: Санкт-Петербург,, литера А, пом. 5-Н, назначение: нежилое помещение, наименование: нежилое помещение, этаж №1</t>
        </is>
      </c>
      <c r="F320" s="3" t="n">
        <v>142857.1428571428</v>
      </c>
      <c r="G320" s="3" t="n">
        <v>1700000</v>
      </c>
      <c r="H320" t="inlineStr">
        <is>
          <t>г Санкт-Петербург, Приморский пр-кт, д 145 к 3 литера А, помещ 5-Н</t>
        </is>
      </c>
      <c r="I320" t="inlineStr">
        <is>
          <t>25 03 22 20:00</t>
        </is>
      </c>
      <c r="J320" t="inlineStr">
        <is>
          <t>78:34:0004164:2662</t>
        </is>
      </c>
      <c r="L320" t="inlineStr">
        <is>
          <t>EA</t>
        </is>
      </c>
      <c r="M320" t="inlineStr">
        <is>
          <t>М</t>
        </is>
      </c>
      <c r="N320" s="2">
        <f>HYPERLINK("https://yandex.ru/maps/?&amp;text=59.98523, 30.207064", "59.98523, 30.207064")</f>
        <v/>
      </c>
      <c r="O320" t="n">
        <v>5057</v>
      </c>
      <c r="P320" s="7" t="n">
        <v>28.25</v>
      </c>
      <c r="R320" t="n">
        <v>5057</v>
      </c>
      <c r="S320" s="8" t="n">
        <v>28.25</v>
      </c>
    </row>
    <row r="321">
      <c r="A321" s="4" t="n">
        <v>323</v>
      </c>
      <c r="B321" t="inlineStr">
        <is>
          <t>47</t>
        </is>
      </c>
      <c r="C321" s="1" t="n">
        <v>586</v>
      </c>
      <c r="D321" s="2">
        <f>HYPERLINK("https://torgi.gov.ru/new/public/lots/lot/21000022100000000002_1/(lotInfo:info)", "21000022100000000002_1")</f>
        <v/>
      </c>
      <c r="E321" t="inlineStr">
        <is>
          <t>Нежилое помещение, назначение: нежилое помещениерасположенное по адресу:.</t>
        </is>
      </c>
      <c r="F321" s="3" t="n">
        <v>3194.539249146758</v>
      </c>
      <c r="G321" s="3" t="n">
        <v>1872000</v>
      </c>
      <c r="H321" t="inlineStr">
        <is>
          <t xml:space="preserve"> Ленинградская область, г. Сланцы, ул. Свердлова, д.1/8, пом.1</t>
        </is>
      </c>
      <c r="I321" t="inlineStr">
        <is>
          <t>22 03 22 14:00</t>
        </is>
      </c>
      <c r="J321" t="inlineStr">
        <is>
          <t xml:space="preserve">47:28:0000000:3509, </t>
        </is>
      </c>
      <c r="L321" t="inlineStr">
        <is>
          <t>PP</t>
        </is>
      </c>
      <c r="M321" t="inlineStr">
        <is>
          <t>М</t>
        </is>
      </c>
      <c r="N321" s="2" t="inlineStr">
        <is>
          <t>59.093227, 28.162193</t>
        </is>
      </c>
      <c r="O321" t="n">
        <v>323</v>
      </c>
      <c r="P321" s="7" t="n">
        <v>9.890000000000001</v>
      </c>
      <c r="R321" t="n">
        <v>506</v>
      </c>
      <c r="S321" s="8" t="n">
        <v>6.31</v>
      </c>
    </row>
    <row r="322">
      <c r="A322" s="4" t="n">
        <v>324</v>
      </c>
      <c r="B322" t="inlineStr">
        <is>
          <t>59</t>
        </is>
      </c>
      <c r="C322" s="1" t="n">
        <v>110.2</v>
      </c>
      <c r="D322" s="2">
        <f>HYPERLINK("https://torgi.gov.ru/new/public/lots/lot/21000023740000000001_3/(lotInfo:info)", "21000023740000000001_3")</f>
        <v/>
      </c>
      <c r="E322" t="inlineStr">
        <is>
          <t>Нежилое помещение,. ..</t>
        </is>
      </c>
      <c r="F322" s="3" t="n">
        <v>16243.1941923775</v>
      </c>
      <c r="G322" s="3" t="n">
        <v>1790000</v>
      </c>
      <c r="H322" t="inlineStr">
        <is>
          <t>Пермский край, г Добрянка, ул Копылова, д 67</t>
        </is>
      </c>
      <c r="I322" t="inlineStr">
        <is>
          <t>25 03 22 17:00</t>
        </is>
      </c>
      <c r="J322" t="inlineStr">
        <is>
          <t>59:18:0010602:3161</t>
        </is>
      </c>
      <c r="L322" t="inlineStr">
        <is>
          <t>EA</t>
        </is>
      </c>
      <c r="M322" t="inlineStr">
        <is>
          <t>М</t>
        </is>
      </c>
      <c r="N322" s="2">
        <f>HYPERLINK("https://yandex.ru/maps/?&amp;text=58.467343, 56.397779", "58.467343, 56.397779")</f>
        <v/>
      </c>
      <c r="O322" t="n">
        <v>707</v>
      </c>
      <c r="P322" s="7" t="n">
        <v>22.97</v>
      </c>
      <c r="R322" t="n">
        <v>727</v>
      </c>
      <c r="S322" s="8" t="n">
        <v>22.34</v>
      </c>
    </row>
    <row r="323">
      <c r="A323" s="4" t="n">
        <v>325</v>
      </c>
      <c r="B323" t="inlineStr">
        <is>
          <t>2</t>
        </is>
      </c>
      <c r="C323" s="1" t="n">
        <v>114</v>
      </c>
      <c r="D323" s="2">
        <f>HYPERLINK("https://torgi.gov.ru/new/public/lots/lot/22000053850000000001_1/(lotInfo:info)", "22000053850000000001_1")</f>
        <v/>
      </c>
      <c r="E323" t="inlineStr">
        <is>
          <t>Нежилое помещениерасположенного по адресу:, номер на этаже 4</t>
        </is>
      </c>
      <c r="F323" s="3" t="n">
        <v>48938.59649122807</v>
      </c>
      <c r="G323" s="3" t="n">
        <v>5579000</v>
      </c>
      <c r="H323" t="inlineStr">
        <is>
          <t>Респ Башкортостан, г Туймазы, ул Гагарина, зд 39</t>
        </is>
      </c>
      <c r="I323" t="inlineStr">
        <is>
          <t>22 03 22 07:00</t>
        </is>
      </c>
      <c r="J323" t="inlineStr">
        <is>
          <t xml:space="preserve">02:65:011206:451, </t>
        </is>
      </c>
      <c r="L323" t="inlineStr">
        <is>
          <t>EA</t>
        </is>
      </c>
      <c r="M323" t="inlineStr">
        <is>
          <t>М</t>
        </is>
      </c>
      <c r="N323" s="2">
        <f>HYPERLINK("https://yandex.ru/maps/?&amp;text=54.60266, 53.694893", "54.60266, 53.694893")</f>
        <v/>
      </c>
      <c r="O323" t="n">
        <v>3829</v>
      </c>
      <c r="P323" s="7" t="n">
        <v>12.78</v>
      </c>
      <c r="R323" t="n">
        <v>3829</v>
      </c>
      <c r="S323" s="8" t="n">
        <v>12.78</v>
      </c>
    </row>
    <row r="324">
      <c r="A324" s="4" t="n">
        <v>326</v>
      </c>
      <c r="B324" t="inlineStr">
        <is>
          <t>26</t>
        </is>
      </c>
      <c r="C324" s="1" t="n">
        <v>45.8</v>
      </c>
      <c r="D324" s="2">
        <f>HYPERLINK("https://torgi.gov.ru/new/public/lots/lot/21000016400000000002_14/(lotInfo:info)", "21000016400000000002_14")</f>
        <v/>
      </c>
      <c r="E324" t="inlineStr">
        <is>
          <t>Нежилое помещение, назначение нежилое помещение, этаж 1</t>
        </is>
      </c>
      <c r="F324" s="3" t="n">
        <v>25633.18777292576</v>
      </c>
      <c r="G324" s="3" t="n">
        <v>1174000</v>
      </c>
      <c r="H324" t="inlineStr">
        <is>
          <t>Ставропольский край, г Железноводск, ул Семашко, д 9-11, кв 46</t>
        </is>
      </c>
      <c r="I324" t="inlineStr">
        <is>
          <t>22 03 22 10:00</t>
        </is>
      </c>
      <c r="J324" t="inlineStr">
        <is>
          <t>26:31:010315:760</t>
        </is>
      </c>
      <c r="L324" t="inlineStr">
        <is>
          <t>EA</t>
        </is>
      </c>
      <c r="M324" t="inlineStr">
        <is>
          <t>М</t>
        </is>
      </c>
      <c r="N324">
        <f>HYPERLINK("https://yandex.ru/maps/?&amp;text=44.134393, 43.026095", "44.134393, 43.026095")</f>
        <v/>
      </c>
      <c r="O324" t="n">
        <v>190</v>
      </c>
      <c r="P324" s="7" t="n">
        <v>134.91</v>
      </c>
      <c r="R324" t="n">
        <v>893</v>
      </c>
      <c r="S324" s="8" t="n">
        <v>28.7</v>
      </c>
    </row>
    <row r="325">
      <c r="A325" s="4" t="n">
        <v>327</v>
      </c>
      <c r="B325" t="inlineStr">
        <is>
          <t>77</t>
        </is>
      </c>
      <c r="C325" s="1" t="n">
        <v>202.2</v>
      </c>
      <c r="D325" s="2">
        <f>HYPERLINK("https://torgi.gov.ru/new/public/lots/lot/21000005000000000392_1/(lotInfo:info)", "21000005000000000392_1")</f>
        <v/>
      </c>
      <c r="E325" t="inlineStr">
        <is>
          <t>Продажа имущества, находящегося в собственности города Москвы, нежилое помещение по адресу:., Этаж №1</t>
        </is>
      </c>
      <c r="F325" s="3" t="n">
        <v>44000.98911968349</v>
      </c>
      <c r="G325" s="3" t="n">
        <v>8897000</v>
      </c>
      <c r="H325" t="inlineStr">
        <is>
          <t>г Москва, Малый Купавенский проезд, д 3</t>
        </is>
      </c>
      <c r="I325" t="inlineStr">
        <is>
          <t>28 03 22 12:00</t>
        </is>
      </c>
      <c r="J325" t="inlineStr">
        <is>
          <t xml:space="preserve">77:03:0005022:2848 </t>
        </is>
      </c>
      <c r="L325" t="inlineStr">
        <is>
          <t>PP</t>
        </is>
      </c>
      <c r="M325" t="inlineStr">
        <is>
          <t>М</t>
        </is>
      </c>
      <c r="N325" s="2">
        <f>HYPERLINK("https://yandex.ru/maps/?&amp;text=55.77836, 37.83774", "55.77836, 37.83774")</f>
        <v/>
      </c>
      <c r="O325" t="n">
        <v>16944</v>
      </c>
      <c r="P325" s="7" t="n">
        <v>2.6</v>
      </c>
      <c r="R325" t="n">
        <v>16944</v>
      </c>
      <c r="S325" s="8" t="n">
        <v>2.6</v>
      </c>
    </row>
    <row r="326">
      <c r="A326" s="4" t="n">
        <v>328</v>
      </c>
      <c r="B326" t="inlineStr">
        <is>
          <t>23</t>
        </is>
      </c>
      <c r="C326" s="1" t="n">
        <v>96.3</v>
      </c>
      <c r="D326" s="2">
        <f>HYPERLINK("https://torgi.gov.ru/new/public/lots/lot/21000003580000000001_15/(lotInfo:info)", "21000003580000000001_15")</f>
        <v/>
      </c>
      <c r="E326" t="inlineStr">
        <is>
          <t>Нежилые помещения (№7-13), общей площадью 93,5 квадратных метра, нежилые помещения (№14,15) общей площадью 2,8 квадратных метра, расположенные по адресу:</t>
        </is>
      </c>
      <c r="F326" s="3" t="n">
        <v>10415.36863966771</v>
      </c>
      <c r="G326" s="3" t="n">
        <v>1003000</v>
      </c>
      <c r="H326" t="inlineStr">
        <is>
          <t>Краснодарский край, г Армавир, ул Кропоткина, д 103</t>
        </is>
      </c>
      <c r="I326" t="inlineStr">
        <is>
          <t>20 03 22 20:59</t>
        </is>
      </c>
      <c r="J326" t="inlineStr">
        <is>
          <t xml:space="preserve">23:38:0109038:788 </t>
        </is>
      </c>
      <c r="L326" t="inlineStr">
        <is>
          <t>EA</t>
        </is>
      </c>
      <c r="M326" t="inlineStr">
        <is>
          <t>М</t>
        </is>
      </c>
      <c r="N326" s="2">
        <f>HYPERLINK("https://yandex.ru/maps/?&amp;text=44.992212, 41.105596", "44.992212, 41.105596")</f>
        <v/>
      </c>
      <c r="O326" t="n">
        <v>3375</v>
      </c>
      <c r="P326" s="7" t="n">
        <v>3.09</v>
      </c>
      <c r="R326" t="n">
        <v>3375</v>
      </c>
      <c r="S326" s="8" t="n">
        <v>3.09</v>
      </c>
    </row>
    <row r="327">
      <c r="A327" s="4" t="n">
        <v>329</v>
      </c>
      <c r="B327" t="inlineStr">
        <is>
          <t>21</t>
        </is>
      </c>
      <c r="C327" s="1" t="n">
        <v>194.7</v>
      </c>
      <c r="D327" s="2">
        <f>HYPERLINK("https://torgi.gov.ru/new/public/lots/lot/22000053090000000001_1/(lotInfo:info)", "22000053090000000001_1")</f>
        <v/>
      </c>
      <c r="E327" t="inlineStr">
        <is>
          <t>Нежилое здание., расположенное по адресу:.</t>
        </is>
      </c>
      <c r="F327" s="3" t="n">
        <v>26120.26194144839</v>
      </c>
      <c r="G327" s="3" t="n">
        <v>5085615</v>
      </c>
      <c r="H327" t="inlineStr">
        <is>
          <t>Чувашская республика - Чувашия, г Канаш, ул Чкалова, д 2</t>
        </is>
      </c>
      <c r="I327" t="inlineStr">
        <is>
          <t>21 03 22 14:00</t>
        </is>
      </c>
      <c r="J327" t="inlineStr">
        <is>
          <t>21:04:060109:33</t>
        </is>
      </c>
      <c r="L327" t="inlineStr">
        <is>
          <t>EA</t>
        </is>
      </c>
      <c r="M327" t="inlineStr">
        <is>
          <t>М</t>
        </is>
      </c>
      <c r="N327" s="2">
        <f>HYPERLINK("https://yandex.ru/maps/?&amp;text=55.515273, 47.503137", "55.515273, 47.503137")</f>
        <v/>
      </c>
      <c r="O327" t="n">
        <v>3322</v>
      </c>
      <c r="P327" s="7" t="n">
        <v>7.86</v>
      </c>
      <c r="R327" t="n">
        <v>2070</v>
      </c>
      <c r="S327" s="8" t="n">
        <v>12.62</v>
      </c>
    </row>
    <row r="328">
      <c r="A328" s="4" t="n">
        <v>330</v>
      </c>
      <c r="B328" t="inlineStr">
        <is>
          <t>78</t>
        </is>
      </c>
      <c r="C328" s="1" t="n">
        <v>64.90000000000001</v>
      </c>
      <c r="D328" s="2">
        <f>HYPERLINK("https://torgi.gov.ru/new/public/lots/lot/21000002210000000173_1/(lotInfo:info)", "21000002210000000173_1")</f>
        <v/>
      </c>
      <c r="E328" t="inlineStr">
        <is>
          <t>Нежилое помещение, расположенное по адресу: Санкт-Петербург,, литера А, пом. 5-Н., назначение: нежилое помещение, наименование: салон красоты, этаж: цокольный</t>
        </is>
      </c>
      <c r="F328" s="3" t="n">
        <v>97380.58551617873</v>
      </c>
      <c r="G328" s="3" t="n">
        <v>6320000</v>
      </c>
      <c r="H328" t="inlineStr">
        <is>
          <t>г Санкт-Петербург, ул Садовая, д 101 литера А, помещ 5-Н</t>
        </is>
      </c>
      <c r="I328" t="inlineStr">
        <is>
          <t>23 03 22 20:00</t>
        </is>
      </c>
      <c r="J328" t="inlineStr">
        <is>
          <t>78:32:0001156:1320</t>
        </is>
      </c>
      <c r="L328" t="inlineStr">
        <is>
          <t>EA</t>
        </is>
      </c>
      <c r="M328" t="inlineStr">
        <is>
          <t>М</t>
        </is>
      </c>
      <c r="N328" s="2">
        <f>HYPERLINK("https://yandex.ru/maps/?&amp;text=59.91908, 30.289503", "59.91908, 30.289503")</f>
        <v/>
      </c>
      <c r="O328" t="n">
        <v>5515</v>
      </c>
      <c r="P328" s="7" t="n">
        <v>17.66</v>
      </c>
      <c r="R328" t="n">
        <v>10599</v>
      </c>
      <c r="S328" s="8" t="n">
        <v>9.19</v>
      </c>
    </row>
    <row r="329">
      <c r="A329" s="4" t="n">
        <v>331</v>
      </c>
      <c r="B329" t="inlineStr">
        <is>
          <t>53</t>
        </is>
      </c>
      <c r="C329" s="1" t="n">
        <v>30.3</v>
      </c>
      <c r="D329" s="2">
        <f>HYPERLINK("https://torgi.gov.ru/new/public/lots/lot/22000022680000000001_1/(lotInfo:info)", "22000022680000000001_1")</f>
        <v/>
      </c>
      <c r="E329" t="inlineStr">
        <is>
          <t>нежилое помещение</t>
        </is>
      </c>
      <c r="F329" s="3" t="n">
        <v>71242.57425742575</v>
      </c>
      <c r="G329" s="3" t="n">
        <v>2158650</v>
      </c>
      <c r="H329" t="inlineStr">
        <is>
          <t>Новгородская обл, г Старая Русса, ул Профсоюзная, д 1 к 3</t>
        </is>
      </c>
      <c r="I329" t="inlineStr">
        <is>
          <t>21 03 22 14:30</t>
        </is>
      </c>
      <c r="J329" t="inlineStr">
        <is>
          <t xml:space="preserve">53:24:0000000:6352, </t>
        </is>
      </c>
      <c r="L329" t="inlineStr">
        <is>
          <t>EA</t>
        </is>
      </c>
      <c r="M329" t="inlineStr">
        <is>
          <t>М</t>
        </is>
      </c>
      <c r="N329">
        <f>HYPERLINK("https://yandex.ru/maps/?&amp;text=57.990744, 31.368667", "57.990744, 31.368667")</f>
        <v/>
      </c>
      <c r="O329" t="n">
        <v>233</v>
      </c>
      <c r="P329" s="7" t="n">
        <v>305.76</v>
      </c>
      <c r="R329" t="n">
        <v>298</v>
      </c>
      <c r="S329" s="8" t="n">
        <v>239.07</v>
      </c>
    </row>
    <row r="330">
      <c r="A330" s="4" t="n">
        <v>332</v>
      </c>
      <c r="B330" t="inlineStr">
        <is>
          <t>42</t>
        </is>
      </c>
      <c r="C330" s="1" t="n">
        <v>125.7</v>
      </c>
      <c r="D330" s="2">
        <f>HYPERLINK("https://torgi.gov.ru/new/public/lots/lot/21000002310000000037_1/(lotInfo:info)", "21000002310000000037_1")</f>
        <v/>
      </c>
      <c r="E330" t="inlineStr">
        <is>
          <t>Нежилое помещение.расположенное по адресу: (реестровый номер федерального имущества П13430000796).</t>
        </is>
      </c>
      <c r="F330" s="3" t="n">
        <v>5712.019093078759</v>
      </c>
      <c r="G330" s="3" t="n">
        <v>718000.8</v>
      </c>
      <c r="H330" t="inlineStr">
        <is>
          <t>Кемеровская область - Кузбасс, г Топки, ул Революции, д 3</t>
        </is>
      </c>
      <c r="I330" t="inlineStr">
        <is>
          <t>20 03 22 13:00</t>
        </is>
      </c>
      <c r="J330" t="inlineStr">
        <is>
          <t xml:space="preserve">42:35:0107004:1359, </t>
        </is>
      </c>
      <c r="L330" t="inlineStr">
        <is>
          <t>PP</t>
        </is>
      </c>
      <c r="M330" t="inlineStr">
        <is>
          <t>М</t>
        </is>
      </c>
      <c r="N330" s="2">
        <f>HYPERLINK("https://yandex.ru/maps/?&amp;text=55.281672, 85.627242", "55.281672, 85.627242")</f>
        <v/>
      </c>
      <c r="O330" t="n">
        <v>1365</v>
      </c>
      <c r="P330" s="7" t="n">
        <v>4.18</v>
      </c>
      <c r="R330" t="n">
        <v>1418</v>
      </c>
      <c r="S330" s="8" t="n">
        <v>4.03</v>
      </c>
    </row>
    <row r="331">
      <c r="A331" s="4" t="n">
        <v>333</v>
      </c>
      <c r="B331" t="inlineStr">
        <is>
          <t>24</t>
        </is>
      </c>
      <c r="C331" s="1" t="n">
        <v>10.4</v>
      </c>
      <c r="D331" s="2">
        <f>HYPERLINK("https://torgi.gov.ru/new/public/lots/lot/21000014890000000014_1/(lotInfo:info)", "21000014890000000014_1")</f>
        <v/>
      </c>
      <c r="E331" t="inlineStr">
        <is>
          <t>нежилое помещение расположено по адресу:. Нежилое помещение находится на первом этаже десятиэтажного панельного жилого дома 1989 года постройки. Отдельный вход имеется.</t>
        </is>
      </c>
      <c r="F331" s="3" t="n">
        <v>120841.3461538462</v>
      </c>
      <c r="G331" s="3" t="n">
        <v>1256750</v>
      </c>
      <c r="H331" t="inlineStr">
        <is>
          <t>г Красноярск, ул Октябрьская, д 1, помещ 215</t>
        </is>
      </c>
      <c r="I331" t="inlineStr">
        <is>
          <t>21 03 22 10:00</t>
        </is>
      </c>
      <c r="J331" t="inlineStr">
        <is>
          <t xml:space="preserve">24:50:0400127:805 </t>
        </is>
      </c>
      <c r="L331" t="inlineStr">
        <is>
          <t>EA</t>
        </is>
      </c>
      <c r="M331" t="inlineStr">
        <is>
          <t>М</t>
        </is>
      </c>
      <c r="N331" s="2">
        <f>HYPERLINK("https://yandex.ru/maps/?&amp;text=56.034843, 92.919092", "56.034843, 92.919092")</f>
        <v/>
      </c>
      <c r="O331" t="n">
        <v>3572</v>
      </c>
      <c r="P331" s="7" t="n">
        <v>33.83</v>
      </c>
      <c r="R331" t="n">
        <v>3572</v>
      </c>
      <c r="S331" s="8" t="n">
        <v>33.83</v>
      </c>
    </row>
    <row r="332">
      <c r="A332" s="4" t="n">
        <v>334</v>
      </c>
      <c r="B332" t="inlineStr">
        <is>
          <t>24</t>
        </is>
      </c>
      <c r="C332" s="1" t="n">
        <v>35.2</v>
      </c>
      <c r="D332" s="2">
        <f>HYPERLINK("https://torgi.gov.ru/new/public/lots/lot/21000014890000000011_1/(lotInfo:info)", "21000014890000000011_1")</f>
        <v/>
      </c>
      <c r="E332" t="inlineStr">
        <is>
          <t>нежилое помещение расположено по адресу:.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      </is>
      </c>
      <c r="F332" s="3" t="n">
        <v>29659.09090909091</v>
      </c>
      <c r="G332" s="3" t="n">
        <v>1044000</v>
      </c>
      <c r="H332" t="inlineStr">
        <is>
          <t>г Красноярск, ул Александра Матросова, д 30/3, помещ 54</t>
        </is>
      </c>
      <c r="I332" t="inlineStr">
        <is>
          <t>21 03 22 10:00</t>
        </is>
      </c>
      <c r="J332" t="inlineStr">
        <is>
          <t xml:space="preserve">24:50:0700261:1479 </t>
        </is>
      </c>
      <c r="L332" t="inlineStr">
        <is>
          <t>EA</t>
        </is>
      </c>
      <c r="M332" t="inlineStr">
        <is>
          <t>М</t>
        </is>
      </c>
      <c r="N332" s="2">
        <f>HYPERLINK("https://yandex.ru/maps/?&amp;text=55.976074, 92.886795", "55.976074, 92.886795")</f>
        <v/>
      </c>
      <c r="O332" t="n">
        <v>5396</v>
      </c>
      <c r="P332" s="7" t="n">
        <v>5.5</v>
      </c>
      <c r="R332" t="n">
        <v>4937</v>
      </c>
      <c r="S332" s="8" t="n">
        <v>6.01</v>
      </c>
    </row>
    <row r="333">
      <c r="A333" s="4" t="n">
        <v>335</v>
      </c>
      <c r="B333" t="inlineStr">
        <is>
          <t>69</t>
        </is>
      </c>
      <c r="C333" s="1" t="n">
        <v>73.2</v>
      </c>
      <c r="D333" s="2">
        <f>HYPERLINK("https://torgi.gov.ru/new/public/lots/lot/22000007080000000003_1/(lotInfo:info)", "22000007080000000003_1")</f>
        <v/>
      </c>
      <c r="E333" t="inlineStr">
        <is>
          <t>нежилое помещение</t>
        </is>
      </c>
      <c r="F333" s="3" t="n">
        <v>21516.99453551913</v>
      </c>
      <c r="G333" s="3" t="n">
        <v>1575044</v>
      </c>
      <c r="H333" t="inlineStr">
        <is>
          <t>г Красноярск, ул Александра Матросова, д 30/3, помещ 54</t>
        </is>
      </c>
      <c r="I333" t="inlineStr">
        <is>
          <t>09 03 22 14:00</t>
        </is>
      </c>
      <c r="L333" t="inlineStr">
        <is>
          <t>EA</t>
        </is>
      </c>
      <c r="M333" t="inlineStr">
        <is>
          <t>М</t>
        </is>
      </c>
      <c r="N333" s="2">
        <f>HYPERLINK("https://yandex.ru/maps/?&amp;text=55.976074, 92.886795", "55.976074, 92.886795")</f>
        <v/>
      </c>
      <c r="O333" t="n">
        <v>5396</v>
      </c>
      <c r="P333" s="7" t="n">
        <v>3.99</v>
      </c>
      <c r="R333" t="n">
        <v>4937</v>
      </c>
      <c r="S333" s="8" t="n">
        <v>4.36</v>
      </c>
    </row>
    <row r="334">
      <c r="A334" s="4" t="n">
        <v>336</v>
      </c>
      <c r="B334" t="inlineStr">
        <is>
          <t>78</t>
        </is>
      </c>
      <c r="C334" s="1" t="n">
        <v>27.4</v>
      </c>
      <c r="D334" s="2">
        <f>HYPERLINK("https://torgi.gov.ru/new/public/lots/lot/21000002210000000161_1/(lotInfo:info)", "21000002210000000161_1")</f>
        <v/>
      </c>
      <c r="E334" t="inlineStr">
        <is>
          <t>Нежилое помещение, расположенное по адресу: Санкт-Петербург,, литера А, пом. 5-Н., назначение: нежилое помещение, наименование: помещение, этаж № 1</t>
        </is>
      </c>
      <c r="F334" s="3" t="n">
        <v>135766.4233576642</v>
      </c>
      <c r="G334" s="3" t="n">
        <v>3720000</v>
      </c>
      <c r="H334" t="inlineStr">
        <is>
          <t>г Санкт-Петербург, ул 8-я Советская, д 14 литера А, помещ 5-Н</t>
        </is>
      </c>
      <c r="I334" t="inlineStr">
        <is>
          <t>22 03 22 20:00</t>
        </is>
      </c>
      <c r="J334" t="inlineStr">
        <is>
          <t>78:31:0001422:1235</t>
        </is>
      </c>
      <c r="L334" t="inlineStr">
        <is>
          <t>EA</t>
        </is>
      </c>
      <c r="M334" t="inlineStr">
        <is>
          <t>М</t>
        </is>
      </c>
      <c r="N334" s="2">
        <f>HYPERLINK("https://yandex.ru/maps/?&amp;text=59.937247, 30.372767", "59.937247, 30.372767")</f>
        <v/>
      </c>
      <c r="O334" t="n">
        <v>9475</v>
      </c>
      <c r="P334" s="7" t="n">
        <v>14.33</v>
      </c>
      <c r="R334" t="n">
        <v>9788</v>
      </c>
      <c r="S334" s="8" t="n">
        <v>13.87</v>
      </c>
    </row>
    <row r="335">
      <c r="A335" s="4" t="n">
        <v>337</v>
      </c>
      <c r="B335" t="inlineStr">
        <is>
          <t>71</t>
        </is>
      </c>
      <c r="C335" s="1" t="n">
        <v>256.1</v>
      </c>
      <c r="D335" s="2">
        <f>HYPERLINK("https://torgi.gov.ru/new/public/lots/lot/21000018800000000001_2/(lotInfo:info)", "21000018800000000001_2")</f>
        <v/>
      </c>
      <c r="E335" t="inlineStr">
        <is>
          <t>Нежилое помещение, этаж № 3</t>
        </is>
      </c>
      <c r="F335" s="3" t="n">
        <v>4295.197188598204</v>
      </c>
      <c r="G335" s="3" t="n">
        <v>1100000</v>
      </c>
      <c r="H335" t="inlineStr">
        <is>
          <t>Тульская область, г.Тула, Привокзальный район, бывший п.Косая Гора, ул. М.Горького, д. 15-а</t>
        </is>
      </c>
      <c r="I335" t="inlineStr">
        <is>
          <t>21 03 22 14:00</t>
        </is>
      </c>
      <c r="J335" t="inlineStr">
        <is>
          <t xml:space="preserve">71:30:070707:1257 </t>
        </is>
      </c>
      <c r="L335" t="inlineStr">
        <is>
          <t>PP</t>
        </is>
      </c>
      <c r="M335" t="inlineStr">
        <is>
          <t>М</t>
        </is>
      </c>
      <c r="N335" t="inlineStr">
        <is>
          <t>54.118553, 37.545941</t>
        </is>
      </c>
      <c r="O335" t="n">
        <v>2840</v>
      </c>
      <c r="P335" s="7" t="n">
        <v>1.51</v>
      </c>
      <c r="R335" t="n">
        <v>2902</v>
      </c>
      <c r="S335" s="8" t="n">
        <v>1.48</v>
      </c>
    </row>
    <row r="336">
      <c r="A336" s="4" t="n">
        <v>338</v>
      </c>
      <c r="B336" t="inlineStr">
        <is>
          <t>22</t>
        </is>
      </c>
      <c r="C336" s="1" t="n">
        <v>118.1</v>
      </c>
      <c r="D336" s="2">
        <f>HYPERLINK("https://torgi.gov.ru/new/public/lots/lot/21000016450000000002_1/(lotInfo:info)", "21000016450000000002_1")</f>
        <v/>
      </c>
      <c r="E336" t="inlineStr">
        <is>
          <t>Нежилое помещение № 70 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      </is>
      </c>
      <c r="F336" s="3" t="n">
        <v>9278.001693480102</v>
      </c>
      <c r="G336" s="3" t="n">
        <v>1095732</v>
      </c>
      <c r="H336" t="inlineStr">
        <is>
          <t>Алтайский край, г Рубцовск, ул Дзержинского, д 31</t>
        </is>
      </c>
      <c r="I336" t="inlineStr">
        <is>
          <t>16 03 22 03:00</t>
        </is>
      </c>
      <c r="J336" t="inlineStr">
        <is>
          <t>22:70:021002:778</t>
        </is>
      </c>
      <c r="L336" t="inlineStr">
        <is>
          <t>EA</t>
        </is>
      </c>
      <c r="M336" t="inlineStr">
        <is>
          <t>М</t>
        </is>
      </c>
      <c r="N336" s="2">
        <f>HYPERLINK("https://yandex.ru/maps/?&amp;text=51.523357, 81.22472", "51.523357, 81.22472")</f>
        <v/>
      </c>
      <c r="O336" t="n">
        <v>2064</v>
      </c>
      <c r="P336" s="7" t="n">
        <v>4.5</v>
      </c>
      <c r="R336" t="n">
        <v>1956</v>
      </c>
      <c r="S336" s="8" t="n">
        <v>4.74</v>
      </c>
    </row>
    <row r="337">
      <c r="A337" s="4" t="n">
        <v>339</v>
      </c>
      <c r="B337" t="inlineStr">
        <is>
          <t>54</t>
        </is>
      </c>
      <c r="C337" s="1" t="n">
        <v>140.5</v>
      </c>
      <c r="D337" s="2">
        <f>HYPERLINK("https://torgi.gov.ru/new/public/lots/lot/21000008240000000005_1/(lotInfo:info)", "21000008240000000005_1")</f>
        <v/>
      </c>
      <c r="E337" t="inlineStr">
        <is>
          <t>Нежилое помещение на 1 этаже по адресу:. .</t>
        </is>
      </c>
      <c r="F337" s="3" t="n">
        <v>13928.8256227758</v>
      </c>
      <c r="G337" s="3" t="n">
        <v>1957000</v>
      </c>
      <c r="H337" t="inlineStr">
        <is>
          <t>г Новосибирск, ул Большая</t>
        </is>
      </c>
      <c r="I337" t="inlineStr">
        <is>
          <t>14 03 22 07:00</t>
        </is>
      </c>
      <c r="J337" t="inlineStr">
        <is>
          <t>54:35:061490:3590</t>
        </is>
      </c>
      <c r="L337" t="inlineStr">
        <is>
          <t>EA</t>
        </is>
      </c>
      <c r="M337" t="inlineStr">
        <is>
          <t>М</t>
        </is>
      </c>
      <c r="N337" s="2">
        <f>HYPERLINK("https://yandex.ru/maps/?&amp;text=55.011144, 82.856505", "55.011144, 82.856505")</f>
        <v/>
      </c>
      <c r="O337" t="n">
        <v>4728</v>
      </c>
      <c r="P337" s="7" t="n">
        <v>2.95</v>
      </c>
      <c r="R337" t="n">
        <v>4728</v>
      </c>
      <c r="S337" s="8" t="n">
        <v>2.95</v>
      </c>
    </row>
    <row r="338">
      <c r="A338" s="4" t="n">
        <v>340</v>
      </c>
      <c r="B338" t="inlineStr">
        <is>
          <t>54</t>
        </is>
      </c>
      <c r="C338" s="1" t="n">
        <v>72.09999999999999</v>
      </c>
      <c r="D338" s="2">
        <f>HYPERLINK("https://torgi.gov.ru/new/public/lots/lot/21000008240000000005_4/(lotInfo:info)", "21000008240000000005_4")</f>
        <v/>
      </c>
      <c r="E338" t="inlineStr">
        <is>
          <t>4. Нежилое помещение на цокольном этаже по адресу:. .</t>
        </is>
      </c>
      <c r="F338" s="3" t="n">
        <v>21317.61442441054</v>
      </c>
      <c r="G338" s="3" t="n">
        <v>1537000</v>
      </c>
      <c r="H338" t="inlineStr">
        <is>
          <t>г Новосибирск, ул Сибиряков-Гвардейцев, д 44/4</t>
        </is>
      </c>
      <c r="I338" t="inlineStr">
        <is>
          <t>14 03 22 07:00</t>
        </is>
      </c>
      <c r="J338" t="inlineStr">
        <is>
          <t>54:35:051835:828</t>
        </is>
      </c>
      <c r="L338" t="inlineStr">
        <is>
          <t>EA</t>
        </is>
      </c>
      <c r="M338" t="inlineStr">
        <is>
          <t>М</t>
        </is>
      </c>
      <c r="N338" s="2">
        <f>HYPERLINK("https://yandex.ru/maps/?&amp;text=54.966086, 82.8994", "54.966086, 82.8994")</f>
        <v/>
      </c>
      <c r="O338" t="n">
        <v>3653</v>
      </c>
      <c r="P338" s="7" t="n">
        <v>5.84</v>
      </c>
      <c r="R338" t="n">
        <v>4398</v>
      </c>
      <c r="S338" s="8" t="n">
        <v>4.85</v>
      </c>
    </row>
    <row r="339">
      <c r="A339" s="4" t="n">
        <v>341</v>
      </c>
      <c r="B339" t="inlineStr">
        <is>
          <t>55</t>
        </is>
      </c>
      <c r="C339" s="1" t="n">
        <v>73.2</v>
      </c>
      <c r="D339" s="2">
        <f>HYPERLINK("https://torgi.gov.ru/new/public/lots/lot/22000012250000000003_3/(lotInfo:info)", "22000012250000000003_3")</f>
        <v/>
      </c>
      <c r="E339" t="inlineStr">
        <is>
          <t>Нежилое помещение 5П расположенное на 1 этаже</t>
        </is>
      </c>
      <c r="F339" s="3" t="n">
        <v>26369.94535519126</v>
      </c>
      <c r="G339" s="3" t="n">
        <v>1930280</v>
      </c>
      <c r="H339" t="inlineStr">
        <is>
          <t>г Омск, Космический пр-кт, д 18</t>
        </is>
      </c>
      <c r="I339" t="inlineStr">
        <is>
          <t>18 03 22 10:00</t>
        </is>
      </c>
      <c r="J339" t="inlineStr">
        <is>
          <t xml:space="preserve">55:36:000000:27362, </t>
        </is>
      </c>
      <c r="L339" t="inlineStr">
        <is>
          <t>EA</t>
        </is>
      </c>
      <c r="M339" t="inlineStr">
        <is>
          <t>М</t>
        </is>
      </c>
      <c r="N339">
        <f>HYPERLINK("https://yandex.ru/maps/?&amp;text=54.971967, 73.452842", "54.971967, 73.452842")</f>
        <v/>
      </c>
      <c r="O339" t="n">
        <v>3647</v>
      </c>
      <c r="P339" s="7" t="n">
        <v>7.23</v>
      </c>
      <c r="R339" t="n">
        <v>3647</v>
      </c>
      <c r="S339" s="8" t="n">
        <v>7.23</v>
      </c>
    </row>
    <row r="340">
      <c r="A340" s="4" t="n">
        <v>342</v>
      </c>
      <c r="B340" t="inlineStr">
        <is>
          <t>86</t>
        </is>
      </c>
      <c r="C340" s="1" t="n">
        <v>310</v>
      </c>
      <c r="D340" s="2">
        <f>HYPERLINK("https://torgi.gov.ru/new/public/lots/lot/21000027580000000002_1/(lotInfo:info)", "21000027580000000002_1")</f>
        <v/>
      </c>
      <c r="E340" t="inlineStr">
        <is>
          <t>этаж 1, адрес: Ханты-Мансийский автономный округ – Югра,</t>
        </is>
      </c>
      <c r="F340" s="3" t="n">
        <v>4441.935483870968</v>
      </c>
      <c r="G340" s="3" t="n">
        <v>1377000</v>
      </c>
      <c r="H340" t="inlineStr">
        <is>
          <t>Ханты-Мансийский Автономный округ - Югра, г Нижневартовск, ул Ленина, зд 5/П стр 4, помещ 1003</t>
        </is>
      </c>
      <c r="I340" t="inlineStr">
        <is>
          <t>25 03 22 14:00</t>
        </is>
      </c>
      <c r="J340" t="inlineStr">
        <is>
          <t xml:space="preserve">86:11:0000000:75741, </t>
        </is>
      </c>
      <c r="L340" t="inlineStr">
        <is>
          <t>EA</t>
        </is>
      </c>
      <c r="M340" t="inlineStr">
        <is>
          <t>М</t>
        </is>
      </c>
      <c r="N340" s="2">
        <f>HYPERLINK("https://yandex.ru/maps/?&amp;text=60.933199, 76.59558", "60.933199, 76.59558")</f>
        <v/>
      </c>
      <c r="O340" t="n">
        <v>3300</v>
      </c>
      <c r="P340" s="7" t="n">
        <v>1.35</v>
      </c>
      <c r="R340" t="n">
        <v>3571</v>
      </c>
      <c r="S340" s="8" t="n">
        <v>1.24</v>
      </c>
    </row>
    <row r="341">
      <c r="A341" s="4" t="n">
        <v>343</v>
      </c>
      <c r="B341" t="inlineStr">
        <is>
          <t>66</t>
        </is>
      </c>
      <c r="C341" s="1" t="n">
        <v>201.1</v>
      </c>
      <c r="D341" s="2">
        <f>HYPERLINK("https://torgi.gov.ru/new/public/lots/lot/22000034760000000022_1/(lotInfo:info)", "22000034760000000022_1")</f>
        <v/>
      </c>
      <c r="E341" t="inlineStr">
        <is>
          <t>В соответствии с Извещением</t>
        </is>
      </c>
      <c r="F341" s="3" t="n">
        <v>31859.77125808056</v>
      </c>
      <c r="G341" s="3" t="n">
        <v>6407000</v>
      </c>
      <c r="H341" t="inlineStr">
        <is>
          <t>г Екатеринбург, пр-кт Ленина, д 69 к 13</t>
        </is>
      </c>
      <c r="I341" t="inlineStr">
        <is>
          <t>28 03 22 14:30</t>
        </is>
      </c>
      <c r="J341" t="inlineStr">
        <is>
          <t>66:41:0704007:4132</t>
        </is>
      </c>
      <c r="L341" t="inlineStr">
        <is>
          <t>EK</t>
        </is>
      </c>
      <c r="M341" t="inlineStr">
        <is>
          <t>М</t>
        </is>
      </c>
      <c r="N341" s="2">
        <f>HYPERLINK("https://yandex.ru/maps/?&amp;text=56.842384, 60.621172", "56.842384, 60.621172")</f>
        <v/>
      </c>
      <c r="O341" t="n">
        <v>4275</v>
      </c>
      <c r="P341" s="7" t="n">
        <v>7.45</v>
      </c>
      <c r="R341" t="n">
        <v>4492</v>
      </c>
      <c r="S341" s="8" t="n">
        <v>7.09</v>
      </c>
    </row>
    <row r="342">
      <c r="A342" s="4" t="n">
        <v>344</v>
      </c>
      <c r="B342" t="inlineStr">
        <is>
          <t>68</t>
        </is>
      </c>
      <c r="C342" s="1" t="n">
        <v>137.3</v>
      </c>
      <c r="D342" s="2">
        <f>HYPERLINK("https://torgi.gov.ru/new/public/lots/lot/22000032990000000006_1/(lotInfo:info)", "22000032990000000006_1")</f>
        <v/>
      </c>
      <c r="E342" t="inlineStr">
        <is>
          <t>нежилое помещение., назначение: нежилое: этаж: 1адрес:.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      </is>
      </c>
      <c r="F342" s="3" t="n">
        <v>8341.587764020393</v>
      </c>
      <c r="G342" s="3" t="n">
        <v>1145300</v>
      </c>
      <c r="H342" t="inlineStr">
        <is>
          <t>Тамбовская обл, г Моршанск, ул Куйбышева, д 32, помещ 78</t>
        </is>
      </c>
      <c r="I342" t="inlineStr">
        <is>
          <t>21 03 22 21:00</t>
        </is>
      </c>
      <c r="J342" t="inlineStr">
        <is>
          <t xml:space="preserve">68:27:0000105:841, </t>
        </is>
      </c>
      <c r="L342" t="inlineStr">
        <is>
          <t>EA</t>
        </is>
      </c>
      <c r="M342" t="inlineStr">
        <is>
          <t>М</t>
        </is>
      </c>
      <c r="N342" s="2">
        <f>HYPERLINK("https://yandex.ru/maps/?&amp;text=53.441117, 41.776673", "53.441117, 41.776673")</f>
        <v/>
      </c>
      <c r="O342" t="n">
        <v>1492</v>
      </c>
      <c r="P342" s="7" t="n">
        <v>5.59</v>
      </c>
      <c r="R342" t="n">
        <v>2098</v>
      </c>
      <c r="S342" s="8" t="n">
        <v>3.98</v>
      </c>
    </row>
    <row r="343">
      <c r="A343" s="4" t="n">
        <v>345</v>
      </c>
      <c r="B343" t="inlineStr">
        <is>
          <t>78</t>
        </is>
      </c>
      <c r="C343" s="1" t="n">
        <v>20.2</v>
      </c>
      <c r="D343" s="2">
        <f>HYPERLINK("https://torgi.gov.ru/new/public/lots/lot/21000002210000000147_1/(lotInfo:info)", "21000002210000000147_1")</f>
        <v/>
      </c>
      <c r="E343" t="inlineStr">
        <is>
          <t>Нежилое помещение, расположенное по адресу: Санкт-Петербург,, литера А, пом. 1-Н, назначение: нежилое помещение, наименование: нежилое помещение, этаж №1</t>
        </is>
      </c>
      <c r="F343" s="3" t="n">
        <v>175247.5247524753</v>
      </c>
      <c r="G343" s="3" t="n">
        <v>3540000</v>
      </c>
      <c r="H343" t="inlineStr">
        <is>
          <t>г Санкт-Петербург, ул 8-я Красноармейская, д 4/5 литера А, помещ 1-Н</t>
        </is>
      </c>
      <c r="I343" t="inlineStr">
        <is>
          <t>21 03 22 20:00</t>
        </is>
      </c>
      <c r="J343" t="inlineStr">
        <is>
          <t>78:32:0001651:1077</t>
        </is>
      </c>
      <c r="L343" t="inlineStr">
        <is>
          <t>EA</t>
        </is>
      </c>
      <c r="M343" t="inlineStr">
        <is>
          <t>М</t>
        </is>
      </c>
      <c r="N343" s="2">
        <f>HYPERLINK("https://yandex.ru/maps/?&amp;text=59.91432, 30.30535", "59.91432, 30.30535")</f>
        <v/>
      </c>
      <c r="O343" t="n">
        <v>8314</v>
      </c>
      <c r="P343" s="7" t="n">
        <v>21.08</v>
      </c>
      <c r="R343" t="n">
        <v>8314</v>
      </c>
      <c r="S343" s="8" t="n">
        <v>21.08</v>
      </c>
    </row>
    <row r="344">
      <c r="A344" s="4" t="n">
        <v>346</v>
      </c>
      <c r="B344" t="inlineStr">
        <is>
          <t>52</t>
        </is>
      </c>
      <c r="C344" s="1" t="n">
        <v>81.90000000000001</v>
      </c>
      <c r="D344" s="2">
        <f>HYPERLINK("https://torgi.gov.ru/new/public/lots/lot/21000019830000000001_1/(lotInfo:info)", "21000019830000000001_1")</f>
        <v/>
      </c>
      <c r="E344" t="inlineStr">
        <is>
          <t>Наименование объекта: нежилое помещение., этажность: 1(один). Адрес объекта: 607490,.</t>
        </is>
      </c>
      <c r="F344" s="3" t="n">
        <v>22307.6923076923</v>
      </c>
      <c r="G344" s="3" t="n">
        <v>1827000</v>
      </c>
      <c r="H344" t="inlineStr">
        <is>
          <t>Нижегородская обл, рп Пильна, ул Ленина, д 105, помещ 1</t>
        </is>
      </c>
      <c r="I344" t="inlineStr">
        <is>
          <t>24 03 22 21:00</t>
        </is>
      </c>
      <c r="J344" t="inlineStr">
        <is>
          <t>52:46:0200502:108</t>
        </is>
      </c>
      <c r="L344" t="inlineStr">
        <is>
          <t>EA</t>
        </is>
      </c>
      <c r="M344" t="inlineStr">
        <is>
          <t>М</t>
        </is>
      </c>
      <c r="N344" s="2">
        <f>HYPERLINK("https://yandex.ru/maps/?&amp;text=55.554603, 45.917763", "55.554603, 45.917763")</f>
        <v/>
      </c>
      <c r="O344" t="n">
        <v>679</v>
      </c>
      <c r="P344" s="7" t="n">
        <v>32.85</v>
      </c>
      <c r="R344" t="n">
        <v>484</v>
      </c>
      <c r="S344" s="8" t="n">
        <v>46.09</v>
      </c>
    </row>
    <row r="345">
      <c r="A345" s="4" t="n">
        <v>347</v>
      </c>
      <c r="B345" t="inlineStr">
        <is>
          <t>77</t>
        </is>
      </c>
      <c r="C345" s="1" t="n">
        <v>14.4</v>
      </c>
      <c r="D345" s="2">
        <f>HYPERLINK("https://torgi.gov.ru/new/public/lots/lot/21000005000000000327_1/(lotInfo:info)", "21000005000000000327_1")</f>
        <v/>
      </c>
      <c r="E345" t="inlineStr">
        <is>
          <t>Продажа имущества, находящегося в собственности города Москвы, нежилое помещение по адресу: (Этаж № 1)</t>
        </is>
      </c>
      <c r="F345" s="3" t="n">
        <v>474229.1666666666</v>
      </c>
      <c r="G345" s="3" t="n">
        <v>6828900</v>
      </c>
      <c r="H345" t="inlineStr">
        <is>
          <t>г Москва, пр-кт Мира, д 38, помещ 1/1</t>
        </is>
      </c>
      <c r="I345" t="inlineStr">
        <is>
          <t>21 03 22 12:00</t>
        </is>
      </c>
      <c r="J345" t="inlineStr">
        <is>
          <t>77:01:0003050:2905</t>
        </is>
      </c>
      <c r="L345" t="inlineStr">
        <is>
          <t>EA</t>
        </is>
      </c>
      <c r="M345" t="inlineStr">
        <is>
          <t>М</t>
        </is>
      </c>
      <c r="N345" s="2">
        <f>HYPERLINK("https://yandex.ru/maps/?&amp;text=55.779606, 37.633706", "55.779606, 37.633706")</f>
        <v/>
      </c>
      <c r="O345" t="n">
        <v>8231</v>
      </c>
      <c r="P345" s="7" t="n">
        <v>57.62</v>
      </c>
      <c r="R345" t="n">
        <v>8390</v>
      </c>
      <c r="S345" s="8" t="n">
        <v>56.52</v>
      </c>
    </row>
    <row r="346">
      <c r="A346" s="4" t="n">
        <v>348</v>
      </c>
      <c r="B346" t="inlineStr">
        <is>
          <t>16</t>
        </is>
      </c>
      <c r="C346" s="1" t="n">
        <v>1838.6</v>
      </c>
      <c r="D346" s="2">
        <f>HYPERLINK("https://torgi.gov.ru/new/public/lots/lot/21000012500000000001_2/(lotInfo:info)", "21000012500000000001_2")</f>
        <v/>
      </c>
      <c r="E346" t="inlineStr">
        <is>
          <t>Нежилое помещение, расположенное по адресу:.</t>
        </is>
      </c>
      <c r="F346" s="3" t="n">
        <v>1006.200369846622</v>
      </c>
      <c r="G346" s="3" t="n">
        <v>1850000</v>
      </c>
      <c r="H346" t="inlineStr">
        <is>
          <t>Респ Татарстан, г Заинск, ул Автозаводская, д 5/3, помещ 1003</t>
        </is>
      </c>
      <c r="I346" t="inlineStr">
        <is>
          <t>21 03 22 14:00</t>
        </is>
      </c>
      <c r="J346" t="inlineStr">
        <is>
          <t>16:48:050211:7733</t>
        </is>
      </c>
      <c r="L346" t="inlineStr">
        <is>
          <t>PP</t>
        </is>
      </c>
      <c r="M346" t="inlineStr">
        <is>
          <t>М</t>
        </is>
      </c>
      <c r="N346" s="2">
        <f>HYPERLINK("https://yandex.ru/maps/?&amp;text=55.30343, 51.9898", "55.30343, 51.9898")</f>
        <v/>
      </c>
      <c r="O346" t="n">
        <v>982</v>
      </c>
      <c r="P346" s="7" t="n">
        <v>1.02</v>
      </c>
      <c r="R346" t="n">
        <v>982</v>
      </c>
      <c r="S346" s="8" t="n">
        <v>1.02</v>
      </c>
    </row>
    <row r="347">
      <c r="A347" s="4" t="n">
        <v>349</v>
      </c>
      <c r="B347" t="inlineStr">
        <is>
          <t>22</t>
        </is>
      </c>
      <c r="C347" s="1" t="n">
        <v>198.2</v>
      </c>
      <c r="D347" s="2">
        <f>HYPERLINK("https://torgi.gov.ru/new/public/lots/lot/21000015510000000006_1/(lotInfo:info)", "21000015510000000006_1")</f>
        <v/>
      </c>
      <c r="E347" t="inlineStr">
        <is>
          <t>Нежилое помещение Н2 на 1-м, 2-м этажах  по, Алтайский край)</t>
        </is>
      </c>
      <c r="F347" s="3" t="n">
        <v>24621.59434914228</v>
      </c>
      <c r="G347" s="3" t="n">
        <v>4880000</v>
      </c>
      <c r="H347" t="inlineStr">
        <is>
          <t>г Барнаул, ул Пушкина, д 50</t>
        </is>
      </c>
      <c r="I347" t="inlineStr">
        <is>
          <t>21 03 22 14:00</t>
        </is>
      </c>
      <c r="J347" t="inlineStr">
        <is>
          <t>22:63:050240:68</t>
        </is>
      </c>
      <c r="L347" t="inlineStr">
        <is>
          <t>EA</t>
        </is>
      </c>
      <c r="M347" t="inlineStr">
        <is>
          <t>М</t>
        </is>
      </c>
      <c r="N347" s="2">
        <f>HYPERLINK("https://yandex.ru/maps/?&amp;text=53.332577, 83.791214", "53.332577, 83.791214")</f>
        <v/>
      </c>
      <c r="O347" t="n">
        <v>4890</v>
      </c>
      <c r="P347" s="7" t="n">
        <v>5.04</v>
      </c>
      <c r="R347" t="n">
        <v>4158</v>
      </c>
      <c r="S347" s="8" t="n">
        <v>5.92</v>
      </c>
    </row>
    <row r="348">
      <c r="A348" s="4" t="n">
        <v>350</v>
      </c>
      <c r="B348" t="inlineStr">
        <is>
          <t>28</t>
        </is>
      </c>
      <c r="C348" s="1" t="n">
        <v>104</v>
      </c>
      <c r="D348" s="2">
        <f>HYPERLINK("https://torgi.gov.ru/new/public/lots/lot/21000030170000000001_2/(lotInfo:info)", "21000030170000000001_2")</f>
        <v/>
      </c>
      <c r="E348" t="inlineStr">
        <is>
          <t>Нежилое помещение, этажность – 1расположенное по адресу:,</t>
        </is>
      </c>
      <c r="F348" s="3" t="n">
        <v>7692.307692307692</v>
      </c>
      <c r="G348" s="3" t="n">
        <v>800000</v>
      </c>
      <c r="H348" t="inlineStr">
        <is>
          <t xml:space="preserve"> Амурская область, г. Благовещенск  квартал 666В, строение 524, пом. 20001.</t>
        </is>
      </c>
      <c r="I348" t="inlineStr">
        <is>
          <t>17 03 22 09:00</t>
        </is>
      </c>
      <c r="J348" t="inlineStr">
        <is>
          <t xml:space="preserve">28:01:030002:724, </t>
        </is>
      </c>
      <c r="L348" t="inlineStr">
        <is>
          <t>EA</t>
        </is>
      </c>
      <c r="M348" t="inlineStr">
        <is>
          <t>М</t>
        </is>
      </c>
      <c r="N348" t="inlineStr">
        <is>
          <t>50.271141, 127.477009</t>
        </is>
      </c>
      <c r="O348" t="n">
        <v>2543</v>
      </c>
      <c r="P348" s="7" t="n">
        <v>3.02</v>
      </c>
      <c r="R348" t="n">
        <v>2543</v>
      </c>
      <c r="S348" s="8" t="n">
        <v>3.02</v>
      </c>
    </row>
    <row r="349">
      <c r="A349" s="4" t="n">
        <v>351</v>
      </c>
      <c r="B349" t="inlineStr">
        <is>
          <t>74</t>
        </is>
      </c>
      <c r="C349" s="1" t="n">
        <v>169.1</v>
      </c>
      <c r="D349" s="2">
        <f>HYPERLINK("https://torgi.gov.ru/new/public/lots/lot/21000004870000000001_2/(lotInfo:info)", "21000004870000000001_2")</f>
        <v/>
      </c>
      <c r="E349" t="inlineStr">
        <is>
          <t>..Назначение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      </is>
      </c>
      <c r="F349" s="3" t="n">
        <v>6513.30573625074</v>
      </c>
      <c r="G349" s="3" t="n">
        <v>1101400</v>
      </c>
      <c r="H349" t="inlineStr">
        <is>
          <t>г Челябинск, ул Жукова, д 18А</t>
        </is>
      </c>
      <c r="I349" t="inlineStr">
        <is>
          <t>25 03 22 18:59</t>
        </is>
      </c>
      <c r="J349" t="inlineStr">
        <is>
          <t>74:36:0114009:570</t>
        </is>
      </c>
      <c r="L349" t="inlineStr">
        <is>
          <t>EA</t>
        </is>
      </c>
      <c r="M349" t="inlineStr">
        <is>
          <t>М</t>
        </is>
      </c>
      <c r="N349" s="2">
        <f>HYPERLINK("https://yandex.ru/maps/?&amp;text=55.255575, 61.389546", "55.255575, 61.389546")</f>
        <v/>
      </c>
      <c r="O349" t="n">
        <v>3195</v>
      </c>
      <c r="P349" s="7" t="n">
        <v>2.04</v>
      </c>
      <c r="R349" t="n">
        <v>3523</v>
      </c>
      <c r="S349" s="8" t="n">
        <v>1.85</v>
      </c>
    </row>
    <row r="350">
      <c r="A350" s="4" t="n">
        <v>352</v>
      </c>
      <c r="B350" t="inlineStr">
        <is>
          <t>27</t>
        </is>
      </c>
      <c r="C350" s="1" t="n">
        <v>30.7</v>
      </c>
      <c r="D350" s="2">
        <f>HYPERLINK("https://torgi.gov.ru/new/public/lots/lot/21000005750000000024_1/(lotInfo:info)", "21000005750000000024_1")</f>
        <v/>
      </c>
      <c r="E350" t="inlineStr">
        <is>
      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      </is>
      </c>
      <c r="F350" s="3" t="n">
        <v>29635.01628664495</v>
      </c>
      <c r="G350" s="3" t="n">
        <v>909795</v>
      </c>
      <c r="H350" t="inlineStr">
        <is>
          <t>Хабаровский край, г Комсомольск-на-Амуре, пр-кт Победы</t>
        </is>
      </c>
      <c r="I350" t="inlineStr">
        <is>
          <t>24 03 22 08:00</t>
        </is>
      </c>
      <c r="J350" t="inlineStr">
        <is>
          <t xml:space="preserve">27:22:0040606:1876, </t>
        </is>
      </c>
      <c r="L350" t="inlineStr">
        <is>
          <t>EA</t>
        </is>
      </c>
      <c r="M350" t="inlineStr">
        <is>
          <t>М</t>
        </is>
      </c>
      <c r="N350" s="2">
        <f>HYPERLINK("https://yandex.ru/maps/?&amp;text=50.588421, 137.059368", "50.588421, 137.059368")</f>
        <v/>
      </c>
      <c r="O350" t="n">
        <v>2932</v>
      </c>
      <c r="P350" s="7" t="n">
        <v>10.11</v>
      </c>
      <c r="R350" t="n">
        <v>3099</v>
      </c>
      <c r="S350" s="8" t="n">
        <v>9.56</v>
      </c>
    </row>
    <row r="351">
      <c r="A351" s="4" t="n">
        <v>353</v>
      </c>
      <c r="B351" t="inlineStr">
        <is>
          <t>2</t>
        </is>
      </c>
      <c r="C351" s="1" t="n">
        <v>574.2</v>
      </c>
      <c r="D351" s="2">
        <f>HYPERLINK("https://torgi.gov.ru/new/public/lots/lot/22000036990000000001_1/(lotInfo:info)", "22000036990000000001_1")</f>
        <v/>
      </c>
      <c r="E351" t="inlineStr">
        <is>
          <t>Нежилые помещения . на первом этаже четырехэтажного жилого здания, расположенных по адресу:</t>
        </is>
      </c>
      <c r="F351" s="3" t="n">
        <v>13431.7311041449</v>
      </c>
      <c r="G351" s="3" t="n">
        <v>7712500</v>
      </c>
      <c r="H351" t="inlineStr">
        <is>
          <t>Респ Башкортостан, г Октябрьский, ул Лермонтова, д 6</t>
        </is>
      </c>
      <c r="I351" t="inlineStr">
        <is>
          <t>13 03 22 12:30</t>
        </is>
      </c>
      <c r="J351" t="inlineStr">
        <is>
          <t>02:57:010206:213</t>
        </is>
      </c>
      <c r="L351" t="inlineStr">
        <is>
          <t>PP</t>
        </is>
      </c>
      <c r="M351" t="inlineStr">
        <is>
          <t>М</t>
        </is>
      </c>
      <c r="N351" s="2">
        <f>HYPERLINK("https://yandex.ru/maps/?&amp;text=54.48299, 53.46805", "54.48299, 53.46805")</f>
        <v/>
      </c>
      <c r="O351" t="n">
        <v>3892</v>
      </c>
      <c r="P351" s="7" t="n">
        <v>3.45</v>
      </c>
      <c r="R351" t="n">
        <v>3892</v>
      </c>
      <c r="S351" s="8" t="n">
        <v>3.45</v>
      </c>
    </row>
    <row r="352">
      <c r="A352" s="4" t="n">
        <v>354</v>
      </c>
      <c r="B352" t="inlineStr">
        <is>
          <t>78</t>
        </is>
      </c>
      <c r="C352" s="1" t="n">
        <v>28</v>
      </c>
      <c r="D352" s="2">
        <f>HYPERLINK("https://torgi.gov.ru/new/public/lots/lot/21000002210000000124_1/(lotInfo:info)", "21000002210000000124_1")</f>
        <v/>
      </c>
      <c r="E352" t="inlineStr">
        <is>
          <t>Нежилое помещение, расположенное по адресу: Санкт-Петербург,, литера Б, пом. 4-Н, назначение: нежилое помещение, наименование: нежилое помещение, этаж: цокольный</t>
        </is>
      </c>
      <c r="F352" s="3" t="n">
        <v>160714.2857142857</v>
      </c>
      <c r="G352" s="3" t="n">
        <v>4500000</v>
      </c>
      <c r="H352" t="inlineStr">
        <is>
          <t>г Санкт-Петербург, ул Большая Конюшенная, д 15 литера Б, помещ 4-Н</t>
        </is>
      </c>
      <c r="I352" t="inlineStr">
        <is>
          <t>16 03 22 20:00</t>
        </is>
      </c>
      <c r="J352" t="inlineStr">
        <is>
          <t>78:31:0001184:4148</t>
        </is>
      </c>
      <c r="L352" t="inlineStr">
        <is>
          <t>EA</t>
        </is>
      </c>
      <c r="M352" t="inlineStr">
        <is>
          <t>М</t>
        </is>
      </c>
      <c r="N352" s="2">
        <f>HYPERLINK("https://yandex.ru/maps/?&amp;text=59.939, 30.323234", "59.939, 30.323234")</f>
        <v/>
      </c>
      <c r="O352" t="n">
        <v>2693</v>
      </c>
      <c r="P352" s="7" t="n">
        <v>59.68</v>
      </c>
      <c r="R352" t="n">
        <v>2693</v>
      </c>
      <c r="S352" s="8" t="n">
        <v>59.68</v>
      </c>
    </row>
    <row r="353">
      <c r="A353" s="4" t="n">
        <v>355</v>
      </c>
      <c r="B353" t="inlineStr">
        <is>
          <t>2</t>
        </is>
      </c>
      <c r="C353" s="1" t="n">
        <v>38.8</v>
      </c>
      <c r="D353" s="2">
        <f>HYPERLINK("https://torgi.gov.ru/new/public/lots/lot/22000014830000000002_1/(lotInfo:info)", "22000014830000000002_1")</f>
        <v/>
      </c>
      <c r="E353" t="inlineStr">
        <is>
          <t>-нежилое помещение. расположенное: РБ,,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помещение. расположенные: РБ,,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участком.земли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адрес:РБ, г.Давлеканово, ул. Карла Маркса,39А</t>
        </is>
      </c>
      <c r="F353" s="3" t="n">
        <v>35992.26804123712</v>
      </c>
      <c r="G353" s="3" t="n">
        <v>1396500</v>
      </c>
      <c r="H353" t="inlineStr">
        <is>
          <t>Респ Башкортостан, г Давлеканово, ул Карла Маркса, д 39</t>
        </is>
      </c>
      <c r="I353" t="inlineStr">
        <is>
          <t>18 03 22 12:00</t>
        </is>
      </c>
      <c r="J353" t="inlineStr">
        <is>
          <t xml:space="preserve">02:71:020117:106, </t>
        </is>
      </c>
      <c r="L353" t="inlineStr">
        <is>
          <t>EA</t>
        </is>
      </c>
      <c r="M353" t="inlineStr">
        <is>
          <t>М</t>
        </is>
      </c>
      <c r="N353" s="2">
        <f>HYPERLINK("https://yandex.ru/maps/?&amp;text=54.214567, 55.024021", "54.214567, 55.024021")</f>
        <v/>
      </c>
      <c r="O353" t="n">
        <v>788</v>
      </c>
      <c r="P353" s="7" t="n">
        <v>45.68</v>
      </c>
      <c r="R353" t="n">
        <v>633</v>
      </c>
      <c r="S353" s="8" t="n">
        <v>56.86</v>
      </c>
    </row>
    <row r="354">
      <c r="A354" s="4" t="n">
        <v>356</v>
      </c>
      <c r="B354" t="inlineStr">
        <is>
          <t>78</t>
        </is>
      </c>
      <c r="C354" s="1" t="n">
        <v>13.3</v>
      </c>
      <c r="D354" s="2">
        <f>HYPERLINK("https://torgi.gov.ru/new/public/lots/lot/21000002210000000116_1/(lotInfo:info)", "21000002210000000116_1")</f>
        <v/>
      </c>
      <c r="E354" t="inlineStr">
        <is>
          <t>Нежилое помещение, расположенное по адресу: Санкт-Петербург,, литера А, пом. 3-Н, назначение: нежилое помещение, наименование: офис, этаж № 1</t>
        </is>
      </c>
      <c r="F354" s="3" t="n">
        <v>178195.4887218045</v>
      </c>
      <c r="G354" s="3" t="n">
        <v>2370000</v>
      </c>
      <c r="H354" t="inlineStr">
        <is>
          <t>г Санкт-Петербург, ул Ивановская, д 15 литера А, помещ 3-Н</t>
        </is>
      </c>
      <c r="I354" t="inlineStr">
        <is>
          <t>15 03 22 20:00</t>
        </is>
      </c>
      <c r="J354" t="inlineStr">
        <is>
          <t>78:12:0713901:3356</t>
        </is>
      </c>
      <c r="L354" t="inlineStr">
        <is>
          <t>EA</t>
        </is>
      </c>
      <c r="M354" t="inlineStr">
        <is>
          <t>М</t>
        </is>
      </c>
      <c r="N354" s="2">
        <f>HYPERLINK("https://yandex.ru/maps/?&amp;text=59.875181, 30.440096", "59.875181, 30.440096")</f>
        <v/>
      </c>
      <c r="O354" t="n">
        <v>3220</v>
      </c>
      <c r="P354" s="7" t="n">
        <v>55.34</v>
      </c>
      <c r="R354" t="n">
        <v>2963</v>
      </c>
      <c r="S354" s="8" t="n">
        <v>60.14</v>
      </c>
    </row>
    <row r="355">
      <c r="A355" s="4" t="n">
        <v>357</v>
      </c>
      <c r="B355" t="inlineStr">
        <is>
          <t>78</t>
        </is>
      </c>
      <c r="C355" s="1" t="n">
        <v>10.7</v>
      </c>
      <c r="D355" s="2">
        <f>HYPERLINK("https://torgi.gov.ru/new/public/lots/lot/21000002210000000115_1/(lotInfo:info)", "21000002210000000115_1")</f>
        <v/>
      </c>
      <c r="E355" t="inlineStr">
        <is>
          <t>Помещение, расположенное по адресу: Санкт-Петербург,, литера А, пом. 8-Н, этаж № 2, назначение: нежилое помещение, наименование: нежилое помещение</t>
        </is>
      </c>
      <c r="F355" s="3" t="n">
        <v>80094.67289719627</v>
      </c>
      <c r="G355" s="3" t="n">
        <v>857013</v>
      </c>
      <c r="H355" t="inlineStr">
        <is>
          <t>г Санкт-Петербург, г Ломоносов, Дворцовый пр-кт, д 63 литера А, помещ 8-Н</t>
        </is>
      </c>
      <c r="I355" t="inlineStr">
        <is>
          <t>15 03 22 20:00</t>
        </is>
      </c>
      <c r="J355" t="inlineStr">
        <is>
          <t>78:40:2054701:1030</t>
        </is>
      </c>
      <c r="L355" t="inlineStr">
        <is>
          <t>EK</t>
        </is>
      </c>
      <c r="M355" t="inlineStr">
        <is>
          <t>М</t>
        </is>
      </c>
      <c r="N355" s="2">
        <f>HYPERLINK("https://yandex.ru/maps/?&amp;text=59.91586, 29.764913", "59.91586, 29.764913")</f>
        <v/>
      </c>
      <c r="O355" t="n">
        <v>2404</v>
      </c>
      <c r="P355" s="7" t="n">
        <v>33.32</v>
      </c>
      <c r="R355" t="n">
        <v>2715</v>
      </c>
      <c r="S355" s="8" t="n">
        <v>29.5</v>
      </c>
    </row>
    <row r="356">
      <c r="A356" s="4" t="n">
        <v>358</v>
      </c>
      <c r="B356" t="inlineStr">
        <is>
          <t>24</t>
        </is>
      </c>
      <c r="C356" s="1" t="n">
        <v>14.4</v>
      </c>
      <c r="D356" s="2">
        <f>HYPERLINK("https://torgi.gov.ru/new/public/lots/lot/21000014890000000009_1/(lotInfo:info)", "21000014890000000009_1")</f>
        <v/>
      </c>
      <c r="E356" t="inlineStr">
        <is>
          <t>нежилое помещение расположено по адресу:. Нежилое помещение находится на первом этаже четырнадцатиэтажного жилого дома 1997 года постройки. Отдельный вход отсутствует.</t>
        </is>
      </c>
      <c r="F356" s="3" t="n">
        <v>36583.33333333334</v>
      </c>
      <c r="G356" s="3" t="n">
        <v>526800</v>
      </c>
      <c r="H356" t="inlineStr">
        <is>
          <t>г Красноярск, ул 9 Мая, д 31А, помещ 85</t>
        </is>
      </c>
      <c r="I356" t="inlineStr">
        <is>
          <t>09 03 22 10:00</t>
        </is>
      </c>
      <c r="J356" t="inlineStr">
        <is>
          <t xml:space="preserve">24:50:0400057:2588 </t>
        </is>
      </c>
      <c r="L356" t="inlineStr">
        <is>
          <t>EA</t>
        </is>
      </c>
      <c r="M356" t="inlineStr">
        <is>
          <t>М</t>
        </is>
      </c>
      <c r="N356" s="2">
        <f>HYPERLINK("https://yandex.ru/maps/?&amp;text=56.066957, 92.93227", "56.066957, 92.93227")</f>
        <v/>
      </c>
      <c r="O356" t="n">
        <v>4063</v>
      </c>
      <c r="P356" s="7" t="n">
        <v>9</v>
      </c>
      <c r="R356" t="n">
        <v>3589</v>
      </c>
      <c r="S356" s="8" t="n">
        <v>10.19</v>
      </c>
    </row>
    <row r="357">
      <c r="A357" s="4" t="n">
        <v>359</v>
      </c>
      <c r="B357" t="inlineStr">
        <is>
          <t>43</t>
        </is>
      </c>
      <c r="C357" s="1" t="n">
        <v>224.2</v>
      </c>
      <c r="D357" s="2">
        <f>HYPERLINK("https://torgi.gov.ru/new/public/lots/lot/21000016080000000030_4/(lotInfo:info)", "21000016080000000030_4")</f>
        <v/>
      </c>
      <c r="E357" t="inlineStr">
        <is>
          <t>Нежилое помещение . (реестровый номер федерального имущества П13440000733), расположенное по адресу:.</t>
        </is>
      </c>
      <c r="F357" s="3" t="n">
        <v>29174.84388938448</v>
      </c>
      <c r="G357" s="3" t="n">
        <v>6541000</v>
      </c>
      <c r="H357" t="inlineStr">
        <is>
          <t>г Киров, ул Московская, д 8, помещ 1004</t>
        </is>
      </c>
      <c r="I357" t="inlineStr">
        <is>
          <t>14 03 22 11:00</t>
        </is>
      </c>
      <c r="J357" t="inlineStr">
        <is>
          <t xml:space="preserve">43:40:000300:246 </t>
        </is>
      </c>
      <c r="L357" t="inlineStr">
        <is>
          <t>EA</t>
        </is>
      </c>
      <c r="M357" t="inlineStr">
        <is>
          <t>М</t>
        </is>
      </c>
      <c r="N357" s="2">
        <f>HYPERLINK("https://yandex.ru/maps/?&amp;text=58.60358, 49.67942", "58.60358, 49.67942")</f>
        <v/>
      </c>
      <c r="O357" t="n">
        <v>4603</v>
      </c>
      <c r="P357" s="7" t="n">
        <v>6.34</v>
      </c>
      <c r="R357" t="n">
        <v>3690</v>
      </c>
      <c r="S357" s="8" t="n">
        <v>7.91</v>
      </c>
    </row>
    <row r="358">
      <c r="A358" s="4" t="n">
        <v>360</v>
      </c>
      <c r="B358" t="inlineStr">
        <is>
          <t>34</t>
        </is>
      </c>
      <c r="C358" s="1" t="n">
        <v>606.5</v>
      </c>
      <c r="D358" s="2">
        <f>HYPERLINK("https://torgi.gov.ru/new/public/lots/lot/21000004930000000003_1/(lotInfo:info)", "21000004930000000003_1")</f>
        <v/>
      </c>
      <c r="E358" t="inlineStr">
        <is>
          <t>объекты недвижимости, в составе: нежилое помещение общей площадью 379,8 кв.метрарасположенное по адресу: II; нежилое помещение общей площадью 226,7 кв.метрарасположенное по адресу:. Дегтярева, д. 45, помещение I.</t>
        </is>
      </c>
      <c r="F358" s="3" t="n">
        <v>3480.809744435284</v>
      </c>
      <c r="G358" s="3" t="n">
        <v>2111111.11</v>
      </c>
      <c r="H358" t="inlineStr">
        <is>
          <t>г Волгоград, ул им. Дегтярева, влд 45, помещ 2</t>
        </is>
      </c>
      <c r="I358" t="inlineStr">
        <is>
          <t>16 03 22 05:30</t>
        </is>
      </c>
      <c r="J358" t="inlineStr">
        <is>
          <t xml:space="preserve">34:34:010052:2883, </t>
        </is>
      </c>
      <c r="L358" t="inlineStr">
        <is>
          <t>BOC</t>
        </is>
      </c>
      <c r="M358" t="inlineStr">
        <is>
          <t>М</t>
        </is>
      </c>
      <c r="N358">
        <f>HYPERLINK("https://yandex.ru/maps/?&amp;text=48.807931, 44.590008", "48.807931, 44.590008")</f>
        <v/>
      </c>
      <c r="O358" t="n">
        <v>1180</v>
      </c>
      <c r="P358" s="7" t="n">
        <v>2.95</v>
      </c>
      <c r="R358" t="n">
        <v>2281</v>
      </c>
      <c r="S358" s="8" t="n">
        <v>1.53</v>
      </c>
    </row>
    <row r="359">
      <c r="A359" s="4" t="n">
        <v>361</v>
      </c>
      <c r="B359" t="inlineStr">
        <is>
          <t>38</t>
        </is>
      </c>
      <c r="C359" s="1" t="n">
        <v>40.4</v>
      </c>
      <c r="D359" s="2">
        <f>HYPERLINK("https://torgi.gov.ru/new/public/lots/lot/21000019000000000003_1/(lotInfo:info)", "21000019000000000003_1")</f>
        <v/>
      </c>
      <c r="E359" t="inlineStr">
        <is>
          <t>Ветеринарный пункт, назначение: нежилое помещение, этаж № 1расположенный по адресу:</t>
        </is>
      </c>
      <c r="F359" s="3" t="n">
        <v>18811.88118811881</v>
      </c>
      <c r="G359" s="3" t="n">
        <v>760000</v>
      </c>
      <c r="H359" t="inlineStr">
        <is>
          <t>г Иркутск, ул Делегатская, д 18</t>
        </is>
      </c>
      <c r="I359" t="inlineStr">
        <is>
          <t>10 03 22 06:00</t>
        </is>
      </c>
      <c r="J359" t="inlineStr">
        <is>
          <t xml:space="preserve">38:36:000008:6565, </t>
        </is>
      </c>
      <c r="L359" t="inlineStr">
        <is>
          <t>EA</t>
        </is>
      </c>
      <c r="M359" t="inlineStr">
        <is>
          <t>М</t>
        </is>
      </c>
      <c r="N359" s="2">
        <f>HYPERLINK("https://yandex.ru/maps/?&amp;text=52.36115, 104.21175", "52.36115, 104.21175")</f>
        <v/>
      </c>
      <c r="O359" t="n">
        <v>2480</v>
      </c>
      <c r="P359" s="7" t="n">
        <v>7.59</v>
      </c>
      <c r="R359" t="n">
        <v>2753</v>
      </c>
      <c r="S359" s="8" t="n">
        <v>6.83</v>
      </c>
    </row>
    <row r="360">
      <c r="A360" s="4" t="n">
        <v>362</v>
      </c>
      <c r="B360" t="inlineStr">
        <is>
          <t>36</t>
        </is>
      </c>
      <c r="C360" s="1" t="n">
        <v>79.59999999999999</v>
      </c>
      <c r="D360" s="2">
        <f>HYPERLINK("https://torgi.gov.ru/new/public/lots/lot/21000023350000000001_1/(lotInfo:info)", "21000023350000000001_1")</f>
        <v/>
      </c>
      <c r="E360" t="inlineStr">
        <is>
          <t>Нежилое помещение, назначение: нежилое, этаж №1расположенное по адресу:</t>
        </is>
      </c>
      <c r="F360" s="3" t="n">
        <v>19459.33756281407</v>
      </c>
      <c r="G360" s="3" t="n">
        <v>1548963.27</v>
      </c>
      <c r="H360" t="inlineStr">
        <is>
          <t>Воронежская обл, г Россошь, ул Белинского, д 20К, помещ 1а</t>
        </is>
      </c>
      <c r="I360" t="inlineStr">
        <is>
          <t>11 03 22 07:00</t>
        </is>
      </c>
      <c r="J360" t="inlineStr">
        <is>
          <t xml:space="preserve">36:27:0011802:220, </t>
        </is>
      </c>
      <c r="L360" t="inlineStr">
        <is>
          <t>EA</t>
        </is>
      </c>
      <c r="M360" t="inlineStr">
        <is>
          <t>М</t>
        </is>
      </c>
      <c r="N360" s="2">
        <f>HYPERLINK("https://yandex.ru/maps/?&amp;text=50.196065, 39.573052", "50.196065, 39.573052")</f>
        <v/>
      </c>
      <c r="O360" t="n">
        <v>1244</v>
      </c>
      <c r="P360" s="7" t="n">
        <v>15.64</v>
      </c>
      <c r="R360" t="n">
        <v>1184</v>
      </c>
      <c r="S360" s="8" t="n">
        <v>16.44</v>
      </c>
    </row>
    <row r="361">
      <c r="A361" s="4" t="n">
        <v>363</v>
      </c>
      <c r="B361" t="inlineStr">
        <is>
          <t>36</t>
        </is>
      </c>
      <c r="C361" s="1" t="n">
        <v>262.1</v>
      </c>
      <c r="D361" s="2">
        <f>HYPERLINK("https://torgi.gov.ru/new/public/lots/lot/21000023350000000002_1/(lotInfo:info)", "21000023350000000002_1")</f>
        <v/>
      </c>
      <c r="E361" t="inlineStr">
        <is>
          <t>Нежилое помещение, назначение: нежилое, этаж №2расположенное по адресу:</t>
        </is>
      </c>
      <c r="F361" s="3" t="n">
        <v>14506.12789011827</v>
      </c>
      <c r="G361" s="3" t="n">
        <v>3802056.12</v>
      </c>
      <c r="H361" t="inlineStr">
        <is>
          <t>Воронежская обл, г Россошь, ул Белинского, д 20К, помещ 1б</t>
        </is>
      </c>
      <c r="I361" t="inlineStr">
        <is>
          <t>11 03 22 07:00</t>
        </is>
      </c>
      <c r="J361" t="inlineStr">
        <is>
          <t xml:space="preserve">36:27:0011802:221, </t>
        </is>
      </c>
      <c r="L361" t="inlineStr">
        <is>
          <t>EA</t>
        </is>
      </c>
      <c r="M361" t="inlineStr">
        <is>
          <t>М</t>
        </is>
      </c>
      <c r="N361" s="2">
        <f>HYPERLINK("https://yandex.ru/maps/?&amp;text=50.196065, 39.573052", "50.196065, 39.573052")</f>
        <v/>
      </c>
      <c r="O361" t="n">
        <v>1244</v>
      </c>
      <c r="P361" s="7" t="n">
        <v>11.66</v>
      </c>
      <c r="R361" t="n">
        <v>1184</v>
      </c>
      <c r="S361" s="8" t="n">
        <v>12.25</v>
      </c>
    </row>
    <row r="362">
      <c r="A362" s="4" t="n">
        <v>364</v>
      </c>
      <c r="B362" t="inlineStr">
        <is>
          <t>51</t>
        </is>
      </c>
      <c r="C362" s="1" t="n">
        <v>36.1</v>
      </c>
      <c r="D362" s="2">
        <f>HYPERLINK("https://torgi.gov.ru/new/public/lots/lot/21000007760000000002_1/(lotInfo:info)", "21000007760000000002_1")</f>
        <v/>
      </c>
      <c r="E362" t="inlineStr">
        <is>
          <t>нежилое помещение, 1 этаж,, дом 46номера на поэтажном плане: А/1/2а(1-4)</t>
        </is>
      </c>
      <c r="F362" s="3" t="n">
        <v>22783.93351800554</v>
      </c>
      <c r="G362" s="3" t="n">
        <v>822500</v>
      </c>
      <c r="H362" t="inlineStr">
        <is>
          <t>г Мурманск, Кольский пр-кт</t>
        </is>
      </c>
      <c r="I362" t="inlineStr">
        <is>
          <t>14 03 22 20:00</t>
        </is>
      </c>
      <c r="J362" t="inlineStr">
        <is>
          <t xml:space="preserve">51:20:0001011:2017, </t>
        </is>
      </c>
      <c r="L362" t="inlineStr">
        <is>
          <t>EA</t>
        </is>
      </c>
      <c r="M362" t="inlineStr">
        <is>
          <t>М</t>
        </is>
      </c>
      <c r="N362" s="2">
        <f>HYPERLINK("https://yandex.ru/maps/?&amp;text=68.919669, 33.095166", "68.919669, 33.095166")</f>
        <v/>
      </c>
      <c r="O362" t="n">
        <v>949</v>
      </c>
      <c r="P362" s="7" t="n">
        <v>24.01</v>
      </c>
      <c r="R362" t="n">
        <v>2662</v>
      </c>
      <c r="S362" s="8" t="n">
        <v>8.56</v>
      </c>
    </row>
    <row r="363">
      <c r="A363" s="4" t="n">
        <v>365</v>
      </c>
      <c r="B363" t="inlineStr">
        <is>
          <t>10</t>
        </is>
      </c>
      <c r="C363" s="1" t="n">
        <v>17</v>
      </c>
      <c r="D363" s="2">
        <f>HYPERLINK("https://torgi.gov.ru/new/public/lots/lot/22000020710000000001_3/(lotInfo:info)", "22000020710000000001_3")</f>
        <v/>
      </c>
      <c r="E363" t="inlineStr">
        <is>
          <t>Нежилое помещение расположенное на первом этаже многоквартирного дома</t>
        </is>
      </c>
      <c r="F363" s="3" t="n">
        <v>51000</v>
      </c>
      <c r="G363" s="3" t="n">
        <v>867000</v>
      </c>
      <c r="H363" t="inlineStr">
        <is>
          <t>г Петрозаводск, р-н Древлянка, ул Хейкконена, д 12, помещ 230</t>
        </is>
      </c>
      <c r="I363" t="inlineStr">
        <is>
          <t>15 03 22 12:00</t>
        </is>
      </c>
      <c r="J363" t="inlineStr">
        <is>
          <t xml:space="preserve">10:01:0120109:2933, </t>
        </is>
      </c>
      <c r="L363" t="inlineStr">
        <is>
          <t>EA</t>
        </is>
      </c>
      <c r="M363" t="inlineStr">
        <is>
          <t>М</t>
        </is>
      </c>
      <c r="N363" s="2">
        <f>HYPERLINK("https://yandex.ru/maps/?&amp;text=61.758864, 34.311808", "61.758864, 34.311808")</f>
        <v/>
      </c>
      <c r="O363" t="n">
        <v>2321</v>
      </c>
      <c r="P363" s="7" t="n">
        <v>21.97</v>
      </c>
      <c r="R363" t="n">
        <v>2321</v>
      </c>
      <c r="S363" s="8" t="n">
        <v>21.97</v>
      </c>
    </row>
    <row r="364">
      <c r="A364" s="4" t="n">
        <v>366</v>
      </c>
      <c r="B364" t="inlineStr">
        <is>
          <t>45</t>
        </is>
      </c>
      <c r="C364" s="1" t="n">
        <v>1084.8</v>
      </c>
      <c r="D364" s="2">
        <f>HYPERLINK("https://torgi.gov.ru/new/public/lots/lot/22000039800000000001_1/(lotInfo:info)", "22000039800000000001_1")</f>
        <v/>
      </c>
      <c r="E364" t="inlineStr">
        <is>
          <t>Нежилые помещения в здании гостиницы., расположенные по адресу:.</t>
        </is>
      </c>
      <c r="F364" s="3" t="n">
        <v>4609.144542772861</v>
      </c>
      <c r="G364" s="3" t="n">
        <v>5000000</v>
      </c>
      <c r="H364" t="inlineStr">
        <is>
          <t>Курганская обл, г Далматово, ул Энгельса, д 17</t>
        </is>
      </c>
      <c r="I364" t="inlineStr">
        <is>
          <t>16 03 22 12:00</t>
        </is>
      </c>
      <c r="J364" t="inlineStr">
        <is>
          <t>45:04:020201:735</t>
        </is>
      </c>
      <c r="L364" t="inlineStr">
        <is>
          <t>PP</t>
        </is>
      </c>
      <c r="M364" t="inlineStr">
        <is>
          <t>М</t>
        </is>
      </c>
      <c r="N364" s="2">
        <f>HYPERLINK("https://yandex.ru/maps/?&amp;text=56.261707, 62.934074", "56.261707, 62.934074")</f>
        <v/>
      </c>
      <c r="O364" t="n">
        <v>982</v>
      </c>
      <c r="P364" s="7" t="n">
        <v>4.69</v>
      </c>
      <c r="R364" t="n">
        <v>982</v>
      </c>
      <c r="S364" s="8" t="n">
        <v>4.69</v>
      </c>
    </row>
    <row r="365">
      <c r="A365" s="4" t="n">
        <v>367</v>
      </c>
      <c r="B365" t="inlineStr">
        <is>
          <t>37</t>
        </is>
      </c>
      <c r="C365" s="1" t="n">
        <v>86</v>
      </c>
      <c r="D365" s="2">
        <f>HYPERLINK("https://torgi.gov.ru/new/public/lots/lot/22000034450000000001_1/(lotInfo:info)", "22000034450000000001_1")</f>
        <v/>
      </c>
      <c r="E365" t="inlineStr">
        <is>
          <t>Нежилое помещение , расположенное по адресу:</t>
        </is>
      </c>
      <c r="F365" s="3" t="n">
        <v>18313.95348837209</v>
      </c>
      <c r="G365" s="3" t="n">
        <v>1575000</v>
      </c>
      <c r="H365" t="inlineStr">
        <is>
          <t xml:space="preserve"> Ивановская обл., г. Тейково, ул. Октябрьская, д.50, пом. №53</t>
        </is>
      </c>
      <c r="I365" t="inlineStr">
        <is>
          <t>09 03 22 13:00</t>
        </is>
      </c>
      <c r="J365" t="inlineStr">
        <is>
          <t xml:space="preserve">37:26:020205:163 </t>
        </is>
      </c>
      <c r="L365" t="inlineStr">
        <is>
          <t>EA</t>
        </is>
      </c>
      <c r="M365" t="inlineStr">
        <is>
          <t>М</t>
        </is>
      </c>
      <c r="O365" t="n">
        <v>982</v>
      </c>
      <c r="P365" s="7" t="n">
        <v>18.65</v>
      </c>
      <c r="R365" t="n">
        <v>982</v>
      </c>
      <c r="S365" s="7" t="n">
        <v>18.65</v>
      </c>
    </row>
    <row r="366">
      <c r="A366" s="4" t="n">
        <v>368</v>
      </c>
      <c r="B366" t="inlineStr">
        <is>
          <t>59</t>
        </is>
      </c>
      <c r="C366" s="1" t="n">
        <v>48.5</v>
      </c>
      <c r="D366" s="2">
        <f>HYPERLINK("https://torgi.gov.ru/new/public/lots/lot/21000012310000000004_3/(lotInfo:info)", "21000012310000000004_3")</f>
        <v/>
      </c>
      <c r="E366" t="inlineStr">
        <is>
          <t>Нежилое помещение (встроенные помещения) на 1 этаже жилого дома по адресу:. Помещение пустует.</t>
        </is>
      </c>
      <c r="F366" s="3" t="n">
        <v>16494.84536082474</v>
      </c>
      <c r="G366" s="3" t="n">
        <v>800000</v>
      </c>
      <c r="H366" t="inlineStr">
        <is>
          <t>г Пермь, ул Пулковская, д 9</t>
        </is>
      </c>
      <c r="I366" t="inlineStr">
        <is>
          <t>10 03 22 13:00</t>
        </is>
      </c>
      <c r="J366" t="inlineStr">
        <is>
          <t>59:01:2912530:1848</t>
        </is>
      </c>
      <c r="L366" t="inlineStr">
        <is>
          <t>EA</t>
        </is>
      </c>
      <c r="M366" t="inlineStr">
        <is>
          <t>М</t>
        </is>
      </c>
      <c r="N366" s="2">
        <f>HYPERLINK("https://yandex.ru/maps/?&amp;text=58.107048, 56.298634", "58.107048, 56.298634")</f>
        <v/>
      </c>
      <c r="O366" t="n">
        <v>1951</v>
      </c>
      <c r="P366" s="7" t="n">
        <v>8.449999999999999</v>
      </c>
      <c r="R366" t="n">
        <v>1812</v>
      </c>
      <c r="S366" s="8" t="n">
        <v>9.1</v>
      </c>
    </row>
    <row r="367">
      <c r="A367" s="4" t="n">
        <v>369</v>
      </c>
      <c r="B367" t="inlineStr">
        <is>
          <t>59</t>
        </is>
      </c>
      <c r="C367" s="1" t="n">
        <v>78.2</v>
      </c>
      <c r="D367" s="2">
        <f>HYPERLINK("https://torgi.gov.ru/new/public/lots/lot/21000012310000000004_4/(lotInfo:info)", "21000012310000000004_4")</f>
        <v/>
      </c>
      <c r="E367" t="inlineStr">
        <is>
          <t>Нежилое помещение (помещение) на цокольном этаже жилого дома по адресу:. Помещение пустует.</t>
        </is>
      </c>
      <c r="F367" s="3" t="n">
        <v>8343.989769820972</v>
      </c>
      <c r="G367" s="3" t="n">
        <v>652500</v>
      </c>
      <c r="H367" t="inlineStr">
        <is>
          <t>г Пермь, ул Социалистическая, д 4</t>
        </is>
      </c>
      <c r="I367" t="inlineStr">
        <is>
          <t>10 03 22 13:00</t>
        </is>
      </c>
      <c r="J367" t="inlineStr">
        <is>
          <t>59:01:3812307:1342</t>
        </is>
      </c>
      <c r="L367" t="inlineStr">
        <is>
          <t>EA</t>
        </is>
      </c>
      <c r="M367" t="inlineStr">
        <is>
          <t>М</t>
        </is>
      </c>
      <c r="N367" s="2">
        <f>HYPERLINK("https://yandex.ru/maps/?&amp;text=58.13516, 56.381195", "58.13516, 56.381195")</f>
        <v/>
      </c>
      <c r="O367" t="n">
        <v>1653</v>
      </c>
      <c r="P367" s="7" t="n">
        <v>5.05</v>
      </c>
      <c r="R367" t="n">
        <v>1653</v>
      </c>
      <c r="S367" s="8" t="n">
        <v>5.05</v>
      </c>
    </row>
    <row r="368">
      <c r="A368" s="4" t="n">
        <v>370</v>
      </c>
      <c r="B368" t="inlineStr">
        <is>
          <t>59</t>
        </is>
      </c>
      <c r="C368" s="1" t="n">
        <v>199.6</v>
      </c>
      <c r="D368" s="2">
        <f>HYPERLINK("https://torgi.gov.ru/new/public/lots/lot/21000012310000000004_1/(lotInfo:info)", "21000012310000000004_1")</f>
        <v/>
      </c>
      <c r="E368" t="inlineStr">
        <is>
          <t>Нежилые помещения на 3 этаже жилого дома по адресу:, . Помещения пустуют.</t>
        </is>
      </c>
      <c r="F368" s="3" t="n">
        <v>32089.17835671343</v>
      </c>
      <c r="G368" s="3" t="n">
        <v>6405000</v>
      </c>
      <c r="H368" t="inlineStr">
        <is>
          <t>г Пермь, б-р Гагарина, д 81/4</t>
        </is>
      </c>
      <c r="I368" t="inlineStr">
        <is>
          <t>10 03 22 13:00</t>
        </is>
      </c>
      <c r="J368" t="inlineStr">
        <is>
          <t>59:01:4311904:2092</t>
        </is>
      </c>
      <c r="L368" t="inlineStr">
        <is>
          <t>EA</t>
        </is>
      </c>
      <c r="M368" t="inlineStr">
        <is>
          <t>М</t>
        </is>
      </c>
      <c r="N368">
        <f>HYPERLINK("https://yandex.ru/maps/?&amp;text=57.999315, 56.290232", "57.999315, 56.290232")</f>
        <v/>
      </c>
      <c r="O368" t="n">
        <v>1456</v>
      </c>
      <c r="P368" s="7" t="n">
        <v>22.04</v>
      </c>
      <c r="R368" t="n">
        <v>1456</v>
      </c>
      <c r="S368" s="8" t="n">
        <v>22.04</v>
      </c>
    </row>
    <row r="369">
      <c r="A369" s="4" t="n">
        <v>371</v>
      </c>
      <c r="B369" t="inlineStr">
        <is>
          <t>59</t>
        </is>
      </c>
      <c r="C369" s="1" t="n">
        <v>11.5</v>
      </c>
      <c r="D369" s="2">
        <f>HYPERLINK("https://torgi.gov.ru/new/public/lots/lot/21000012310000000004_2/(lotInfo:info)", "21000012310000000004_2")</f>
        <v/>
      </c>
      <c r="E369" t="inlineStr">
        <is>
          <t>Нежилое помещение (магазин) на 1 этаже жилого дома по адресу:. Помещение пустует.</t>
        </is>
      </c>
      <c r="F369" s="3" t="n">
        <v>176956.5217391304</v>
      </c>
      <c r="G369" s="3" t="n">
        <v>2035000</v>
      </c>
      <c r="H369" t="inlineStr">
        <is>
          <t>г Пермь, ул Сибирская, д 1</t>
        </is>
      </c>
      <c r="I369" t="inlineStr">
        <is>
          <t>10 03 22 13:00</t>
        </is>
      </c>
      <c r="J369" t="inlineStr">
        <is>
          <t>59:01:4410037:287</t>
        </is>
      </c>
      <c r="L369" t="inlineStr">
        <is>
          <t>EA</t>
        </is>
      </c>
      <c r="M369" t="inlineStr">
        <is>
          <t>М</t>
        </is>
      </c>
      <c r="N369" s="2">
        <f>HYPERLINK("https://yandex.ru/maps/?&amp;text=58.01732, 56.242406", "58.01732, 56.242406")</f>
        <v/>
      </c>
      <c r="O369" t="n">
        <v>551</v>
      </c>
      <c r="P369" s="7" t="n">
        <v>321.16</v>
      </c>
      <c r="R369" t="n">
        <v>551</v>
      </c>
      <c r="S369" s="8" t="n">
        <v>321.16</v>
      </c>
    </row>
    <row r="370">
      <c r="A370" s="4" t="n">
        <v>372</v>
      </c>
      <c r="B370" t="inlineStr">
        <is>
          <t>77</t>
        </is>
      </c>
      <c r="C370" s="1" t="n">
        <v>46.5</v>
      </c>
      <c r="D370" s="2">
        <f>HYPERLINK("https://torgi.gov.ru/new/public/lots/lot/21000005000000000011_1/(lotInfo:info)", "21000005000000000011_1")</f>
        <v/>
      </c>
      <c r="E370" t="inlineStr">
        <is>
          <t>Продажа имущества, находящегося в собственности города Москвы, нежилое помещение по адресу:., Цокольный этаж № 0.</t>
        </is>
      </c>
      <c r="F370" s="3" t="n">
        <v>129567.7419354839</v>
      </c>
      <c r="G370" s="3" t="n">
        <v>6024900</v>
      </c>
      <c r="H370" t="inlineStr">
        <is>
          <t>г Москва, Старослободский пер, д 4, помещ 3Ц</t>
        </is>
      </c>
      <c r="I370" t="inlineStr">
        <is>
          <t>22 02 22 12:00</t>
        </is>
      </c>
      <c r="J370" t="inlineStr">
        <is>
          <t>77:03:0003003:2239</t>
        </is>
      </c>
      <c r="L370" t="inlineStr">
        <is>
          <t>EA</t>
        </is>
      </c>
      <c r="M370" t="inlineStr">
        <is>
          <t>М</t>
        </is>
      </c>
      <c r="N370" s="2">
        <f>HYPERLINK("https://yandex.ru/maps/?&amp;text=55.79057, 37.668148", "55.79057, 37.668148")</f>
        <v/>
      </c>
      <c r="O370" t="n">
        <v>4877</v>
      </c>
      <c r="P370" s="7" t="n">
        <v>26.57</v>
      </c>
      <c r="R370" t="n">
        <v>6615</v>
      </c>
      <c r="S370" s="8" t="n">
        <v>19.59</v>
      </c>
    </row>
    <row r="371">
      <c r="A371" s="4" t="n">
        <v>373</v>
      </c>
      <c r="B371" t="inlineStr">
        <is>
          <t>16</t>
        </is>
      </c>
      <c r="C371" s="1" t="n">
        <v>58.8</v>
      </c>
      <c r="D371" s="2">
        <f>HYPERLINK("https://torgi.gov.ru/new/public/lots/lot/21000026240000000005_1/(lotInfo:info)", "21000026240000000005_1")</f>
        <v/>
      </c>
      <c r="E371" t="inlineStr">
        <is>
          <t>помещения 1 этажа по</t>
        </is>
      </c>
      <c r="F371" s="3" t="n">
        <v>137680.8163265306</v>
      </c>
      <c r="G371" s="3" t="n">
        <v>8095632</v>
      </c>
      <c r="H371" t="inlineStr">
        <is>
          <t>г Казань, ул Волгоградская, д 1, помещ 1141</t>
        </is>
      </c>
      <c r="I371" t="inlineStr">
        <is>
          <t>07 03 22 09:00</t>
        </is>
      </c>
      <c r="J371" t="inlineStr">
        <is>
          <t>16:50:100425:3406</t>
        </is>
      </c>
      <c r="L371" t="inlineStr">
        <is>
          <t>EA</t>
        </is>
      </c>
      <c r="M371" t="inlineStr">
        <is>
          <t>М</t>
        </is>
      </c>
      <c r="N371" s="2">
        <f>HYPERLINK("https://yandex.ru/maps/?&amp;text=55.829219, 49.083282", "55.829219, 49.083282")</f>
        <v/>
      </c>
      <c r="O371" t="n">
        <v>5258</v>
      </c>
      <c r="P371" s="7" t="n">
        <v>26.19</v>
      </c>
      <c r="R371" t="n">
        <v>5258</v>
      </c>
      <c r="S371" s="8" t="n">
        <v>26.19</v>
      </c>
    </row>
    <row r="372">
      <c r="A372" s="4" t="n">
        <v>374</v>
      </c>
      <c r="B372" t="inlineStr">
        <is>
          <t>78</t>
        </is>
      </c>
      <c r="C372" s="1" t="n">
        <v>25.8</v>
      </c>
      <c r="D372" s="2">
        <f>HYPERLINK("https://torgi.gov.ru/new/public/lots/lot/21000002210000000097_1/(lotInfo:info)", "21000002210000000097_1")</f>
        <v/>
      </c>
      <c r="E372" t="inlineStr">
        <is>
          <t>Нежилое помещение, расположенное по адресу: Санкт-Петербург,, литера А, пом. 33-Н, назначение: нежилое помещение, наименование: контора, этаж №1</t>
        </is>
      </c>
      <c r="F372" s="3" t="n">
        <v>205426.3565891473</v>
      </c>
      <c r="G372" s="3" t="n">
        <v>5300000</v>
      </c>
      <c r="H372" t="inlineStr">
        <is>
          <t>г Санкт-Петербург, Столярный пер, д 18/69 литера А, помещ 33-Н</t>
        </is>
      </c>
      <c r="I372" t="inlineStr">
        <is>
          <t>11 03 22 20:00</t>
        </is>
      </c>
      <c r="J372" t="inlineStr">
        <is>
          <t>78:32:0001234:1114</t>
        </is>
      </c>
      <c r="L372" t="inlineStr">
        <is>
          <t>EA</t>
        </is>
      </c>
      <c r="M372" t="inlineStr">
        <is>
          <t>М</t>
        </is>
      </c>
      <c r="N372" s="2">
        <f>HYPERLINK("https://yandex.ru/maps/?&amp;text=59.92639, 30.313281", "59.92639, 30.313281")</f>
        <v/>
      </c>
      <c r="O372" t="n">
        <v>10480</v>
      </c>
      <c r="P372" s="7" t="n">
        <v>19.6</v>
      </c>
      <c r="R372" t="n">
        <v>10480</v>
      </c>
      <c r="S372" s="8" t="n">
        <v>19.6</v>
      </c>
    </row>
    <row r="373">
      <c r="A373" s="4" t="n">
        <v>375</v>
      </c>
      <c r="B373" t="inlineStr">
        <is>
          <t>59</t>
        </is>
      </c>
      <c r="C373" s="1" t="n">
        <v>12.8</v>
      </c>
      <c r="D373" s="2">
        <f>HYPERLINK("https://torgi.gov.ru/new/public/lots/lot/21000012310000000003_2/(lotInfo:info)", "21000012310000000003_2")</f>
        <v/>
      </c>
      <c r="E373" t="inlineStr">
        <is>
          <t>Нежилое помещение на 1 этаже жилого дома по адресу:. Помещение пустует.</t>
        </is>
      </c>
      <c r="F373" s="3" t="n">
        <v>185156.25</v>
      </c>
      <c r="G373" s="3" t="n">
        <v>2370000</v>
      </c>
      <c r="H373" t="inlineStr">
        <is>
          <t>г Пермь, Парковый пр-кт, д 5</t>
        </is>
      </c>
      <c r="I373" t="inlineStr">
        <is>
          <t>09 03 22 13:00</t>
        </is>
      </c>
      <c r="J373" t="inlineStr">
        <is>
          <t>59:01:4410396:3674</t>
        </is>
      </c>
      <c r="L373" t="inlineStr">
        <is>
          <t>EA</t>
        </is>
      </c>
      <c r="M373" t="inlineStr">
        <is>
          <t>М</t>
        </is>
      </c>
      <c r="N373" s="2">
        <f>HYPERLINK("https://yandex.ru/maps/?&amp;text=57.997913, 56.1437", "57.997913, 56.1437")</f>
        <v/>
      </c>
      <c r="O373" t="n">
        <v>4037</v>
      </c>
      <c r="P373" s="7" t="n">
        <v>45.86</v>
      </c>
      <c r="R373" t="n">
        <v>3496</v>
      </c>
      <c r="S373" s="8" t="n">
        <v>52.96</v>
      </c>
    </row>
    <row r="374">
      <c r="A374" s="4" t="n">
        <v>376</v>
      </c>
      <c r="B374" t="inlineStr">
        <is>
          <t>59</t>
        </is>
      </c>
      <c r="C374" s="1" t="n">
        <v>15.3</v>
      </c>
      <c r="D374" s="2">
        <f>HYPERLINK("https://torgi.gov.ru/new/public/lots/lot/21000012310000000003_1/(lotInfo:info)", "21000012310000000003_1")</f>
        <v/>
      </c>
      <c r="E374" t="inlineStr">
        <is>
          <t>Нежилое помещение на 1 этаже жилого дома по адресу:. Помещение пустует.</t>
        </is>
      </c>
      <c r="F374" s="3" t="n">
        <v>42320.26143790849</v>
      </c>
      <c r="G374" s="3" t="n">
        <v>647500</v>
      </c>
      <c r="H374" t="inlineStr">
        <is>
          <t xml:space="preserve"> Пермский край, г. Пермь, Индустриальный район, ул. Чайковского и Кавалерийской, д. 19/11, пом.7</t>
        </is>
      </c>
      <c r="I374" t="inlineStr">
        <is>
          <t>09 03 22 13:00</t>
        </is>
      </c>
      <c r="J374" t="inlineStr">
        <is>
          <t>59:01:4410713:1206</t>
        </is>
      </c>
      <c r="L374" t="inlineStr">
        <is>
          <t>EA</t>
        </is>
      </c>
      <c r="M374" t="inlineStr">
        <is>
          <t>М</t>
        </is>
      </c>
      <c r="N374" s="2" t="inlineStr">
        <is>
          <t>57.985281, 56.202054</t>
        </is>
      </c>
      <c r="O374" t="n">
        <v>3192</v>
      </c>
      <c r="P374" s="7" t="n">
        <v>13.26</v>
      </c>
      <c r="R374" t="n">
        <v>3192</v>
      </c>
      <c r="S374" s="8" t="n">
        <v>13.26</v>
      </c>
    </row>
    <row r="375">
      <c r="A375" s="4" t="n">
        <v>377</v>
      </c>
      <c r="B375" t="inlineStr">
        <is>
          <t>36</t>
        </is>
      </c>
      <c r="C375" s="1" t="n">
        <v>485</v>
      </c>
      <c r="D375" s="2">
        <f>HYPERLINK("https://torgi.gov.ru/new/public/lots/lot/22000022930000000009_1/(lotInfo:info)", "22000022930000000009_1")</f>
        <v/>
      </c>
      <c r="E375" t="inlineStr">
        <is>
          <t>Нежилое помещение 6, назначение: нежилое, цокольный этажрасположенное по адресу:. Свободное</t>
        </is>
      </c>
      <c r="F375" s="3" t="n">
        <v>6597.938144329897</v>
      </c>
      <c r="G375" s="3" t="n">
        <v>3200000</v>
      </c>
      <c r="H375" t="inlineStr">
        <is>
          <t>г Воронеж, ул 60 Армии, д 4, помещ 6</t>
        </is>
      </c>
      <c r="I375" t="inlineStr">
        <is>
          <t>18 03 22 13:00</t>
        </is>
      </c>
      <c r="J375" t="inlineStr">
        <is>
          <t xml:space="preserve">36:34:0203008:9034, </t>
        </is>
      </c>
      <c r="L375" t="inlineStr">
        <is>
          <t>BOC</t>
        </is>
      </c>
      <c r="M375" t="inlineStr">
        <is>
          <t>М</t>
        </is>
      </c>
      <c r="N375" s="2">
        <f>HYPERLINK("https://yandex.ru/maps/?&amp;text=51.703472, 39.161947", "51.703472, 39.161947")</f>
        <v/>
      </c>
      <c r="O375" t="n">
        <v>3235</v>
      </c>
      <c r="P375" s="7" t="n">
        <v>2.04</v>
      </c>
      <c r="R375" t="n">
        <v>3926</v>
      </c>
      <c r="S375" s="8" t="n">
        <v>1.68</v>
      </c>
    </row>
    <row r="376">
      <c r="A376" s="4" t="n">
        <v>378</v>
      </c>
      <c r="B376" t="inlineStr">
        <is>
          <t>74</t>
        </is>
      </c>
      <c r="C376" s="1" t="n">
        <v>122.8</v>
      </c>
      <c r="D376" s="2">
        <f>HYPERLINK("https://torgi.gov.ru/new/public/lots/lot/21000034280000000004_1/(lotInfo:info)", "21000034280000000004_1")</f>
        <v/>
      </c>
      <c r="E376" t="inlineStr">
        <is>
          <t>Нежилое помещение расположенного по адресу:.18.</t>
        </is>
      </c>
      <c r="F376" s="3" t="n">
        <v>4175.895765472313</v>
      </c>
      <c r="G376" s="3" t="n">
        <v>512800</v>
      </c>
      <c r="H376" t="inlineStr">
        <is>
          <t>Челябинская обл, г Касли, ул Лобашова, д 145, помещ 1</t>
        </is>
      </c>
      <c r="I376" t="inlineStr">
        <is>
          <t>08 03 22 19:00</t>
        </is>
      </c>
      <c r="L376" t="inlineStr">
        <is>
          <t>PP</t>
        </is>
      </c>
      <c r="M376" t="inlineStr">
        <is>
          <t>М</t>
        </is>
      </c>
      <c r="N376" s="2">
        <f>HYPERLINK("https://yandex.ru/maps/?&amp;text=55.899684, 60.735914", "55.899684, 60.735914")</f>
        <v/>
      </c>
      <c r="O376" t="n">
        <v>907</v>
      </c>
      <c r="P376" s="7" t="n">
        <v>4.6</v>
      </c>
      <c r="R376" t="n">
        <v>672</v>
      </c>
      <c r="S376" s="8" t="n">
        <v>6.21</v>
      </c>
    </row>
    <row r="377">
      <c r="A377" s="4" t="n">
        <v>379</v>
      </c>
      <c r="B377" t="inlineStr">
        <is>
          <t>66</t>
        </is>
      </c>
      <c r="C377" s="1" t="n">
        <v>96.40000000000001</v>
      </c>
      <c r="D377" s="2">
        <f>HYPERLINK("https://torgi.gov.ru/new/public/lots/lot/22000040720000000001_1/(lotInfo:info)", "22000040720000000001_1")</f>
        <v/>
      </c>
      <c r="E377" t="inlineStr">
        <is>
      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      </is>
      </c>
      <c r="F377" s="3" t="n">
        <v>11929.46058091286</v>
      </c>
      <c r="G377" s="3" t="n">
        <v>1150000</v>
      </c>
      <c r="H377" t="inlineStr">
        <is>
          <t>Свердловская обл, г Асбест, ул Садовая, д 20</t>
        </is>
      </c>
      <c r="I377" t="inlineStr">
        <is>
          <t>18 03 22 05:00</t>
        </is>
      </c>
      <c r="J377" t="inlineStr">
        <is>
          <t>66:34:0502003:1113</t>
        </is>
      </c>
      <c r="L377" t="inlineStr">
        <is>
          <t>EA</t>
        </is>
      </c>
      <c r="M377" t="inlineStr">
        <is>
          <t>М</t>
        </is>
      </c>
      <c r="N377">
        <f>HYPERLINK("https://yandex.ru/maps/?&amp;text=57.01859, 61.465696", "57.01859, 61.465696")</f>
        <v/>
      </c>
      <c r="O377" t="n">
        <v>782</v>
      </c>
      <c r="P377" s="7" t="n">
        <v>15.26</v>
      </c>
      <c r="R377" t="n">
        <v>810</v>
      </c>
      <c r="S377" s="8" t="n">
        <v>14.73</v>
      </c>
    </row>
    <row r="378">
      <c r="A378" s="4" t="n">
        <v>380</v>
      </c>
      <c r="B378" t="inlineStr">
        <is>
          <t>78</t>
        </is>
      </c>
      <c r="C378" s="1" t="n">
        <v>15.8</v>
      </c>
      <c r="D378" s="2">
        <f>HYPERLINK("https://torgi.gov.ru/new/public/lots/lot/21000002210000000077_1/(lotInfo:info)", "21000002210000000077_1")</f>
        <v/>
      </c>
      <c r="E378" t="inlineStr">
        <is>
          <t>Нежилое помещение, расположенное по адресу: Санкт-Петербург,, назначение: нежилое помещение, этаж №1</t>
        </is>
      </c>
      <c r="F378" s="3" t="n">
        <v>92405.06329113923</v>
      </c>
      <c r="G378" s="3" t="n">
        <v>1460000</v>
      </c>
      <c r="H378" t="inlineStr">
        <is>
          <t>г Санкт-Петербург, Английский пр-кт, д 17-19 литера С, помещ 13-Н</t>
        </is>
      </c>
      <c r="I378" t="inlineStr">
        <is>
          <t>09 03 22 20:00</t>
        </is>
      </c>
      <c r="J378" t="inlineStr">
        <is>
          <t>78:32:0001083:2584</t>
        </is>
      </c>
      <c r="L378" t="inlineStr">
        <is>
          <t>EA</t>
        </is>
      </c>
      <c r="M378" t="inlineStr">
        <is>
          <t>М</t>
        </is>
      </c>
      <c r="N378" s="2">
        <f>HYPERLINK("https://yandex.ru/maps/?&amp;text=59.924149, 30.283708", "59.924149, 30.283708")</f>
        <v/>
      </c>
      <c r="O378" t="n">
        <v>11056</v>
      </c>
      <c r="P378" s="7" t="n">
        <v>8.359999999999999</v>
      </c>
      <c r="R378" t="n">
        <v>13144</v>
      </c>
      <c r="S378" s="8" t="n">
        <v>7.03</v>
      </c>
    </row>
    <row r="379">
      <c r="A379" s="4" t="n">
        <v>381</v>
      </c>
      <c r="B379" t="inlineStr">
        <is>
          <t>42</t>
        </is>
      </c>
      <c r="C379" s="1" t="n">
        <v>67</v>
      </c>
      <c r="D379" s="2">
        <f>HYPERLINK("https://torgi.gov.ru/new/public/lots/lot/21000000010000000003_4/(lotInfo:info)", "21000000010000000003_4")</f>
        <v/>
      </c>
      <c r="E379" t="inlineStr">
        <is>
          <t>Нежилое помещениеобщей пл.67 кв.м по адресу:Кемеровская область-Кузбасс,</t>
        </is>
      </c>
      <c r="F379" s="3" t="n">
        <v>18617.91044776119</v>
      </c>
      <c r="G379" s="3" t="n">
        <v>1247400</v>
      </c>
      <c r="H379" t="inlineStr">
        <is>
          <t>Кемеровская область - Кузбасс, г Анжеро-Судженск, ул Желябова, д 11</t>
        </is>
      </c>
      <c r="I379" t="inlineStr">
        <is>
          <t>21 03 22 08:00</t>
        </is>
      </c>
      <c r="J379" t="inlineStr">
        <is>
          <t xml:space="preserve">42:20:0102046:1694, </t>
        </is>
      </c>
      <c r="L379" t="inlineStr">
        <is>
          <t>EA</t>
        </is>
      </c>
      <c r="M379" t="inlineStr">
        <is>
          <t>М</t>
        </is>
      </c>
      <c r="N379" s="2">
        <f>HYPERLINK("https://yandex.ru/maps/?&amp;text=56.078564, 86.013824", "56.078564, 86.013824")</f>
        <v/>
      </c>
      <c r="O379" t="n">
        <v>1277</v>
      </c>
      <c r="P379" s="7" t="n">
        <v>14.58</v>
      </c>
      <c r="R379" t="n">
        <v>1376</v>
      </c>
      <c r="S379" s="8" t="n">
        <v>13.53</v>
      </c>
    </row>
    <row r="380">
      <c r="A380" s="4" t="n">
        <v>382</v>
      </c>
      <c r="B380" t="inlineStr">
        <is>
          <t>42</t>
        </is>
      </c>
      <c r="C380" s="1" t="n">
        <v>493.1</v>
      </c>
      <c r="D380" s="2">
        <f>HYPERLINK("https://torgi.gov.ru/new/public/lots/lot/21000000010000000003_12/(lotInfo:info)", "21000000010000000003_12")</f>
        <v/>
      </c>
      <c r="E380" t="inlineStr">
        <is>
          <t>Нежилое помещениеобщей пл.493,1 кв.м по адресу: Кемеровская область-Кузбасс,</t>
        </is>
      </c>
      <c r="F380" s="3" t="n">
        <v>14911.37700263638</v>
      </c>
      <c r="G380" s="3" t="n">
        <v>7352800</v>
      </c>
      <c r="H380" t="inlineStr">
        <is>
          <t>г Кемерово, ул Халтурина, д 39, помещ 34</t>
        </is>
      </c>
      <c r="I380" t="inlineStr">
        <is>
          <t>21 03 22 08:00</t>
        </is>
      </c>
      <c r="J380" t="inlineStr">
        <is>
          <t xml:space="preserve">42:24:0301019:5302, </t>
        </is>
      </c>
      <c r="L380" t="inlineStr">
        <is>
          <t>EA</t>
        </is>
      </c>
      <c r="M380" t="inlineStr">
        <is>
          <t>М</t>
        </is>
      </c>
      <c r="N380" s="2">
        <f>HYPERLINK("https://yandex.ru/maps/?&amp;text=55.41167, 86.05477", "55.41167, 86.05477")</f>
        <v/>
      </c>
      <c r="O380" t="n">
        <v>1274</v>
      </c>
      <c r="P380" s="7" t="n">
        <v>11.7</v>
      </c>
      <c r="R380" t="n">
        <v>1274</v>
      </c>
      <c r="S380" s="8" t="n">
        <v>11.7</v>
      </c>
    </row>
    <row r="381">
      <c r="A381" s="4" t="n">
        <v>383</v>
      </c>
      <c r="B381" t="inlineStr">
        <is>
          <t>42</t>
        </is>
      </c>
      <c r="C381" s="1" t="n">
        <v>321.9</v>
      </c>
      <c r="D381" s="2">
        <f>HYPERLINK("https://torgi.gov.ru/new/public/lots/lot/21000000010000000003_10/(lotInfo:info)", "21000000010000000003_10")</f>
        <v/>
      </c>
      <c r="E381" t="inlineStr">
        <is>
          <t>Нежилое помещениеобщей пл.321,9 кв.м по адресу: Кемеровская область-Кузбасс,</t>
        </is>
      </c>
      <c r="F381" s="3" t="n">
        <v>6691.20844982914</v>
      </c>
      <c r="G381" s="3" t="n">
        <v>2153900</v>
      </c>
      <c r="H381" t="inlineStr">
        <is>
          <t>Кемеровская область - Кузбасс, г Киселевск, ул Советская, д 4А, кв 1</t>
        </is>
      </c>
      <c r="I381" t="inlineStr">
        <is>
          <t>21 03 22 08:00</t>
        </is>
      </c>
      <c r="J381" t="inlineStr">
        <is>
          <t xml:space="preserve">42:25:0108004:2348, </t>
        </is>
      </c>
      <c r="L381" t="inlineStr">
        <is>
          <t>EA</t>
        </is>
      </c>
      <c r="M381" t="inlineStr">
        <is>
          <t>М</t>
        </is>
      </c>
      <c r="N381" s="2">
        <f>HYPERLINK("https://yandex.ru/maps/?&amp;text=54.004427, 86.638467", "54.004427, 86.638467")</f>
        <v/>
      </c>
      <c r="O381" t="n">
        <v>816</v>
      </c>
      <c r="P381" s="7" t="n">
        <v>8.199999999999999</v>
      </c>
      <c r="R381" t="n">
        <v>1072</v>
      </c>
      <c r="S381" s="8" t="n">
        <v>6.24</v>
      </c>
    </row>
    <row r="382">
      <c r="A382" s="4" t="n">
        <v>384</v>
      </c>
      <c r="B382" t="inlineStr">
        <is>
          <t>2</t>
        </is>
      </c>
      <c r="C382" s="1" t="n">
        <v>613</v>
      </c>
      <c r="D382" s="2">
        <f>HYPERLINK("https://torgi.gov.ru/new/public/lots/lot/22000039540000000001_1/(lotInfo:info)", "22000039540000000001_1")</f>
        <v/>
      </c>
      <c r="E382" t="inlineStr">
        <is>
          <t>Нежилое здание.,земельный участок., вид разрешенного использования- для размещения производственных объектов, адрес - Республика Башкортостан, с. Кушнаренково, ул. Красная, д. 1</t>
        </is>
      </c>
      <c r="F382" s="3" t="n">
        <v>2712.887438825448</v>
      </c>
      <c r="G382" s="3" t="n">
        <v>1663000</v>
      </c>
      <c r="H382" t="inlineStr">
        <is>
          <t>Респ Башкортостан, село Кушнаренково, ул Красная, д 1Б</t>
        </is>
      </c>
      <c r="I382" t="inlineStr">
        <is>
          <t>04 03 22 13:00</t>
        </is>
      </c>
      <c r="J382" t="inlineStr">
        <is>
          <t>02:36:070121:162</t>
        </is>
      </c>
      <c r="L382" t="inlineStr">
        <is>
          <t>PP</t>
        </is>
      </c>
      <c r="M382" t="inlineStr">
        <is>
          <t>М</t>
        </is>
      </c>
      <c r="N382">
        <f>HYPERLINK("https://yandex.ru/maps/?&amp;text=55.104079, 55.368992", "55.104079, 55.368992")</f>
        <v/>
      </c>
      <c r="O382" t="n">
        <v>725</v>
      </c>
      <c r="P382" s="7" t="n">
        <v>3.74</v>
      </c>
      <c r="R382" t="n">
        <v>725</v>
      </c>
      <c r="S382" s="8" t="n">
        <v>3.74</v>
      </c>
    </row>
    <row r="383">
      <c r="A383" s="4" t="n">
        <v>385</v>
      </c>
      <c r="B383" t="inlineStr">
        <is>
          <t>49</t>
        </is>
      </c>
      <c r="C383" s="1" t="n">
        <v>208.1</v>
      </c>
      <c r="D383" s="2">
        <f>HYPERLINK("https://torgi.gov.ru/new/public/lots/lot/22000038950000000001_1/(lotInfo:info)", "22000038950000000001_1")</f>
        <v/>
      </c>
      <c r="E383" t="inlineStr">
        <is>
          <t>Помещение .</t>
        </is>
      </c>
      <c r="F383" s="3" t="n">
        <v>4627.582892839981</v>
      </c>
      <c r="G383" s="3" t="n">
        <v>963000</v>
      </c>
      <c r="H383" t="inlineStr">
        <is>
          <t>Магаданская обл, пгт Ягодное, ул Металлистов, д 8</t>
        </is>
      </c>
      <c r="I383" t="inlineStr">
        <is>
          <t>10 03 22 06:00</t>
        </is>
      </c>
      <c r="J383" t="inlineStr">
        <is>
          <t>49:08:070103:758</t>
        </is>
      </c>
      <c r="L383" t="inlineStr">
        <is>
          <t>EA</t>
        </is>
      </c>
      <c r="M383" t="inlineStr">
        <is>
          <t>М</t>
        </is>
      </c>
      <c r="N383">
        <f>HYPERLINK("https://yandex.ru/maps/?&amp;text=62.523613, 149.62122", "62.523613, 149.62122")</f>
        <v/>
      </c>
      <c r="O383" t="n">
        <v>684</v>
      </c>
      <c r="P383" s="7" t="n">
        <v>6.77</v>
      </c>
      <c r="R383" t="n">
        <v>331</v>
      </c>
      <c r="S383" s="8" t="n">
        <v>13.98</v>
      </c>
    </row>
    <row r="384">
      <c r="A384" s="4" t="n">
        <v>386</v>
      </c>
      <c r="B384" t="inlineStr">
        <is>
          <t>78</t>
        </is>
      </c>
      <c r="C384" s="1" t="n">
        <v>15.8</v>
      </c>
      <c r="D384" s="2">
        <f>HYPERLINK("https://torgi.gov.ru/new/public/lots/lot/21000002210000000075_1/(lotInfo:info)", "21000002210000000075_1")</f>
        <v/>
      </c>
      <c r="E384" t="inlineStr">
        <is>
          <t>Нежилое помещение, расположенное по адресу: Санкт-Петербург,, литера А, пом. 5-Н, назначение: нежилое помещение, наименование: служебное, этаж № 1</t>
        </is>
      </c>
      <c r="F384" s="3" t="n">
        <v>119620.253164557</v>
      </c>
      <c r="G384" s="3" t="n">
        <v>1890000</v>
      </c>
      <c r="H384" t="inlineStr">
        <is>
          <t>г Санкт-Петербург, Шлиссельбургский пр-кт, д 23 литера А, помещ 5-Н</t>
        </is>
      </c>
      <c r="I384" t="inlineStr">
        <is>
          <t>05 03 22 20:00</t>
        </is>
      </c>
      <c r="J384" t="inlineStr">
        <is>
          <t>78:12:0007202:4512</t>
        </is>
      </c>
      <c r="L384" t="inlineStr">
        <is>
          <t>EA</t>
        </is>
      </c>
      <c r="M384" t="inlineStr">
        <is>
          <t>М</t>
        </is>
      </c>
      <c r="N384" s="2">
        <f>HYPERLINK("https://yandex.ru/maps/?&amp;text=59.838385, 30.498792", "59.838385, 30.498792")</f>
        <v/>
      </c>
      <c r="O384" t="n">
        <v>3996</v>
      </c>
      <c r="P384" s="7" t="n">
        <v>29.93</v>
      </c>
      <c r="R384" t="n">
        <v>2186</v>
      </c>
      <c r="S384" s="8" t="n">
        <v>54.72</v>
      </c>
    </row>
    <row r="385">
      <c r="A385" s="4" t="n">
        <v>387</v>
      </c>
      <c r="B385" t="inlineStr">
        <is>
          <t>78</t>
        </is>
      </c>
      <c r="C385" s="1" t="n">
        <v>24.2</v>
      </c>
      <c r="D385" s="2">
        <f>HYPERLINK("https://torgi.gov.ru/new/public/lots/lot/21000002210000000072_1/(lotInfo:info)", "21000002210000000072_1")</f>
        <v/>
      </c>
      <c r="E385" t="inlineStr">
        <is>
          <t>Нежилое помещение, расположенное по адресу: Санкт-Петербург,, назначение: нежилое помещение, наименование: нежилое помещение, этаж №1</t>
        </is>
      </c>
      <c r="F385" s="3" t="n">
        <v>175206.6115702479</v>
      </c>
      <c r="G385" s="3" t="n">
        <v>4240000</v>
      </c>
      <c r="H385" t="inlineStr">
        <is>
          <t>г Санкт-Петербург, Петергофское шоссе, д 3 к 1 литера Д, помещ 5-Н</t>
        </is>
      </c>
      <c r="I385" t="inlineStr">
        <is>
          <t>05 03 22 20:00</t>
        </is>
      </c>
      <c r="J385" t="inlineStr">
        <is>
          <t>78:40:0008309:5227</t>
        </is>
      </c>
      <c r="L385" t="inlineStr">
        <is>
          <t>EA</t>
        </is>
      </c>
      <c r="M385" t="inlineStr">
        <is>
          <t>М</t>
        </is>
      </c>
      <c r="N385" s="2">
        <f>HYPERLINK("https://yandex.ru/maps/?&amp;text=59.847652, 30.205474", "59.847652, 30.205474")</f>
        <v/>
      </c>
      <c r="O385" t="n">
        <v>8602</v>
      </c>
      <c r="P385" s="7" t="n">
        <v>20.37</v>
      </c>
      <c r="R385" t="n">
        <v>14430</v>
      </c>
      <c r="S385" s="8" t="n">
        <v>12.14</v>
      </c>
    </row>
    <row r="386">
      <c r="A386" s="4" t="n">
        <v>388</v>
      </c>
      <c r="B386" t="inlineStr">
        <is>
          <t>78</t>
        </is>
      </c>
      <c r="C386" s="1" t="n">
        <v>39.3</v>
      </c>
      <c r="D386" s="2">
        <f>HYPERLINK("https://torgi.gov.ru/new/public/lots/lot/21000002210000000068_1/(lotInfo:info)", "21000002210000000068_1")</f>
        <v/>
      </c>
      <c r="E386" t="inlineStr">
        <is>
          <t>Нежилое помещение, расположенное по адресу: Санкт-Петербург,, литера А, пом. 19-Н, назначение: нежилое помещение, наименование: нежилое помещение, этаж №1</t>
        </is>
      </c>
      <c r="F386" s="3" t="n">
        <v>244783.7150127227</v>
      </c>
      <c r="G386" s="3" t="n">
        <v>9620000</v>
      </c>
      <c r="H386" t="inlineStr">
        <is>
          <t>г Санкт-Петербург, ул Малая Морская, д 19 литера А, помещ 19-Н</t>
        </is>
      </c>
      <c r="I386" t="inlineStr">
        <is>
          <t>05 03 22 20:00</t>
        </is>
      </c>
      <c r="J386" t="inlineStr">
        <is>
          <t>78:32:0001094:1202</t>
        </is>
      </c>
      <c r="L386" t="inlineStr">
        <is>
          <t>EA</t>
        </is>
      </c>
      <c r="M386" t="inlineStr">
        <is>
          <t>М</t>
        </is>
      </c>
      <c r="N386" s="2">
        <f>HYPERLINK("https://yandex.ru/maps/?&amp;text=59.934853, 30.310245", "59.934853, 30.310245")</f>
        <v/>
      </c>
      <c r="O386" t="n">
        <v>7410</v>
      </c>
      <c r="P386" s="7" t="n">
        <v>33.03</v>
      </c>
      <c r="R386" t="n">
        <v>7410</v>
      </c>
      <c r="S386" s="8" t="n">
        <v>33.03</v>
      </c>
    </row>
    <row r="387">
      <c r="A387" s="4" t="n">
        <v>389</v>
      </c>
      <c r="B387" t="inlineStr">
        <is>
          <t>78</t>
        </is>
      </c>
      <c r="C387" s="1" t="n">
        <v>49.8</v>
      </c>
      <c r="D387" s="2">
        <f>HYPERLINK("https://torgi.gov.ru/new/public/lots/lot/21000002210000000066_1/(lotInfo:info)", "21000002210000000066_1")</f>
        <v/>
      </c>
      <c r="E387" t="inlineStr">
        <is>
          <t>Нежилое помещение, расположенное по адресу: Санкт-Петербург,, литера А, пом. 3-Н, назначение: нежилое, наименование: нежилое помещение, этаж: цокольный</t>
        </is>
      </c>
      <c r="F387" s="3" t="n">
        <v>116666.6666666667</v>
      </c>
      <c r="G387" s="3" t="n">
        <v>5810000</v>
      </c>
      <c r="H387" t="inlineStr">
        <is>
          <t>г Санкт-Петербург, ул Кавалергардская, д 10 литера А, помещ 3-Н</t>
        </is>
      </c>
      <c r="I387" t="inlineStr">
        <is>
          <t>05 03 22 20:00</t>
        </is>
      </c>
      <c r="J387" t="inlineStr">
        <is>
          <t>78:31:0001209:3242</t>
        </is>
      </c>
      <c r="L387" t="inlineStr">
        <is>
          <t>EA</t>
        </is>
      </c>
      <c r="M387" t="inlineStr">
        <is>
          <t>М</t>
        </is>
      </c>
      <c r="N387" s="2">
        <f>HYPERLINK("https://yandex.ru/maps/?&amp;text=59.944256, 30.382388", "59.944256, 30.382388")</f>
        <v/>
      </c>
      <c r="O387" t="n">
        <v>9528</v>
      </c>
      <c r="P387" s="7" t="n">
        <v>12.24</v>
      </c>
      <c r="R387" t="n">
        <v>9528</v>
      </c>
      <c r="S387" s="8" t="n">
        <v>12.24</v>
      </c>
    </row>
    <row r="388">
      <c r="A388" s="4" t="n">
        <v>390</v>
      </c>
      <c r="B388" t="inlineStr">
        <is>
          <t>77</t>
        </is>
      </c>
      <c r="C388" s="1" t="n">
        <v>16</v>
      </c>
      <c r="D388" s="2">
        <f>HYPERLINK("https://torgi.gov.ru/new/public/lots/lot/21000005000000000228_1/(lotInfo:info)", "21000005000000000228_1")</f>
        <v/>
      </c>
      <c r="E388" t="inlineStr">
        <is>
          <t>Продажа имущества, находящегося в собственности города Москвы, нежилое помещение по адресу: (Этаж № 1)</t>
        </is>
      </c>
      <c r="F388" s="3" t="n">
        <v>324225</v>
      </c>
      <c r="G388" s="3" t="n">
        <v>5187600</v>
      </c>
      <c r="H388" t="inlineStr">
        <is>
          <t>г Москва, ул Генерала Белова, д 45 к 1, помещ 1Н</t>
        </is>
      </c>
      <c r="I388" t="inlineStr">
        <is>
          <t>22 03 22 12:00</t>
        </is>
      </c>
      <c r="J388" t="inlineStr">
        <is>
          <t>77:05:0011006:9472</t>
        </is>
      </c>
      <c r="L388" t="inlineStr">
        <is>
          <t>EA</t>
        </is>
      </c>
      <c r="M388" t="inlineStr">
        <is>
          <t>М</t>
        </is>
      </c>
      <c r="N388" s="2">
        <f>HYPERLINK("https://yandex.ru/maps/?&amp;text=55.606945, 37.72538", "55.606945, 37.72538")</f>
        <v/>
      </c>
      <c r="O388" t="n">
        <v>21817</v>
      </c>
      <c r="P388" s="7" t="n">
        <v>14.86</v>
      </c>
      <c r="R388" t="n">
        <v>20809</v>
      </c>
      <c r="S388" s="8" t="n">
        <v>15.58</v>
      </c>
    </row>
    <row r="389">
      <c r="A389" s="4" t="n">
        <v>391</v>
      </c>
      <c r="B389" t="inlineStr">
        <is>
          <t>51</t>
        </is>
      </c>
      <c r="C389" s="1" t="n">
        <v>32.7</v>
      </c>
      <c r="D389" s="2">
        <f>HYPERLINK("https://torgi.gov.ru/new/public/lots/lot/22000023110000000002_1/(lotInfo:info)", "22000023110000000002_1")</f>
        <v/>
      </c>
      <c r="E389" t="inlineStr">
        <is>
          <t>нежилое помещение, расположенное по адресу:. Мурмаши Кольского р-на, п.г.т. Мурмаши, ул.Цесарского, д. 2, пом.II (23)</t>
        </is>
      </c>
      <c r="F389" s="3" t="n">
        <v>20045.87155963303</v>
      </c>
      <c r="G389" s="3" t="n">
        <v>655500</v>
      </c>
      <c r="H389" t="inlineStr">
        <is>
          <t xml:space="preserve"> Мурманская область, МО г.п . Мурмаши Кольского р-на, п.г.т. Мурмаши, ул.Цесарского, д. 2, пом 2</t>
        </is>
      </c>
      <c r="I389" t="inlineStr">
        <is>
          <t>09 03 22 21:00</t>
        </is>
      </c>
      <c r="J389" t="inlineStr">
        <is>
          <t>51:01:0207004:342</t>
        </is>
      </c>
      <c r="L389" t="inlineStr">
        <is>
          <t>EA</t>
        </is>
      </c>
      <c r="M389" t="inlineStr">
        <is>
          <t>М</t>
        </is>
      </c>
      <c r="N389" t="inlineStr">
        <is>
          <t>56.852790, 40.548308</t>
        </is>
      </c>
      <c r="O389" t="n">
        <v>2642</v>
      </c>
      <c r="P389" s="7" t="n">
        <v>7.59</v>
      </c>
      <c r="R389" t="n">
        <v>2642</v>
      </c>
      <c r="S389" s="8" t="n">
        <v>7.59</v>
      </c>
    </row>
    <row r="390">
      <c r="A390" s="4" t="n">
        <v>392</v>
      </c>
      <c r="B390" t="inlineStr">
        <is>
          <t>78</t>
        </is>
      </c>
      <c r="C390" s="1" t="n">
        <v>79.7</v>
      </c>
      <c r="D390" s="2">
        <f>HYPERLINK("https://torgi.gov.ru/new/public/lots/lot/21000002210000000061_1/(lotInfo:info)", "21000002210000000061_1")</f>
        <v/>
      </c>
      <c r="E390" t="inlineStr">
        <is>
          <t>Нежилое помещение, расположенное по адресу: Санкт-Петербург,, литера А, пом. 7-Н, назначение: нежилое помещение, этаж № 1</t>
        </is>
      </c>
      <c r="F390" s="3" t="n">
        <v>97867.00125470514</v>
      </c>
      <c r="G390" s="3" t="n">
        <v>7800000</v>
      </c>
      <c r="H390" t="inlineStr">
        <is>
          <t>г Санкт-Петербург, наб Обводного канала, д 142/16 литера А, помещ 7-Н</t>
        </is>
      </c>
      <c r="I390" t="inlineStr">
        <is>
          <t>03 03 22 20:00</t>
        </is>
      </c>
      <c r="J390" t="inlineStr">
        <is>
          <t>78:32:0008004:2838</t>
        </is>
      </c>
      <c r="L390" t="inlineStr">
        <is>
          <t>EA</t>
        </is>
      </c>
      <c r="M390" t="inlineStr">
        <is>
          <t>М</t>
        </is>
      </c>
      <c r="N390" s="2">
        <f>HYPERLINK("https://yandex.ru/maps/?&amp;text=59.908678, 30.275938", "59.908678, 30.275938")</f>
        <v/>
      </c>
      <c r="O390" t="n">
        <v>4623</v>
      </c>
      <c r="P390" s="7" t="n">
        <v>21.17</v>
      </c>
      <c r="R390" t="n">
        <v>5358</v>
      </c>
      <c r="S390" s="8" t="n">
        <v>18.27</v>
      </c>
    </row>
    <row r="391">
      <c r="A391" s="4" t="n">
        <v>393</v>
      </c>
      <c r="B391" t="inlineStr">
        <is>
          <t>78</t>
        </is>
      </c>
      <c r="C391" s="1" t="n">
        <v>15</v>
      </c>
      <c r="D391" s="2">
        <f>HYPERLINK("https://torgi.gov.ru/new/public/lots/lot/21000002210000000060_1/(lotInfo:info)", "21000002210000000060_1")</f>
        <v/>
      </c>
      <c r="E391" t="inlineStr">
        <is>
          <t>Нежилое помещение, расположенное по адресу: Санкт-Петербург,, литера А, пом. 15-Н, назначение: нежилое, этаж №1</t>
        </is>
      </c>
      <c r="F391" s="3" t="n">
        <v>168666.6666666667</v>
      </c>
      <c r="G391" s="3" t="n">
        <v>2530000</v>
      </c>
      <c r="H391" t="inlineStr">
        <is>
          <t>г Санкт-Петербург, наб Обводного канала, д 209 литера А, помещ 15-Н</t>
        </is>
      </c>
      <c r="I391" t="inlineStr">
        <is>
          <t>03 03 22 20:00</t>
        </is>
      </c>
      <c r="J391" t="inlineStr">
        <is>
          <t>78:32:0001663:3051</t>
        </is>
      </c>
      <c r="L391" t="inlineStr">
        <is>
          <t>EA</t>
        </is>
      </c>
      <c r="M391" t="inlineStr">
        <is>
          <t>М</t>
        </is>
      </c>
      <c r="N391" s="2">
        <f>HYPERLINK("https://yandex.ru/maps/?&amp;text=59.909612, 30.278498", "59.909612, 30.278498")</f>
        <v/>
      </c>
      <c r="O391" t="n">
        <v>4623</v>
      </c>
      <c r="P391" s="7" t="n">
        <v>36.48</v>
      </c>
      <c r="R391" t="n">
        <v>4623</v>
      </c>
      <c r="S391" s="8" t="n">
        <v>36.48</v>
      </c>
    </row>
    <row r="392">
      <c r="A392" s="4" t="n">
        <v>394</v>
      </c>
      <c r="B392" t="inlineStr">
        <is>
          <t>52</t>
        </is>
      </c>
      <c r="C392" s="1" t="n">
        <v>125.4</v>
      </c>
      <c r="D392" s="2">
        <f>HYPERLINK("https://torgi.gov.ru/new/public/lots/lot/21000011320000000012_2/(lotInfo:info)", "21000011320000000012_2")</f>
        <v/>
      </c>
      <c r="E392" t="inlineStr">
        <is>
          <t>Нежилое помещение расположено на первом этаже пятиэтажного жилого дома. Имеется 2 отдельных входа: 1 – с фасада, 1 – со двора дома.</t>
        </is>
      </c>
      <c r="F392" s="3" t="n">
        <v>71810.72216905901</v>
      </c>
      <c r="G392" s="3" t="n">
        <v>9005064.560000001</v>
      </c>
      <c r="H392" t="inlineStr">
        <is>
          <t>г Нижний Новгород, Моторный пер, д 4 к 2</t>
        </is>
      </c>
      <c r="I392" t="inlineStr">
        <is>
          <t>14 03 22 12:00</t>
        </is>
      </c>
      <c r="J392" t="inlineStr">
        <is>
          <t>52:18:0040200:478</t>
        </is>
      </c>
      <c r="L392" t="inlineStr">
        <is>
          <t>EA</t>
        </is>
      </c>
      <c r="M392" t="inlineStr">
        <is>
          <t>М</t>
        </is>
      </c>
      <c r="N392" s="2">
        <f>HYPERLINK("https://yandex.ru/maps/?&amp;text=56.256237, 43.86071", "56.256237, 43.86071")</f>
        <v/>
      </c>
      <c r="O392" t="n">
        <v>4550</v>
      </c>
      <c r="P392" s="7" t="n">
        <v>15.78</v>
      </c>
      <c r="R392" t="n">
        <v>4981</v>
      </c>
      <c r="S392" s="8" t="n">
        <v>14.42</v>
      </c>
    </row>
    <row r="393">
      <c r="A393" s="4" t="n">
        <v>395</v>
      </c>
      <c r="B393" t="inlineStr">
        <is>
          <t>34</t>
        </is>
      </c>
      <c r="C393" s="1" t="n">
        <v>259.1</v>
      </c>
      <c r="D393" s="2">
        <f>HYPERLINK("https://torgi.gov.ru/new/public/lots/lot/21000014370000000004_1/(lotInfo:info)", "21000014370000000004_1")</f>
        <v/>
      </c>
      <c r="E393" t="inlineStr">
        <is>
          <t>Нежилое помещение, расположенное на цокольном этаже жилого дома по адресу:.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      </is>
      </c>
      <c r="F393" s="3" t="n">
        <v>13553.84021613277</v>
      </c>
      <c r="G393" s="3" t="n">
        <v>3511800</v>
      </c>
      <c r="H393" t="inlineStr">
        <is>
          <t>Волгоградская обл, г Волжский, пр-кт Дружбы, д 88, помещ 1</t>
        </is>
      </c>
      <c r="I393" t="inlineStr">
        <is>
          <t>05 03 22 14:30</t>
        </is>
      </c>
      <c r="J393" t="inlineStr">
        <is>
          <t>34:35:030216:3490</t>
        </is>
      </c>
      <c r="L393" t="inlineStr">
        <is>
          <t>PP</t>
        </is>
      </c>
      <c r="M393" t="inlineStr">
        <is>
          <t>М</t>
        </is>
      </c>
      <c r="N393">
        <f>HYPERLINK("https://yandex.ru/maps/?&amp;text=48.75478, 44.809746", "48.75478, 44.809746")</f>
        <v/>
      </c>
      <c r="O393" t="n">
        <v>4822</v>
      </c>
      <c r="P393" s="7" t="n">
        <v>2.81</v>
      </c>
      <c r="R393" t="n">
        <v>3074</v>
      </c>
      <c r="S393" s="8" t="n">
        <v>4.41</v>
      </c>
    </row>
    <row r="394">
      <c r="A394" s="4" t="n">
        <v>396</v>
      </c>
      <c r="B394" t="inlineStr">
        <is>
          <t>76</t>
        </is>
      </c>
      <c r="C394" s="1" t="n">
        <v>66.59999999999999</v>
      </c>
      <c r="D394" s="2">
        <f>HYPERLINK("https://torgi.gov.ru/new/public/lots/lot/21000012550000000012_1/(lotInfo:info)", "21000012550000000012_1")</f>
        <v/>
      </c>
      <c r="E394" t="inlineStr">
        <is>
          <t>помещения, назначение: нежилое (в том числе самовольно перепланировано 66,6 кв. м), этаж: 1, номера на поэтажном плане 25 − 28, расположенные по адресу:, существующие ограничения (обременения) права: не зарегистрировано.</t>
        </is>
      </c>
      <c r="F394" s="3" t="n">
        <v>18085.58558558559</v>
      </c>
      <c r="G394" s="3" t="n">
        <v>1204500</v>
      </c>
      <c r="H394" t="inlineStr">
        <is>
          <t>г Ярославль, Индустриальный пер, д 11</t>
        </is>
      </c>
      <c r="I394" t="inlineStr">
        <is>
          <t>14 03 22 12:00</t>
        </is>
      </c>
      <c r="L394" t="inlineStr">
        <is>
          <t>PP</t>
        </is>
      </c>
      <c r="M394" t="inlineStr">
        <is>
          <t>М</t>
        </is>
      </c>
      <c r="N394" s="2">
        <f>HYPERLINK("https://yandex.ru/maps/?&amp;text=57.55079, 39.937741", "57.55079, 39.937741")</f>
        <v/>
      </c>
      <c r="O394" t="n">
        <v>3178</v>
      </c>
      <c r="P394" s="7" t="n">
        <v>5.69</v>
      </c>
      <c r="R394" t="n">
        <v>2832</v>
      </c>
      <c r="S394" s="8" t="n">
        <v>6.39</v>
      </c>
    </row>
    <row r="395">
      <c r="A395" s="4" t="n">
        <v>397</v>
      </c>
      <c r="B395" t="inlineStr">
        <is>
          <t>76</t>
        </is>
      </c>
      <c r="C395" s="1" t="n">
        <v>16.3</v>
      </c>
      <c r="D395" s="2">
        <f>HYPERLINK("https://torgi.gov.ru/new/public/lots/lot/21000012550000000011_1/(lotInfo:info)", "21000012550000000011_1")</f>
        <v/>
      </c>
      <c r="E395" t="inlineStr">
        <is>
          <t>помещения, назначение: нежилое, этаж: 1, номера на поэтажном плане 12, 13, 14, вход через помещения, принадлежащие третьим лицам, расположенные по адресу:, существующие ограничения (обременения) права: не зарегистрировано.</t>
        </is>
      </c>
      <c r="F395" s="3" t="n">
        <v>31886.50306748466</v>
      </c>
      <c r="G395" s="3" t="n">
        <v>519750</v>
      </c>
      <c r="H395" t="inlineStr">
        <is>
          <t>г Ярославль, Индустриальный пер, д 11</t>
        </is>
      </c>
      <c r="I395" t="inlineStr">
        <is>
          <t>14 03 22 12:00</t>
        </is>
      </c>
      <c r="L395" t="inlineStr">
        <is>
          <t>PP</t>
        </is>
      </c>
      <c r="M395" t="inlineStr">
        <is>
          <t>М</t>
        </is>
      </c>
      <c r="N395" s="2">
        <f>HYPERLINK("https://yandex.ru/maps/?&amp;text=57.55079, 39.937741", "57.55079, 39.937741")</f>
        <v/>
      </c>
      <c r="O395" t="n">
        <v>3178</v>
      </c>
      <c r="P395" s="7" t="n">
        <v>10.03</v>
      </c>
      <c r="R395" t="n">
        <v>2832</v>
      </c>
      <c r="S395" s="8" t="n">
        <v>11.26</v>
      </c>
    </row>
    <row r="396">
      <c r="A396" s="4" t="n">
        <v>398</v>
      </c>
      <c r="B396" t="inlineStr">
        <is>
          <t>77</t>
        </is>
      </c>
      <c r="C396" s="1" t="n">
        <v>31.6</v>
      </c>
      <c r="D396" s="2">
        <f>HYPERLINK("https://torgi.gov.ru/new/public/lots/lot/21000005000000000195_1/(lotInfo:info)", "21000005000000000195_1")</f>
        <v/>
      </c>
      <c r="E396" t="inlineStr">
        <is>
          <t>Продажа имущества, находящегося в собственности города Москвы, нежилое помещение по адресу:  (Этаж № 1)</t>
        </is>
      </c>
      <c r="F396" s="3" t="n">
        <v>239772.1518987342</v>
      </c>
      <c r="G396" s="3" t="n">
        <v>7576800</v>
      </c>
      <c r="H396" t="inlineStr">
        <is>
          <t>г Москва, ул Воронежская, д 56, помещ 1/1</t>
        </is>
      </c>
      <c r="I396" t="inlineStr">
        <is>
          <t>21 03 22 12:00</t>
        </is>
      </c>
      <c r="J396" t="inlineStr">
        <is>
          <t>77:05:0011009:14783</t>
        </is>
      </c>
      <c r="L396" t="inlineStr">
        <is>
          <t>EA</t>
        </is>
      </c>
      <c r="M396" t="inlineStr">
        <is>
          <t>М</t>
        </is>
      </c>
      <c r="N396" s="2">
        <f>HYPERLINK("https://yandex.ru/maps/?&amp;text=55.61061, 37.760124", "55.61061, 37.760124")</f>
        <v/>
      </c>
      <c r="O396" t="n">
        <v>17007</v>
      </c>
      <c r="P396" s="7" t="n">
        <v>14.1</v>
      </c>
      <c r="R396" t="n">
        <v>10321</v>
      </c>
      <c r="S396" s="8" t="n">
        <v>23.23</v>
      </c>
    </row>
    <row r="397">
      <c r="A397" s="4" t="n">
        <v>399</v>
      </c>
      <c r="B397" t="inlineStr">
        <is>
          <t>78</t>
        </is>
      </c>
      <c r="C397" s="1" t="n">
        <v>17.4</v>
      </c>
      <c r="D397" s="2">
        <f>HYPERLINK("https://torgi.gov.ru/new/public/lots/lot/21000002210000000045_1/(lotInfo:info)", "21000002210000000045_1")</f>
        <v/>
      </c>
      <c r="E397" t="inlineStr">
        <is>
          <t>Нежилое помещение, расположенное по адресу: Санкт-Петербург,, литера А, пом. 24-Н., назначение: нежилое помещение, наименование: нежилое помещение, этаж №1</t>
        </is>
      </c>
      <c r="F397" s="3" t="n">
        <v>177011.4942528736</v>
      </c>
      <c r="G397" s="3" t="n">
        <v>3080000</v>
      </c>
      <c r="H397" t="inlineStr">
        <is>
          <t>г Санкт-Петербург, ул Наличная, д 44 к 2 литера А, помещ 24-Н</t>
        </is>
      </c>
      <c r="I397" t="inlineStr">
        <is>
          <t>01 03 22 20:00</t>
        </is>
      </c>
      <c r="J397" t="inlineStr">
        <is>
          <t>78:06:0002202:12857</t>
        </is>
      </c>
      <c r="L397" t="inlineStr">
        <is>
          <t>EA</t>
        </is>
      </c>
      <c r="M397" t="inlineStr">
        <is>
          <t>М</t>
        </is>
      </c>
      <c r="N397" s="2">
        <f>HYPERLINK("https://yandex.ru/maps/?&amp;text=59.952074, 30.232891", "59.952074, 30.232891")</f>
        <v/>
      </c>
      <c r="O397" t="n">
        <v>11066</v>
      </c>
      <c r="P397" s="7" t="n">
        <v>16</v>
      </c>
      <c r="R397" t="n">
        <v>9662</v>
      </c>
      <c r="S397" s="8" t="n">
        <v>18.32</v>
      </c>
    </row>
    <row r="398">
      <c r="A398" s="4" t="n">
        <v>400</v>
      </c>
      <c r="B398" t="inlineStr">
        <is>
          <t>78</t>
        </is>
      </c>
      <c r="C398" s="1" t="n">
        <v>56.3</v>
      </c>
      <c r="D398" s="2">
        <f>HYPERLINK("https://torgi.gov.ru/new/public/lots/lot/21000002210000000043_1/(lotInfo:info)", "21000002210000000043_1")</f>
        <v/>
      </c>
      <c r="E398" t="inlineStr">
        <is>
          <t>Нежилое помещение, расположенное по адресу: Санкт-Петербург,, литера А, пом. 1-Н, назначение: нежилое, этаж №1</t>
        </is>
      </c>
      <c r="F398" s="3" t="n">
        <v>101243.3392539965</v>
      </c>
      <c r="G398" s="3" t="n">
        <v>5700000</v>
      </c>
      <c r="H398" t="inlineStr">
        <is>
          <t>г Санкт-Петербург, наб Канала Грибоедова, д 68 литера А, помещ 1-Н</t>
        </is>
      </c>
      <c r="I398" t="inlineStr">
        <is>
          <t>01 03 22 20:00</t>
        </is>
      </c>
      <c r="J398" t="inlineStr">
        <is>
          <t>78:32:0001149:3350</t>
        </is>
      </c>
      <c r="L398" t="inlineStr">
        <is>
          <t>EA</t>
        </is>
      </c>
      <c r="M398" t="inlineStr">
        <is>
          <t>М</t>
        </is>
      </c>
      <c r="N398" s="2">
        <f>HYPERLINK("https://yandex.ru/maps/?&amp;text=59.925619, 30.312455", "59.925619, 30.312455")</f>
        <v/>
      </c>
      <c r="O398" t="n">
        <v>10480</v>
      </c>
      <c r="P398" s="7" t="n">
        <v>9.66</v>
      </c>
      <c r="R398" t="n">
        <v>9090</v>
      </c>
      <c r="S398" s="8" t="n">
        <v>11.14</v>
      </c>
    </row>
    <row r="399">
      <c r="A399" s="4" t="n">
        <v>401</v>
      </c>
      <c r="B399" t="inlineStr">
        <is>
          <t>78</t>
        </is>
      </c>
      <c r="C399" s="1" t="n">
        <v>26.1</v>
      </c>
      <c r="D399" s="2">
        <f>HYPERLINK("https://torgi.gov.ru/new/public/lots/lot/21000002210000000041_1/(lotInfo:info)", "21000002210000000041_1")</f>
        <v/>
      </c>
      <c r="E399" t="inlineStr">
        <is>
          <t>Нежилое помещение, расположенное по адресу: Санкт-Петербург,, литера А, пом. 1-Н, назначение: нежилое помещение, наименование: нежилое помещение, этаж № 1</t>
        </is>
      </c>
      <c r="F399" s="3" t="n">
        <v>111034.4827586207</v>
      </c>
      <c r="G399" s="3" t="n">
        <v>2898000</v>
      </c>
      <c r="H399" t="inlineStr">
        <is>
          <t>г Санкт-Петербург, г Колпино, Заводской пр-кт, д 34 литера А, помещ 1-Н</t>
        </is>
      </c>
      <c r="I399" t="inlineStr">
        <is>
          <t>01 03 22 20:00</t>
        </is>
      </c>
      <c r="J399" t="inlineStr">
        <is>
          <t>78:37:1711202:1778</t>
        </is>
      </c>
      <c r="L399" t="inlineStr">
        <is>
          <t>EA</t>
        </is>
      </c>
      <c r="M399" t="inlineStr">
        <is>
          <t>М</t>
        </is>
      </c>
      <c r="N399" s="2">
        <f>HYPERLINK("https://yandex.ru/maps/?&amp;text=59.7308532, 30.5769343", "59.7308532, 30.5769343")</f>
        <v/>
      </c>
      <c r="O399" t="n">
        <v>3535</v>
      </c>
      <c r="P399" s="7" t="n">
        <v>31.41</v>
      </c>
      <c r="R399" t="n">
        <v>1330</v>
      </c>
      <c r="S399" s="8" t="n">
        <v>83.48</v>
      </c>
    </row>
    <row r="400">
      <c r="A400" s="4" t="n">
        <v>402</v>
      </c>
      <c r="B400" t="inlineStr">
        <is>
          <t>78</t>
        </is>
      </c>
      <c r="C400" s="1" t="n">
        <v>20.9</v>
      </c>
      <c r="D400" s="2">
        <f>HYPERLINK("https://torgi.gov.ru/new/public/lots/lot/21000002210000000037_1/(lotInfo:info)", "21000002210000000037_1")</f>
        <v/>
      </c>
      <c r="E400" t="inlineStr">
        <is>
          <t>Нежилое помещение, расположенное по адресу: Санкт-Петербург, 16-я линия В.О., д. 97, литера А, пом. 7-Н, назначение: нежилое помещение, наименование: нежилое помещение, этаж №1</t>
        </is>
      </c>
      <c r="F400" s="3" t="n">
        <v>211483.2535885168</v>
      </c>
      <c r="G400" s="3" t="n">
        <v>4420000</v>
      </c>
      <c r="H400" t="inlineStr">
        <is>
          <t>г Санкт-Петербург, линия 16-я В.О., д 97 литера А, помещ 7-Н</t>
        </is>
      </c>
      <c r="I400" t="inlineStr">
        <is>
          <t>01 03 22 20:00</t>
        </is>
      </c>
      <c r="J400" t="inlineStr">
        <is>
          <t>78:06:0002057:2692</t>
        </is>
      </c>
      <c r="L400" t="inlineStr">
        <is>
          <t>EA</t>
        </is>
      </c>
      <c r="M400" t="inlineStr">
        <is>
          <t>М</t>
        </is>
      </c>
      <c r="N400" s="2">
        <f>HYPERLINK("https://yandex.ru/maps/?&amp;text=59.9465586, 30.2585423", "59.9465586, 30.2585423")</f>
        <v/>
      </c>
      <c r="O400" t="n">
        <v>11347</v>
      </c>
      <c r="P400" s="7" t="n">
        <v>18.64</v>
      </c>
      <c r="R400" t="n">
        <v>11347</v>
      </c>
      <c r="S400" s="8" t="n">
        <v>18.64</v>
      </c>
    </row>
    <row r="401">
      <c r="A401" s="4" t="n">
        <v>403</v>
      </c>
      <c r="B401" t="inlineStr">
        <is>
          <t>78</t>
        </is>
      </c>
      <c r="C401" s="1" t="n">
        <v>17.2</v>
      </c>
      <c r="D401" s="2">
        <f>HYPERLINK("https://torgi.gov.ru/new/public/lots/lot/21000002210000000038_1/(lotInfo:info)", "21000002210000000038_1")</f>
        <v/>
      </c>
      <c r="E401" t="inlineStr">
        <is>
          <t>Нежилое помещение, расположенное по адресу: Санкт-Петербург,, литера А, пом. 2-Н, назначение: нежилое помещение, наименование: нежилое помещение, этаж №1</t>
        </is>
      </c>
      <c r="F401" s="3" t="n">
        <v>159883.7209302326</v>
      </c>
      <c r="G401" s="3" t="n">
        <v>2750000</v>
      </c>
      <c r="H401" t="inlineStr">
        <is>
          <t>г Санкт-Петербург, ул 4-я Красноармейская, д 14 литера А, помещ 2-Н</t>
        </is>
      </c>
      <c r="I401" t="inlineStr">
        <is>
          <t>01 03 22 20:00</t>
        </is>
      </c>
      <c r="J401" t="inlineStr">
        <is>
          <t>78:32:0001669:225</t>
        </is>
      </c>
      <c r="L401" t="inlineStr">
        <is>
          <t>EA</t>
        </is>
      </c>
      <c r="M401" t="inlineStr">
        <is>
          <t>М</t>
        </is>
      </c>
      <c r="N401" s="2">
        <f>HYPERLINK("https://yandex.ru/maps/?&amp;text=59.91365, 30.313191", "59.91365, 30.313191")</f>
        <v/>
      </c>
      <c r="O401" t="n">
        <v>8314</v>
      </c>
      <c r="P401" s="7" t="n">
        <v>19.23</v>
      </c>
      <c r="R401" t="n">
        <v>8134</v>
      </c>
      <c r="S401" s="8" t="n">
        <v>19.66</v>
      </c>
    </row>
    <row r="402">
      <c r="A402" s="4" t="n">
        <v>404</v>
      </c>
      <c r="B402" t="inlineStr">
        <is>
          <t>30</t>
        </is>
      </c>
      <c r="C402" s="1" t="n">
        <v>45.6</v>
      </c>
      <c r="D402" s="6">
        <f>HYPERLINK("https://torgi.gov.ru/new/public/lots/lot/21000021980000000001_5/(lotInfo:info)", "21000021980000000001_5")</f>
        <v/>
      </c>
      <c r="E402" t="inlineStr">
        <is>
          <t>нежилые помещения, расположенные по адресу:,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      </is>
      </c>
      <c r="F402" s="3" t="n">
        <v>38092.10526315789</v>
      </c>
      <c r="G402" s="3" t="n">
        <v>1737000</v>
      </c>
      <c r="H402" t="inlineStr">
        <is>
          <t xml:space="preserve"> г. Астрахань, Кировский район, ул. Маяковского, 40 пом.1</t>
        </is>
      </c>
      <c r="I402" t="inlineStr">
        <is>
          <t>27 02 22 13:00</t>
        </is>
      </c>
      <c r="J402" t="inlineStr">
        <is>
          <t xml:space="preserve">30:12:010156:291; </t>
        </is>
      </c>
      <c r="L402" t="inlineStr">
        <is>
          <t>PP</t>
        </is>
      </c>
      <c r="M402" t="inlineStr">
        <is>
          <t>М</t>
        </is>
      </c>
      <c r="N402" t="inlineStr">
        <is>
          <t>46.344777, 48.053499</t>
        </is>
      </c>
      <c r="O402" t="n">
        <v>4658</v>
      </c>
      <c r="P402" s="7" t="n">
        <v>8.18</v>
      </c>
      <c r="R402" t="n">
        <v>4350</v>
      </c>
      <c r="S402" s="8" t="n">
        <v>8.76</v>
      </c>
    </row>
    <row r="403">
      <c r="A403" s="4" t="n">
        <v>405</v>
      </c>
      <c r="B403" t="inlineStr">
        <is>
          <t>43</t>
        </is>
      </c>
      <c r="C403" s="1" t="n">
        <v>64.59999999999999</v>
      </c>
      <c r="D403" s="2">
        <f>HYPERLINK("https://torgi.gov.ru/new/public/lots/lot/22000006140000000014_1/(lotInfo:info)", "22000006140000000014_1")</f>
        <v/>
      </c>
      <c r="E403" t="inlineStr">
        <is>
          <t>нежилое помещение, назначение: торговое. . Этаж 1. Адрес объекта:. :33:407:001:005387080:0100:20004</t>
        </is>
      </c>
      <c r="F403" s="3" t="n">
        <v>9643.962848297215</v>
      </c>
      <c r="G403" s="3" t="n">
        <v>623000</v>
      </c>
      <c r="H403" t="inlineStr">
        <is>
          <t>Кировская обл, г Кирово-Чепецк, ул Ленина, д 6 к 5</t>
        </is>
      </c>
      <c r="I403" t="inlineStr">
        <is>
          <t>26 02 22 20:00</t>
        </is>
      </c>
      <c r="J403" t="inlineStr">
        <is>
          <t>43:42:000061:0023</t>
        </is>
      </c>
      <c r="L403" t="inlineStr">
        <is>
          <t>EA</t>
        </is>
      </c>
      <c r="M403" t="inlineStr">
        <is>
          <t>М</t>
        </is>
      </c>
      <c r="N403" s="2">
        <f>HYPERLINK("https://yandex.ru/maps/?&amp;text=58.5342016, 50.0221059", "58.5342016, 50.0221059")</f>
        <v/>
      </c>
      <c r="O403" t="n">
        <v>139</v>
      </c>
      <c r="P403" s="7" t="n">
        <v>69.38</v>
      </c>
      <c r="R403" t="n">
        <v>1050</v>
      </c>
      <c r="S403" s="8" t="n">
        <v>9.18</v>
      </c>
    </row>
    <row r="404">
      <c r="A404" s="4" t="n">
        <v>406</v>
      </c>
      <c r="B404" t="inlineStr">
        <is>
          <t>78</t>
        </is>
      </c>
      <c r="C404" s="1" t="n">
        <v>89.40000000000001</v>
      </c>
      <c r="D404" s="2">
        <f>HYPERLINK("https://torgi.gov.ru/new/public/lots/lot/21000002210000000033_1/(lotInfo:info)", "21000002210000000033_1")</f>
        <v/>
      </c>
      <c r="E404" t="inlineStr">
        <is>
          <t>Нежилое помещение, расположенное по адресу: Санкт-Петербург,, литера А, пом. 4-Н, назначение: нежилое помещение, наименование: нежилое помещение, этаж: цокольный</t>
        </is>
      </c>
      <c r="F404" s="3" t="n">
        <v>82550.33557046979</v>
      </c>
      <c r="G404" s="3" t="n">
        <v>7380000</v>
      </c>
      <c r="H404" t="inlineStr">
        <is>
          <t>г Санкт-Петербург, пр-кт Стачек, д 38 литера А, помещ 4-Н</t>
        </is>
      </c>
      <c r="I404" t="inlineStr">
        <is>
          <t>24 02 22 20:00</t>
        </is>
      </c>
      <c r="J404" t="inlineStr">
        <is>
          <t>78:15:0008052:1865</t>
        </is>
      </c>
      <c r="L404" t="inlineStr">
        <is>
          <t>EA</t>
        </is>
      </c>
      <c r="M404" t="inlineStr">
        <is>
          <t>М</t>
        </is>
      </c>
      <c r="N404" s="2">
        <f>HYPERLINK("https://yandex.ru/maps/?&amp;text=59.887747, 30.270261", "59.887747, 30.270261")</f>
        <v/>
      </c>
      <c r="O404" t="n">
        <v>2640</v>
      </c>
      <c r="P404" s="7" t="n">
        <v>31.27</v>
      </c>
      <c r="R404" t="n">
        <v>2808</v>
      </c>
      <c r="S404" s="8" t="n">
        <v>29.4</v>
      </c>
    </row>
    <row r="405">
      <c r="A405" s="4" t="n">
        <v>407</v>
      </c>
      <c r="B405" t="inlineStr">
        <is>
          <t>78</t>
        </is>
      </c>
      <c r="C405" s="1" t="n">
        <v>14.1</v>
      </c>
      <c r="D405" s="2">
        <f>HYPERLINK("https://torgi.gov.ru/new/public/lots/lot/21000002210000000029_1/(lotInfo:info)", "21000002210000000029_1")</f>
        <v/>
      </c>
      <c r="E405" t="inlineStr">
        <is>
          <t>Нежилое помещение, расположенное по адресу: Санкт-Петербург,, литера А, пом. 18-Н, назначение: нежилое помещение, наименование: нежилое помещение, этаж №1</t>
        </is>
      </c>
      <c r="F405" s="3" t="n">
        <v>256028.3687943262</v>
      </c>
      <c r="G405" s="3" t="n">
        <v>3610000</v>
      </c>
      <c r="H405" t="inlineStr">
        <is>
          <t>г Санкт-Петербург, ул Краснопутиловская, д 14/12 литера А, помещ 18-Н</t>
        </is>
      </c>
      <c r="I405" t="inlineStr">
        <is>
          <t>24 02 22 20:00</t>
        </is>
      </c>
      <c r="J405" t="inlineStr">
        <is>
          <t>78:15:0008205:2861</t>
        </is>
      </c>
      <c r="L405" t="inlineStr">
        <is>
          <t>EA</t>
        </is>
      </c>
      <c r="M405" t="inlineStr">
        <is>
          <t>М</t>
        </is>
      </c>
      <c r="N405" s="2">
        <f>HYPERLINK("https://yandex.ru/maps/?&amp;text=59.872493, 30.26594", "59.872493, 30.26594")</f>
        <v/>
      </c>
      <c r="O405" t="n">
        <v>2180</v>
      </c>
      <c r="P405" s="7" t="n">
        <v>117.44</v>
      </c>
      <c r="R405" t="n">
        <v>2386</v>
      </c>
      <c r="S405" s="8" t="n">
        <v>107.3</v>
      </c>
    </row>
    <row r="406">
      <c r="A406" s="4" t="n">
        <v>408</v>
      </c>
      <c r="B406" t="inlineStr">
        <is>
          <t>77</t>
        </is>
      </c>
      <c r="C406" s="1" t="n">
        <v>31.5</v>
      </c>
      <c r="D406" s="2">
        <f>HYPERLINK("https://torgi.gov.ru/new/public/lots/lot/21000005000000000135_1/(lotInfo:info)", "21000005000000000135_1")</f>
        <v/>
      </c>
      <c r="E406" t="inlineStr">
        <is>
          <t>Продажа имущества, находящегося в собственности города Москвы, нежилое помещение по адресу: (Этаж № 1)</t>
        </is>
      </c>
      <c r="F406" s="3" t="n">
        <v>242301.5873015873</v>
      </c>
      <c r="G406" s="3" t="n">
        <v>7632500</v>
      </c>
      <c r="H406" t="inlineStr">
        <is>
          <t>г Москва, ул 3-я Карачаровская, д 6 к 1, помещ 1/Н</t>
        </is>
      </c>
      <c r="I406" t="inlineStr">
        <is>
          <t>16 03 22 12:00</t>
        </is>
      </c>
      <c r="J406" t="inlineStr">
        <is>
          <t>77:04:0002001:7376</t>
        </is>
      </c>
      <c r="L406" t="inlineStr">
        <is>
          <t>EA</t>
        </is>
      </c>
      <c r="M406" t="inlineStr">
        <is>
          <t>М</t>
        </is>
      </c>
      <c r="N406" s="2">
        <f>HYPERLINK("https://yandex.ru/maps/?&amp;text=55.733788, 37.74567", "55.733788, 37.74567")</f>
        <v/>
      </c>
      <c r="O406" t="n">
        <v>4371</v>
      </c>
      <c r="P406" s="7" t="n">
        <v>55.43</v>
      </c>
      <c r="R406" t="n">
        <v>5515</v>
      </c>
      <c r="S406" s="8" t="n">
        <v>43.94</v>
      </c>
    </row>
    <row r="407">
      <c r="A407" s="4" t="n">
        <v>409</v>
      </c>
      <c r="B407" t="inlineStr">
        <is>
          <t>28</t>
        </is>
      </c>
      <c r="C407" s="1" t="n">
        <v>70.09999999999999</v>
      </c>
      <c r="D407" s="2">
        <f>HYPERLINK("https://torgi.gov.ru/new/public/lots/lot/21000003100000000008_1/(lotInfo:info)", "21000003100000000008_1")</f>
        <v/>
      </c>
      <c r="E407" t="inlineStr">
        <is>
      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      </is>
      </c>
      <c r="F407" s="3" t="n">
        <v>50827.38944365193</v>
      </c>
      <c r="G407" s="3" t="n">
        <v>3563000</v>
      </c>
      <c r="H407" t="inlineStr">
        <is>
          <t>Амурская обл, г Белогорск, ул Ленина, д 113</t>
        </is>
      </c>
      <c r="I407" t="inlineStr">
        <is>
          <t>01 03 22 08:00</t>
        </is>
      </c>
      <c r="J407" t="inlineStr">
        <is>
          <t xml:space="preserve">28:02:000124:630 </t>
        </is>
      </c>
      <c r="L407" t="inlineStr">
        <is>
          <t>EA</t>
        </is>
      </c>
      <c r="M407" t="inlineStr">
        <is>
          <t>М</t>
        </is>
      </c>
      <c r="N407" s="2">
        <f>HYPERLINK("https://yandex.ru/maps/?&amp;text=50.916283, 128.48146", "50.916283, 128.48146")</f>
        <v/>
      </c>
      <c r="O407" t="n">
        <v>2071</v>
      </c>
      <c r="P407" s="7" t="n">
        <v>24.54</v>
      </c>
      <c r="R407" t="n">
        <v>2071</v>
      </c>
      <c r="S407" s="8" t="n">
        <v>24.54</v>
      </c>
    </row>
    <row r="408">
      <c r="A408" s="4" t="n">
        <v>410</v>
      </c>
      <c r="B408" t="inlineStr">
        <is>
          <t>3</t>
        </is>
      </c>
      <c r="C408" s="1" t="n">
        <v>667</v>
      </c>
      <c r="D408" s="2">
        <f>HYPERLINK("https://torgi.gov.ru/new/public/lots/lot/21000003120000000003_1/(lotInfo:info)", "21000003120000000003_1")</f>
        <v/>
      </c>
      <c r="E408" t="inlineStr">
        <is>
          <t>Здание, назначение: нежилое здание, наименование: овощехранилище, количество этажей - 1, в том числе подземных этажей - 1и земельный участок . (местоположение:).</t>
        </is>
      </c>
      <c r="F408" s="3" t="n">
        <v>1970.014992503748</v>
      </c>
      <c r="G408" s="3" t="n">
        <v>1314000</v>
      </c>
      <c r="H408" t="inlineStr">
        <is>
          <t>г Улан-Удэ, мкр Медведчиково, д 17А</t>
        </is>
      </c>
      <c r="I408" t="inlineStr">
        <is>
          <t>24 02 22 02:00</t>
        </is>
      </c>
      <c r="J408" t="inlineStr">
        <is>
          <t xml:space="preserve">03:24:034301:497 </t>
        </is>
      </c>
      <c r="L408" t="inlineStr">
        <is>
          <t>PP</t>
        </is>
      </c>
      <c r="M408" t="inlineStr">
        <is>
          <t>М</t>
        </is>
      </c>
      <c r="N408">
        <f>HYPERLINK("https://yandex.ru/maps/?&amp;text=51.77594, 107.552926", "51.77594, 107.552926")</f>
        <v/>
      </c>
      <c r="O408" t="n">
        <v>1156</v>
      </c>
      <c r="P408" s="7" t="n">
        <v>1.7</v>
      </c>
      <c r="R408" t="n">
        <v>1782</v>
      </c>
      <c r="S408" s="8" t="n">
        <v>1.11</v>
      </c>
    </row>
    <row r="409">
      <c r="A409" s="4" t="n">
        <v>411</v>
      </c>
      <c r="B409" t="inlineStr">
        <is>
          <t>26</t>
        </is>
      </c>
      <c r="C409" s="1" t="n">
        <v>169.9</v>
      </c>
      <c r="D409" s="2">
        <f>HYPERLINK("https://torgi.gov.ru/new/public/lots/lot/21000004820000000001_5/(lotInfo:info)", "21000004820000000001_5")</f>
        <v/>
      </c>
      <c r="E409" t="inlineStr">
        <is>
          <t>Нежилое помещение, 1 этаж</t>
        </is>
      </c>
      <c r="F409" s="3" t="n">
        <v>7174.808711006474</v>
      </c>
      <c r="G409" s="3" t="n">
        <v>1219000</v>
      </c>
      <c r="H409" t="inlineStr">
        <is>
          <t>г. Пятигорск,  улица Ермолова,  дом № 253</t>
        </is>
      </c>
      <c r="I409" t="inlineStr">
        <is>
          <t>28 02 22 20:59</t>
        </is>
      </c>
      <c r="J409" t="inlineStr">
        <is>
          <t>26:33:020202:319</t>
        </is>
      </c>
      <c r="L409" t="inlineStr">
        <is>
          <t>EA</t>
        </is>
      </c>
      <c r="M409" t="inlineStr">
        <is>
          <t>М</t>
        </is>
      </c>
      <c r="N409" t="inlineStr">
        <is>
          <t>44.052625, 42.983928</t>
        </is>
      </c>
      <c r="O409" t="n">
        <v>5241</v>
      </c>
      <c r="P409" s="7" t="n">
        <v>1.37</v>
      </c>
      <c r="R409" t="n">
        <v>3767</v>
      </c>
      <c r="S409" s="8" t="n">
        <v>1.9</v>
      </c>
    </row>
    <row r="410">
      <c r="A410" s="4" t="n">
        <v>412</v>
      </c>
      <c r="B410" t="inlineStr">
        <is>
          <t>77</t>
        </is>
      </c>
      <c r="C410" s="1" t="n">
        <v>99.09999999999999</v>
      </c>
      <c r="D410" s="2">
        <f>HYPERLINK("https://torgi.gov.ru/new/public/lots/lot/21000005000000000130_1/(lotInfo:info)", "21000005000000000130_1")</f>
        <v/>
      </c>
      <c r="E410" t="inlineStr">
        <is>
          <t>Продажа имущества, находящегося в хозяйственном ведении ГУП "ЦУГИ", расположенного по адресу:., Дом 21, площадь 99,1 м.кв.</t>
        </is>
      </c>
      <c r="F410" s="3" t="n">
        <v>70534.81331987891</v>
      </c>
      <c r="G410" s="3" t="n">
        <v>6990000</v>
      </c>
      <c r="H410" t="inlineStr">
        <is>
          <t>г Москва, ул Большая Набережная</t>
        </is>
      </c>
      <c r="I410" t="inlineStr">
        <is>
          <t>28 02 22 12:00</t>
        </is>
      </c>
      <c r="J410" t="inlineStr">
        <is>
          <t>77:08:0000000:3065</t>
        </is>
      </c>
      <c r="L410" t="inlineStr">
        <is>
          <t>EA</t>
        </is>
      </c>
      <c r="M410" t="inlineStr">
        <is>
          <t>М</t>
        </is>
      </c>
      <c r="N410" s="2">
        <f>HYPERLINK("https://yandex.ru/maps/?&amp;text=55.830533, 37.458885", "55.830533, 37.458885")</f>
        <v/>
      </c>
      <c r="O410" t="n">
        <v>3070</v>
      </c>
      <c r="P410" s="7" t="n">
        <v>22.98</v>
      </c>
      <c r="R410" t="n">
        <v>4075</v>
      </c>
      <c r="S410" s="8" t="n">
        <v>17.31</v>
      </c>
    </row>
    <row r="411">
      <c r="A411" s="4" t="n">
        <v>413</v>
      </c>
      <c r="B411" t="inlineStr">
        <is>
          <t>22</t>
        </is>
      </c>
      <c r="C411" s="1" t="n">
        <v>262.1</v>
      </c>
      <c r="D411" s="2">
        <f>HYPERLINK("https://torgi.gov.ru/new/public/lots/lot/21000015510000000003_8/(lotInfo:info)", "21000015510000000003_8")</f>
        <v/>
      </c>
      <c r="E411" t="inlineStr">
        <is>
          <t>98/1000 долей (25,6 кв.м) на 1-м этаже нежилого здания центрального теплового пункта №518  по ул.Юрина, 265а</t>
        </is>
      </c>
      <c r="F411" s="3" t="n">
        <v>8008.393742846241</v>
      </c>
      <c r="G411" s="3" t="n">
        <v>2099000</v>
      </c>
      <c r="H411" t="inlineStr">
        <is>
          <t>г Барнаул, ул Юрина, д 265а</t>
        </is>
      </c>
      <c r="I411" t="inlineStr">
        <is>
          <t>28 02 22 14:00</t>
        </is>
      </c>
      <c r="J411" t="inlineStr">
        <is>
          <t xml:space="preserve">22:63:010609:5047, 22:63:010609:73 </t>
        </is>
      </c>
      <c r="L411" t="inlineStr">
        <is>
          <t>EA</t>
        </is>
      </c>
      <c r="M411" t="inlineStr">
        <is>
          <t>М</t>
        </is>
      </c>
      <c r="N411">
        <f>HYPERLINK("https://yandex.ru/maps/?&amp;text=53.370193, 83.6869", "53.370193, 83.6869")</f>
        <v/>
      </c>
      <c r="O411" t="n">
        <v>4180</v>
      </c>
      <c r="P411" s="7" t="n">
        <v>1.92</v>
      </c>
      <c r="R411" t="n">
        <v>4140</v>
      </c>
      <c r="S411" s="8" t="n">
        <v>1.93</v>
      </c>
    </row>
    <row r="412">
      <c r="A412" s="4" t="n">
        <v>414</v>
      </c>
      <c r="B412" t="inlineStr">
        <is>
          <t>78</t>
        </is>
      </c>
      <c r="C412" s="1" t="n">
        <v>37.9</v>
      </c>
      <c r="D412" s="2">
        <f>HYPERLINK("https://torgi.gov.ru/new/public/lots/lot/21000002210000000024_1/(lotInfo:info)", "21000002210000000024_1")</f>
        <v/>
      </c>
      <c r="E412" t="inlineStr">
        <is>
          <t>Нежилое помещение, расположенное по адресу: Санкт-Петербург,, литера А, пом. 4-Н., этаж: цокольный, назначение: нежилое, наименование: нежилое помещение</t>
        </is>
      </c>
      <c r="F412" s="3" t="n">
        <v>141424.802110818</v>
      </c>
      <c r="G412" s="3" t="n">
        <v>5360000</v>
      </c>
      <c r="H412" t="inlineStr">
        <is>
          <t>г Санкт-Петербург, Поварской пер, д 14 литера А, помещ 4-Н</t>
        </is>
      </c>
      <c r="I412" t="inlineStr">
        <is>
          <t>22 02 22 20:00</t>
        </is>
      </c>
      <c r="J412" t="inlineStr">
        <is>
          <t>78:31:0001221:2345</t>
        </is>
      </c>
      <c r="L412" t="inlineStr">
        <is>
          <t>EA</t>
        </is>
      </c>
      <c r="M412" t="inlineStr">
        <is>
          <t>М</t>
        </is>
      </c>
      <c r="N412" s="2">
        <f>HYPERLINK("https://yandex.ru/maps/?&amp;text=59.928983, 30.351998", "59.928983, 30.351998")</f>
        <v/>
      </c>
      <c r="O412" t="n">
        <v>18744</v>
      </c>
      <c r="P412" s="7" t="n">
        <v>7.55</v>
      </c>
      <c r="R412" t="n">
        <v>18744</v>
      </c>
      <c r="S412" s="8" t="n">
        <v>7.55</v>
      </c>
    </row>
    <row r="413">
      <c r="A413" s="4" t="n">
        <v>415</v>
      </c>
      <c r="B413" t="inlineStr">
        <is>
          <t>78</t>
        </is>
      </c>
      <c r="C413" s="1" t="n">
        <v>75.09999999999999</v>
      </c>
      <c r="D413" s="2">
        <f>HYPERLINK("https://torgi.gov.ru/new/public/lots/lot/21000002210000000023_1/(lotInfo:info)", "21000002210000000023_1")</f>
        <v/>
      </c>
      <c r="E413" t="inlineStr">
        <is>
          <t>Нежилое помещение, расположенное по адресу: Санкт-Петербург,, литера А, пом. 4-Н., этаж №1, назначение: нежилое помещение, наименование: контора</t>
        </is>
      </c>
      <c r="F413" s="3" t="n">
        <v>69241.01198402132</v>
      </c>
      <c r="G413" s="3" t="n">
        <v>5200000</v>
      </c>
      <c r="H413" t="inlineStr">
        <is>
          <t>г Санкт-Петербург, наб Реки Пряжки, д 48 литера А, помещ 4-Н</t>
        </is>
      </c>
      <c r="I413" t="inlineStr">
        <is>
          <t>22 02 22 20:00</t>
        </is>
      </c>
      <c r="J413" t="inlineStr">
        <is>
          <t>78:32:0001164:1183</t>
        </is>
      </c>
      <c r="L413" t="inlineStr">
        <is>
          <t>EA</t>
        </is>
      </c>
      <c r="M413" t="inlineStr">
        <is>
          <t>М</t>
        </is>
      </c>
      <c r="N413" s="2">
        <f>HYPERLINK("https://yandex.ru/maps/?&amp;text=59.921209, 30.278525", "59.921209, 30.278525")</f>
        <v/>
      </c>
      <c r="O413" t="n">
        <v>15227</v>
      </c>
      <c r="P413" s="7" t="n">
        <v>4.55</v>
      </c>
      <c r="R413" t="n">
        <v>15227</v>
      </c>
      <c r="S413" s="8" t="n">
        <v>4.55</v>
      </c>
    </row>
    <row r="414">
      <c r="A414" s="4" t="n">
        <v>416</v>
      </c>
      <c r="B414" t="inlineStr">
        <is>
          <t>78</t>
        </is>
      </c>
      <c r="C414" s="1" t="n">
        <v>14.9</v>
      </c>
      <c r="D414" s="2">
        <f>HYPERLINK("https://torgi.gov.ru/new/public/lots/lot/21000002210000000022_1/(lotInfo:info)", "21000002210000000022_1")</f>
        <v/>
      </c>
      <c r="E414" t="inlineStr">
        <is>
          <t>Нежилое помещение, расположенное по адресу: Санкт-Петербург,, литера А, пом. 2-Н, назначение: нежилое, этаж №1</t>
        </is>
      </c>
      <c r="F414" s="3" t="n">
        <v>169127.5167785235</v>
      </c>
      <c r="G414" s="3" t="n">
        <v>2520000</v>
      </c>
      <c r="H414" t="inlineStr">
        <is>
          <t>г Санкт-Петербург, пер Макаренко, д 3 литера А, помещ 2-Н</t>
        </is>
      </c>
      <c r="I414" t="inlineStr">
        <is>
          <t>22 02 22 20:00</t>
        </is>
      </c>
      <c r="J414" t="inlineStr">
        <is>
          <t>78:32:0001068:1514</t>
        </is>
      </c>
      <c r="L414" t="inlineStr">
        <is>
          <t>EA</t>
        </is>
      </c>
      <c r="M414" t="inlineStr">
        <is>
          <t>М</t>
        </is>
      </c>
      <c r="N414" s="2">
        <f>HYPERLINK("https://yandex.ru/maps/?&amp;text=59.919491, 30.297363", "59.919491, 30.297363")</f>
        <v/>
      </c>
      <c r="O414" t="n">
        <v>5515</v>
      </c>
      <c r="P414" s="7" t="n">
        <v>30.67</v>
      </c>
      <c r="R414" t="n">
        <v>8108</v>
      </c>
      <c r="S414" s="8" t="n">
        <v>20.86</v>
      </c>
    </row>
    <row r="415">
      <c r="A415" s="4" t="n">
        <v>417</v>
      </c>
      <c r="B415" t="inlineStr">
        <is>
          <t>77</t>
        </is>
      </c>
      <c r="C415" s="1" t="n">
        <v>27.5</v>
      </c>
      <c r="D415" s="2">
        <f>HYPERLINK("https://torgi.gov.ru/new/public/lots/lot/21000005000000000128_1/(lotInfo:info)", "21000005000000000128_1")</f>
        <v/>
      </c>
      <c r="E415" t="inlineStr">
        <is>
          <t>Продажа имущества, находящегося в собственности города Москвы, нежилое помещение по адресу:, этаж № 1, кадастровый 77:07:0008004:11797</t>
        </is>
      </c>
      <c r="F415" s="3" t="n">
        <v>168149.0909090909</v>
      </c>
      <c r="G415" s="3" t="n">
        <v>4624100</v>
      </c>
      <c r="H415" t="inlineStr">
        <is>
          <t>г Москва, ул Беловежская, д 39 к 3, помещ 245</t>
        </is>
      </c>
      <c r="I415" t="inlineStr">
        <is>
          <t>15 03 22 12:00</t>
        </is>
      </c>
      <c r="J415" t="inlineStr">
        <is>
          <t>77:07:0008004:11797</t>
        </is>
      </c>
      <c r="L415" t="inlineStr">
        <is>
          <t>EA</t>
        </is>
      </c>
      <c r="M415" t="inlineStr">
        <is>
          <t>М</t>
        </is>
      </c>
      <c r="N415" s="2">
        <f>HYPERLINK("https://yandex.ru/maps/?&amp;text=55.711072, 37.39453", "55.711072, 37.39453")</f>
        <v/>
      </c>
      <c r="O415" t="n">
        <v>9064</v>
      </c>
      <c r="P415" s="7" t="n">
        <v>18.55</v>
      </c>
      <c r="R415" t="n">
        <v>8521</v>
      </c>
      <c r="S415" s="8" t="n">
        <v>19.73</v>
      </c>
    </row>
    <row r="416">
      <c r="A416" s="4" t="n">
        <v>418</v>
      </c>
      <c r="B416" t="inlineStr">
        <is>
          <t>43</t>
        </is>
      </c>
      <c r="C416" s="1" t="n">
        <v>70</v>
      </c>
      <c r="D416" s="2">
        <f>HYPERLINK("https://torgi.gov.ru/new/public/lots/lot/21000013520000000001_2/(lotInfo:info)", "21000013520000000001_2")</f>
        <v/>
      </c>
      <c r="E416" t="inlineStr">
        <is>
          <t>Помещение, назначение: нежилое помещение, этажность (этаж): 1, расположенное по адресу:, помещ. 2</t>
        </is>
      </c>
      <c r="F416" s="3" t="n">
        <v>12195</v>
      </c>
      <c r="G416" s="3" t="n">
        <v>853650</v>
      </c>
      <c r="H416" t="inlineStr">
        <is>
          <t>г Киров, ул Спасская, зд 12г1</t>
        </is>
      </c>
      <c r="I416" t="inlineStr">
        <is>
          <t>24 02 22 15:00</t>
        </is>
      </c>
      <c r="J416" t="inlineStr">
        <is>
          <t>43:40:000306:239</t>
        </is>
      </c>
      <c r="L416" t="inlineStr">
        <is>
          <t>EA</t>
        </is>
      </c>
      <c r="M416" t="inlineStr">
        <is>
          <t>М</t>
        </is>
      </c>
      <c r="N416" s="2">
        <f>HYPERLINK("https://yandex.ru/maps/?&amp;text=58.601987, 49.674248", "58.601987, 49.674248")</f>
        <v/>
      </c>
      <c r="O416" t="n">
        <v>4603</v>
      </c>
      <c r="P416" s="7" t="n">
        <v>2.65</v>
      </c>
      <c r="R416" t="n">
        <v>4603</v>
      </c>
      <c r="S416" s="8" t="n">
        <v>2.65</v>
      </c>
    </row>
    <row r="417">
      <c r="A417" s="4" t="n">
        <v>419</v>
      </c>
      <c r="B417" t="inlineStr">
        <is>
          <t>43</t>
        </is>
      </c>
      <c r="C417" s="1" t="n">
        <v>69.90000000000001</v>
      </c>
      <c r="D417" s="2">
        <f>HYPERLINK("https://torgi.gov.ru/new/public/lots/lot/21000013520000000001_3/(lotInfo:info)", "21000013520000000001_3")</f>
        <v/>
      </c>
      <c r="E417" t="inlineStr">
        <is>
          <t>Помещение, назначение: нежилое помещение, этажность (этаж): 1, расположенное по адресу:, помещ. 3</t>
        </is>
      </c>
      <c r="F417" s="3" t="n">
        <v>12197.42489270386</v>
      </c>
      <c r="G417" s="3" t="n">
        <v>852600</v>
      </c>
      <c r="H417" t="inlineStr">
        <is>
          <t>г Киров, ул Спасская, зд 12г1</t>
        </is>
      </c>
      <c r="I417" t="inlineStr">
        <is>
          <t>24 02 22 15:00</t>
        </is>
      </c>
      <c r="J417" t="inlineStr">
        <is>
          <t>43:40:000306:238</t>
        </is>
      </c>
      <c r="L417" t="inlineStr">
        <is>
          <t>EA</t>
        </is>
      </c>
      <c r="M417" t="inlineStr">
        <is>
          <t>М</t>
        </is>
      </c>
      <c r="N417" s="2">
        <f>HYPERLINK("https://yandex.ru/maps/?&amp;text=58.601987, 49.674248", "58.601987, 49.674248")</f>
        <v/>
      </c>
      <c r="O417" t="n">
        <v>4603</v>
      </c>
      <c r="P417" s="7" t="n">
        <v>2.65</v>
      </c>
      <c r="R417" t="n">
        <v>4603</v>
      </c>
      <c r="S417" s="8" t="n">
        <v>2.65</v>
      </c>
    </row>
    <row r="418">
      <c r="A418" s="4" t="n">
        <v>420</v>
      </c>
      <c r="B418" t="inlineStr">
        <is>
          <t>43</t>
        </is>
      </c>
      <c r="C418" s="1" t="n">
        <v>52.5</v>
      </c>
      <c r="D418" s="2">
        <f>HYPERLINK("https://torgi.gov.ru/new/public/lots/lot/21000013520000000001_1/(lotInfo:info)", "21000013520000000001_1")</f>
        <v/>
      </c>
      <c r="E418" t="inlineStr">
        <is>
          <t>Помещение, назначение: нежилое помещение, этажность (этаж): 1, расположенное по адресу:, помещ. 1</t>
        </is>
      </c>
      <c r="F418" s="3" t="n">
        <v>12200</v>
      </c>
      <c r="G418" s="3" t="n">
        <v>640500</v>
      </c>
      <c r="H418" t="inlineStr">
        <is>
          <t>г Киров, ул Спасская, зд 12г1</t>
        </is>
      </c>
      <c r="I418" t="inlineStr">
        <is>
          <t>24 02 22 15:00</t>
        </is>
      </c>
      <c r="J418" t="inlineStr">
        <is>
          <t>43:40:000306:237</t>
        </is>
      </c>
      <c r="L418" t="inlineStr">
        <is>
          <t>EA</t>
        </is>
      </c>
      <c r="M418" t="inlineStr">
        <is>
          <t>М</t>
        </is>
      </c>
      <c r="N418" s="2">
        <f>HYPERLINK("https://yandex.ru/maps/?&amp;text=58.601987, 49.674248", "58.601987, 49.674248")</f>
        <v/>
      </c>
      <c r="O418" t="n">
        <v>4603</v>
      </c>
      <c r="P418" s="7" t="n">
        <v>2.65</v>
      </c>
      <c r="R418" t="n">
        <v>4603</v>
      </c>
      <c r="S418" s="8" t="n">
        <v>2.65</v>
      </c>
    </row>
    <row r="419">
      <c r="A419" s="4" t="n">
        <v>421</v>
      </c>
      <c r="B419" t="inlineStr">
        <is>
          <t>74</t>
        </is>
      </c>
      <c r="C419" s="1" t="n">
        <v>632.4</v>
      </c>
      <c r="D419" s="2">
        <f>HYPERLINK("https://torgi.gov.ru/new/public/lots/lot/21000017550000000005_1/(lotInfo:info)", "21000017550000000005_1")</f>
        <v/>
      </c>
      <c r="E419" t="inlineStr">
        <is>
          <t>Наименование:Нежилое помещение, расположенное по адресу:,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      </is>
      </c>
      <c r="F419" s="3" t="n">
        <v>4269.449715370019</v>
      </c>
      <c r="G419" s="3" t="n">
        <v>2700000</v>
      </c>
      <c r="H419" t="inlineStr">
        <is>
          <t>Челябинская обл, г Снежинск, ул Транспортная, д 15</t>
        </is>
      </c>
      <c r="I419" t="inlineStr">
        <is>
          <t>21 02 22 11:00</t>
        </is>
      </c>
      <c r="J419" t="inlineStr">
        <is>
          <t>74:40:0000000:3164</t>
        </is>
      </c>
      <c r="L419" t="inlineStr">
        <is>
          <t>BOC</t>
        </is>
      </c>
      <c r="M419" t="inlineStr">
        <is>
          <t>М</t>
        </is>
      </c>
      <c r="N419" s="2">
        <f>HYPERLINK("https://yandex.ru/maps/?&amp;text=56.08004, 60.739857", "56.08004, 60.739857")</f>
        <v/>
      </c>
      <c r="O419" t="n">
        <v>3325</v>
      </c>
      <c r="P419" s="7" t="n">
        <v>1.28</v>
      </c>
      <c r="R419" t="n">
        <v>2282</v>
      </c>
      <c r="S419" s="8" t="n">
        <v>1.87</v>
      </c>
    </row>
    <row r="420">
      <c r="A420" s="4" t="n">
        <v>422</v>
      </c>
      <c r="B420" t="inlineStr">
        <is>
          <t>77</t>
        </is>
      </c>
      <c r="C420" s="1" t="n">
        <v>23.4</v>
      </c>
      <c r="D420" s="2">
        <f>HYPERLINK("https://torgi.gov.ru/new/public/lots/lot/21000005000000000124_1/(lotInfo:info)", "21000005000000000124_1")</f>
        <v/>
      </c>
      <c r="E420" t="inlineStr">
        <is>
          <t>Продажа имущества, находящегося в собственности города Москвы, нежилое помещение по адресу: (Этаж № 1)</t>
        </is>
      </c>
      <c r="F420" s="3" t="n">
        <v>352096.1538461539</v>
      </c>
      <c r="G420" s="3" t="n">
        <v>8239050</v>
      </c>
      <c r="H420" t="inlineStr">
        <is>
          <t>г Москва, ул Донецкая, д 27, помещ 1/1</t>
        </is>
      </c>
      <c r="I420" t="inlineStr">
        <is>
          <t>15 03 22 12:00</t>
        </is>
      </c>
      <c r="J420" t="inlineStr">
        <is>
          <t>77:04:0004019:30562</t>
        </is>
      </c>
      <c r="L420" t="inlineStr">
        <is>
          <t>EA</t>
        </is>
      </c>
      <c r="M420" t="inlineStr">
        <is>
          <t>М</t>
        </is>
      </c>
      <c r="N420" s="2">
        <f>HYPERLINK("https://yandex.ru/maps/?&amp;text=55.645431, 37.71133", "55.645431, 37.71133")</f>
        <v/>
      </c>
      <c r="O420" t="n">
        <v>17240</v>
      </c>
      <c r="P420" s="7" t="n">
        <v>20.42</v>
      </c>
      <c r="R420" t="n">
        <v>15180</v>
      </c>
      <c r="S420" s="8" t="n">
        <v>23.19</v>
      </c>
    </row>
    <row r="421">
      <c r="A421" s="4" t="n">
        <v>423</v>
      </c>
      <c r="B421" t="inlineStr">
        <is>
          <t>77</t>
        </is>
      </c>
      <c r="C421" s="1" t="n">
        <v>44.7</v>
      </c>
      <c r="D421" s="2">
        <f>HYPERLINK("https://torgi.gov.ru/new/public/lots/lot/21000005000000000105_1/(lotInfo:info)", "21000005000000000105_1")</f>
        <v/>
      </c>
      <c r="E421" t="inlineStr">
        <is>
          <t>Продажа имущества, находящегося в собственности города Москвы, нежилое помещение по адресу: (Этаж № 1), кадастровый паспорт: 77:04:0001011:3678</t>
        </is>
      </c>
      <c r="F421" s="3" t="n">
        <v>216980.9843400447</v>
      </c>
      <c r="G421" s="3" t="n">
        <v>9699050</v>
      </c>
      <c r="H421" t="inlineStr">
        <is>
          <t>г Москва, ул Волочаевская, д 19, помещ 3/1</t>
        </is>
      </c>
      <c r="I421" t="inlineStr">
        <is>
          <t>14 03 22 12:00</t>
        </is>
      </c>
      <c r="J421" t="inlineStr">
        <is>
          <t>77:04:0001011:3678</t>
        </is>
      </c>
      <c r="L421" t="inlineStr">
        <is>
          <t>EA</t>
        </is>
      </c>
      <c r="M421" t="inlineStr">
        <is>
          <t>М</t>
        </is>
      </c>
      <c r="N421" s="2">
        <f>HYPERLINK("https://yandex.ru/maps/?&amp;text=55.75007, 37.677177", "55.75007, 37.677177")</f>
        <v/>
      </c>
      <c r="O421" t="n">
        <v>9160</v>
      </c>
      <c r="P421" s="7" t="n">
        <v>23.69</v>
      </c>
      <c r="R421" t="n">
        <v>8178</v>
      </c>
      <c r="S421" s="8" t="n">
        <v>26.53</v>
      </c>
    </row>
    <row r="422">
      <c r="A422" s="4" t="n">
        <v>424</v>
      </c>
      <c r="B422" t="inlineStr">
        <is>
          <t>21</t>
        </is>
      </c>
      <c r="C422" s="1" t="n">
        <v>46.5</v>
      </c>
      <c r="D422" s="2">
        <f>HYPERLINK("https://torgi.gov.ru/new/public/lots/lot/22000003210000000001_1/(lotInfo:info)", "22000003210000000001_1")</f>
        <v/>
      </c>
      <c r="E422" t="inlineStr">
        <is>
          <t>Муниципальное имущество города Алатыря Чувашской Республики, нежилое помещение общей площадью 46,5 кв. метра, расположенное по адресу:,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      </is>
      </c>
      <c r="F422" s="3" t="n">
        <v>21505.37634408602</v>
      </c>
      <c r="G422" s="3" t="n">
        <v>1000000</v>
      </c>
      <c r="H422" t="inlineStr">
        <is>
          <t>Чувашская республика - Чувашия, г Алатырь, ул Первомайская, д 78</t>
        </is>
      </c>
      <c r="I422" t="inlineStr">
        <is>
          <t>22 02 22 14:00</t>
        </is>
      </c>
      <c r="J422" t="inlineStr">
        <is>
          <t xml:space="preserve">21:03:010406:659, </t>
        </is>
      </c>
      <c r="L422" t="inlineStr">
        <is>
          <t>EA</t>
        </is>
      </c>
      <c r="M422" t="inlineStr">
        <is>
          <t>М</t>
        </is>
      </c>
      <c r="N422" s="2">
        <f>HYPERLINK("https://yandex.ru/maps/?&amp;text=54.841947, 46.585903", "54.841947, 46.585903")</f>
        <v/>
      </c>
      <c r="O422" t="n">
        <v>2340</v>
      </c>
      <c r="P422" s="7" t="n">
        <v>9.19</v>
      </c>
      <c r="R422" t="n">
        <v>2420</v>
      </c>
      <c r="S422" s="8" t="n">
        <v>8.890000000000001</v>
      </c>
    </row>
    <row r="423">
      <c r="A423" s="4" t="n">
        <v>425</v>
      </c>
      <c r="B423" t="inlineStr">
        <is>
          <t>32</t>
        </is>
      </c>
      <c r="C423" s="1" t="n">
        <v>224</v>
      </c>
      <c r="D423" s="2">
        <f>HYPERLINK("https://torgi.gov.ru/new/public/lots/lot/21000013350000000010_1/(lotInfo:info)", "21000013350000000010_1")</f>
        <v/>
      </c>
      <c r="E423" t="inlineStr">
        <is>
          <t>нежилое помещение , расположенное по адресу:с земельным участком , расположенным по адресу: Брянская область, Красногорский район, пгт Красная Гора, ул. Тамбовская, д.2категория земель: земли населенных пунктов, разрешенное использование: под жилую застройку - индивидуальную</t>
        </is>
      </c>
      <c r="F423" s="3" t="n">
        <v>3995.535714285714</v>
      </c>
      <c r="G423" s="3" t="n">
        <v>895000</v>
      </c>
      <c r="H423" t="inlineStr">
        <is>
          <t>Брянская обл, пгт Красная Гора, ул Тамбовская, д 2</t>
        </is>
      </c>
      <c r="I423" t="inlineStr">
        <is>
          <t>28 02 22 13:00</t>
        </is>
      </c>
      <c r="J423" t="inlineStr">
        <is>
          <t xml:space="preserve">32:15:0260303:12, </t>
        </is>
      </c>
      <c r="L423" t="inlineStr">
        <is>
          <t>EA</t>
        </is>
      </c>
      <c r="M423" t="inlineStr">
        <is>
          <t>М</t>
        </is>
      </c>
      <c r="N423" s="2">
        <f>HYPERLINK("https://yandex.ru/maps/?&amp;text=53.012044, 31.58048", "53.012044, 31.58048")</f>
        <v/>
      </c>
      <c r="O423" t="n">
        <v>446</v>
      </c>
      <c r="P423" s="7" t="n">
        <v>8.960000000000001</v>
      </c>
      <c r="R423" t="n">
        <v>348</v>
      </c>
      <c r="S423" s="8" t="n">
        <v>11.48</v>
      </c>
    </row>
    <row r="424">
      <c r="A424" s="4" t="n">
        <v>426</v>
      </c>
      <c r="B424" t="inlineStr">
        <is>
          <t>78</t>
        </is>
      </c>
      <c r="C424" s="1" t="n">
        <v>20.8</v>
      </c>
      <c r="D424" s="2">
        <f>HYPERLINK("https://torgi.gov.ru/new/public/lots/lot/21000002210000000016_1/(lotInfo:info)", "21000002210000000016_1")</f>
        <v/>
      </c>
      <c r="E424" t="inlineStr">
        <is>
          <t>Нежилое помещение, расположенное по адресу: Санкт-Петербург,, литера А, пом. 4-Н., назначение: нежилое помещение, этаж: цокольный</t>
        </is>
      </c>
      <c r="F424" s="3" t="n">
        <v>96153.84615384616</v>
      </c>
      <c r="G424" s="3" t="n">
        <v>2000000</v>
      </c>
      <c r="H424" t="inlineStr">
        <is>
          <t>г Санкт-Петербург, Климов пер, д 3 литера А, помещ 4-Н</t>
        </is>
      </c>
      <c r="I424" t="inlineStr">
        <is>
          <t>21 02 22 20:00</t>
        </is>
      </c>
      <c r="J424" t="inlineStr">
        <is>
          <t>78:32:0001070:3166</t>
        </is>
      </c>
      <c r="L424" t="inlineStr">
        <is>
          <t>EA</t>
        </is>
      </c>
      <c r="M424" t="inlineStr">
        <is>
          <t>М</t>
        </is>
      </c>
      <c r="N424" s="2">
        <f>HYPERLINK("https://yandex.ru/maps/?&amp;text=59.917917, 30.294282", "59.917917, 30.294282")</f>
        <v/>
      </c>
      <c r="O424" t="n">
        <v>5515</v>
      </c>
      <c r="P424" s="7" t="n">
        <v>17.43</v>
      </c>
      <c r="R424" t="n">
        <v>8108</v>
      </c>
      <c r="S424" s="8" t="n">
        <v>11.86</v>
      </c>
    </row>
    <row r="425">
      <c r="A425" s="4" t="n">
        <v>427</v>
      </c>
      <c r="B425" t="inlineStr">
        <is>
          <t>72</t>
        </is>
      </c>
      <c r="C425" s="1" t="n">
        <v>38.7</v>
      </c>
      <c r="D425" s="2">
        <f>HYPERLINK("https://torgi.gov.ru/new/public/lots/lot/21000034510000000011_1/(lotInfo:info)", "21000034510000000011_1")</f>
        <v/>
      </c>
      <c r="E425" t="inlineStr">
        <is>
          <t>Нежилое помещение, этаж №1., РНФИ П13720002560расположенное по адресу:</t>
        </is>
      </c>
      <c r="F425" s="3" t="n">
        <v>24293.04909560723</v>
      </c>
      <c r="G425" s="3" t="n">
        <v>940141</v>
      </c>
      <c r="H425" t="inlineStr">
        <is>
          <t xml:space="preserve"> Тюменская область, Нижнетавдинский район, село Нижняя Тавда, улица Октябрьская, дом 4.</t>
        </is>
      </c>
      <c r="I425" t="inlineStr">
        <is>
          <t>19 02 22 19:00</t>
        </is>
      </c>
      <c r="J425" t="inlineStr">
        <is>
          <t xml:space="preserve">72:12:0000000:3511, </t>
        </is>
      </c>
      <c r="L425" t="inlineStr">
        <is>
          <t>EA</t>
        </is>
      </c>
      <c r="M425" t="inlineStr">
        <is>
          <t>М</t>
        </is>
      </c>
      <c r="N425" t="inlineStr">
        <is>
          <t>57.674449, 66.179660</t>
        </is>
      </c>
      <c r="O425" t="n">
        <v>816</v>
      </c>
      <c r="P425" s="7" t="n">
        <v>29.77</v>
      </c>
      <c r="R425" t="n">
        <v>693</v>
      </c>
      <c r="S425" s="8" t="n">
        <v>35.05</v>
      </c>
    </row>
    <row r="426">
      <c r="A426" s="4" t="n">
        <v>428</v>
      </c>
      <c r="B426" t="inlineStr">
        <is>
          <t>78</t>
        </is>
      </c>
      <c r="C426" s="1" t="n">
        <v>30.8</v>
      </c>
      <c r="D426" s="2">
        <f>HYPERLINK("https://torgi.gov.ru/new/public/lots/lot/21000002210000000015_1/(lotInfo:info)", "21000002210000000015_1")</f>
        <v/>
      </c>
      <c r="E426" t="inlineStr">
        <is>
          <t>Нежилое помещение, расположенное по адресу: Санкт-Петербург,, литера А, пом. 3-Н., назначение: нежилое, этаж: цокольный</t>
        </is>
      </c>
      <c r="F426" s="3" t="n">
        <v>85714.28571428571</v>
      </c>
      <c r="G426" s="3" t="n">
        <v>2640000</v>
      </c>
      <c r="H426" t="inlineStr">
        <is>
          <t>г Санкт-Петербург, Климов пер, д 3 литера А, помещ 3-Н</t>
        </is>
      </c>
      <c r="I426" t="inlineStr">
        <is>
          <t>21 02 22 20:00</t>
        </is>
      </c>
      <c r="J426" t="inlineStr">
        <is>
          <t>78:32:0001070:3164</t>
        </is>
      </c>
      <c r="L426" t="inlineStr">
        <is>
          <t>EA</t>
        </is>
      </c>
      <c r="M426" t="inlineStr">
        <is>
          <t>М</t>
        </is>
      </c>
      <c r="N426" s="2">
        <f>HYPERLINK("https://yandex.ru/maps/?&amp;text=59.917917, 30.294282", "59.917917, 30.294282")</f>
        <v/>
      </c>
      <c r="O426" t="n">
        <v>5515</v>
      </c>
      <c r="P426" s="7" t="n">
        <v>15.54</v>
      </c>
      <c r="R426" t="n">
        <v>8108</v>
      </c>
      <c r="S426" s="8" t="n">
        <v>10.57</v>
      </c>
    </row>
    <row r="427">
      <c r="A427" s="4" t="n">
        <v>429</v>
      </c>
      <c r="B427" t="inlineStr">
        <is>
          <t>2</t>
        </is>
      </c>
      <c r="C427" s="1" t="n">
        <v>31.3</v>
      </c>
      <c r="D427" s="2">
        <f>HYPERLINK("https://torgi.gov.ru/new/public/lots/lot/21000028230000000001_1/(lotInfo:info)", "21000028230000000001_1")</f>
        <v/>
      </c>
      <c r="E427" t="inlineStr">
        <is>
          <t>Аукцион в электронной форме по продаже муниципального имущества: нежилое помещение, первого этажа пятиэтажного жилого дома, расположенное по адресу:.</t>
        </is>
      </c>
      <c r="F427" s="3" t="n">
        <v>30287.53993610224</v>
      </c>
      <c r="G427" s="3" t="n">
        <v>948000</v>
      </c>
      <c r="H427" t="inlineStr">
        <is>
          <t>Респ Башкортостан, г Белебей, ул Красная, д 95</t>
        </is>
      </c>
      <c r="I427" t="inlineStr">
        <is>
          <t>20 02 22 15:30</t>
        </is>
      </c>
      <c r="J427" t="inlineStr">
        <is>
          <t>02:63:011514:1014</t>
        </is>
      </c>
      <c r="L427" t="inlineStr">
        <is>
          <t>EA</t>
        </is>
      </c>
      <c r="M427" t="inlineStr">
        <is>
          <t>М</t>
        </is>
      </c>
      <c r="N427" s="2">
        <f>HYPERLINK("https://yandex.ru/maps/?&amp;text=54.101536, 54.10925", "54.101536, 54.10925")</f>
        <v/>
      </c>
      <c r="O427" t="n">
        <v>1960</v>
      </c>
      <c r="P427" s="7" t="n">
        <v>15.45</v>
      </c>
      <c r="R427" t="n">
        <v>2260</v>
      </c>
      <c r="S427" s="8" t="n">
        <v>13.4</v>
      </c>
    </row>
    <row r="428">
      <c r="A428" s="4" t="n">
        <v>430</v>
      </c>
      <c r="B428" t="inlineStr">
        <is>
          <t>29</t>
        </is>
      </c>
      <c r="C428" s="1" t="n">
        <v>330.4</v>
      </c>
      <c r="D428" s="2">
        <f>HYPERLINK("https://torgi.gov.ru/new/public/lots/lot/21000014870000000001_1/(lotInfo:info)", "21000014870000000001_1")</f>
        <v/>
      </c>
      <c r="E428" t="inlineStr">
        <is>
          <t>Нежилое помещение, расположенное по адресу:», г.Вельск, ул.50 лет Октября, д.8, помещение 1-Н..Нежилое помещение, расположено на 1, 2 этажах нежилого здания 1970 года постройки. Объект не используется, находится в удовлетворительном состоянии.</t>
        </is>
      </c>
      <c r="F428" s="3" t="n">
        <v>9806.295399515739</v>
      </c>
      <c r="G428" s="3" t="n">
        <v>3240000</v>
      </c>
      <c r="H428" t="inlineStr">
        <is>
          <t>Архангельская обл, г Вельск, ул 50 лет Октября, д 8, помещ 1-н</t>
        </is>
      </c>
      <c r="I428" t="inlineStr">
        <is>
          <t>27 02 22 14:00</t>
        </is>
      </c>
      <c r="J428" t="inlineStr">
        <is>
          <t>29:01:190139:646</t>
        </is>
      </c>
      <c r="L428" t="inlineStr">
        <is>
          <t>EA</t>
        </is>
      </c>
      <c r="M428" t="inlineStr">
        <is>
          <t>М</t>
        </is>
      </c>
      <c r="N428">
        <f>HYPERLINK("https://yandex.ru/maps/?&amp;text=61.067657, 42.103806", "61.067657, 42.103806")</f>
        <v/>
      </c>
      <c r="O428" t="n">
        <v>281</v>
      </c>
      <c r="P428" s="7" t="n">
        <v>34.9</v>
      </c>
      <c r="R428" t="n">
        <v>281</v>
      </c>
      <c r="S428" s="8" t="n">
        <v>34.9</v>
      </c>
    </row>
    <row r="429">
      <c r="A429" s="4" t="n">
        <v>431</v>
      </c>
      <c r="B429" t="inlineStr">
        <is>
          <t>77</t>
        </is>
      </c>
      <c r="C429" s="1" t="n">
        <v>66.40000000000001</v>
      </c>
      <c r="D429" s="2">
        <f>HYPERLINK("https://torgi.gov.ru/new/public/lots/lot/21000005000000000067_1/(lotInfo:info)", "21000005000000000067_1")</f>
        <v/>
      </c>
      <c r="E429" t="inlineStr">
        <is>
          <t>Продажа имущества, находящегося в собственности города Москвы, нежилое помещение по адресу:, этаж № 2, этаж № 1</t>
        </is>
      </c>
      <c r="F429" s="3" t="n">
        <v>139753.0120481928</v>
      </c>
      <c r="G429" s="3" t="n">
        <v>9279600</v>
      </c>
      <c r="H429" t="inlineStr">
        <is>
          <t>г Москва, ул Образцова, д 5А, помещ 2/1</t>
        </is>
      </c>
      <c r="I429" t="inlineStr">
        <is>
          <t>24 02 22 12:00</t>
        </is>
      </c>
      <c r="J429" t="inlineStr">
        <is>
          <t>77:02:0024029:4288</t>
        </is>
      </c>
      <c r="L429" t="inlineStr">
        <is>
          <t>EA</t>
        </is>
      </c>
      <c r="M429" t="inlineStr">
        <is>
          <t>М</t>
        </is>
      </c>
      <c r="N429" s="2">
        <f>HYPERLINK("https://yandex.ru/maps/?&amp;text=55.78604, 37.606873", "55.78604, 37.606873")</f>
        <v/>
      </c>
      <c r="O429" t="n">
        <v>10532</v>
      </c>
      <c r="P429" s="7" t="n">
        <v>13.27</v>
      </c>
      <c r="R429" t="n">
        <v>10532</v>
      </c>
      <c r="S429" s="8" t="n">
        <v>13.27</v>
      </c>
    </row>
    <row r="430">
      <c r="A430" s="4" t="n">
        <v>432</v>
      </c>
      <c r="B430" t="inlineStr">
        <is>
          <t>77</t>
        </is>
      </c>
      <c r="C430" s="1" t="n">
        <v>26.9</v>
      </c>
      <c r="D430" s="2">
        <f>HYPERLINK("https://torgi.gov.ru/new/public/lots/lot/21000005000000000087_1/(lotInfo:info)", "21000005000000000087_1")</f>
        <v/>
      </c>
      <c r="E430" t="inlineStr">
        <is>
          <t>Продажа имущества, находящегося в собственности города Москвы, нежилое помещение по адресу: (Этаж № 1)</t>
        </is>
      </c>
      <c r="F430" s="3" t="n">
        <v>153090.1486988848</v>
      </c>
      <c r="G430" s="3" t="n">
        <v>4118125</v>
      </c>
      <c r="H430" t="inlineStr">
        <is>
          <t>г Москва, ул Совхозная, д 18 к 4, помещ 1/1</t>
        </is>
      </c>
      <c r="I430" t="inlineStr">
        <is>
          <t>14 03 22 12:00</t>
        </is>
      </c>
      <c r="J430" t="inlineStr">
        <is>
          <t xml:space="preserve">77:04:0004016:8581, </t>
        </is>
      </c>
      <c r="L430" t="inlineStr">
        <is>
          <t>PP</t>
        </is>
      </c>
      <c r="M430" t="inlineStr">
        <is>
          <t>М</t>
        </is>
      </c>
      <c r="N430" s="2">
        <f>HYPERLINK("https://yandex.ru/maps/?&amp;text=55.68027, 37.766727", "55.68027, 37.766727")</f>
        <v/>
      </c>
      <c r="O430" t="n">
        <v>7987</v>
      </c>
      <c r="P430" s="7" t="n">
        <v>19.17</v>
      </c>
      <c r="R430" t="n">
        <v>8671</v>
      </c>
      <c r="S430" s="8" t="n">
        <v>17.66</v>
      </c>
    </row>
    <row r="431">
      <c r="A431" s="4" t="n">
        <v>433</v>
      </c>
      <c r="B431" t="inlineStr">
        <is>
          <t>40</t>
        </is>
      </c>
      <c r="C431" s="1" t="n">
        <v>41.5</v>
      </c>
      <c r="D431" s="2">
        <f>HYPERLINK("https://torgi.gov.ru/new/public/lots/lot/22000014810000000003_1/(lotInfo:info)", "22000014810000000003_1")</f>
        <v/>
      </c>
      <c r="E431" t="inlineStr">
        <is>
          <t>Нежилое помещение, назначение: нежилое помещение, этаж № 1адрес (местоположение):</t>
        </is>
      </c>
      <c r="F431" s="3" t="n">
        <v>34940.96385542169</v>
      </c>
      <c r="G431" s="3" t="n">
        <v>1450050</v>
      </c>
      <c r="H431" t="inlineStr">
        <is>
          <t>г Калуга, ул Зеленая, д 52, кв 1</t>
        </is>
      </c>
      <c r="I431" t="inlineStr">
        <is>
          <t>17 02 22 20:59</t>
        </is>
      </c>
      <c r="J431" t="inlineStr">
        <is>
          <t xml:space="preserve">40:26:000142:439, </t>
        </is>
      </c>
      <c r="L431" t="inlineStr">
        <is>
          <t>EA</t>
        </is>
      </c>
      <c r="M431" t="inlineStr">
        <is>
          <t>М</t>
        </is>
      </c>
      <c r="N431" s="2">
        <f>HYPERLINK("https://yandex.ru/maps/?&amp;text=54.552807, 36.29545", "54.552807, 36.29545")</f>
        <v/>
      </c>
      <c r="O431" t="n">
        <v>2720</v>
      </c>
      <c r="P431" s="7" t="n">
        <v>12.85</v>
      </c>
      <c r="R431" t="n">
        <v>2720</v>
      </c>
      <c r="S431" s="8" t="n">
        <v>12.85</v>
      </c>
    </row>
    <row r="432">
      <c r="A432" s="4" t="n">
        <v>434</v>
      </c>
      <c r="B432" t="inlineStr">
        <is>
          <t>51</t>
        </is>
      </c>
      <c r="C432" s="1" t="n">
        <v>78.59999999999999</v>
      </c>
      <c r="D432" s="2">
        <f>HYPERLINK("https://torgi.gov.ru/new/public/lots/lot/21000007760000000001_1/(lotInfo:info)", "21000007760000000001_1")</f>
        <v/>
      </c>
      <c r="E432" t="inlineStr">
        <is>
          <t>Нежилое помещение, 1 этажномера на поэтажном плане: А/1/I(45,54,56,57)</t>
        </is>
      </c>
      <c r="F432" s="3" t="n">
        <v>35480.91603053435</v>
      </c>
      <c r="G432" s="3" t="n">
        <v>2788800</v>
      </c>
      <c r="H432" t="inlineStr">
        <is>
          <t>г Мурманск, ул Зои Космодемьянской, д 1</t>
        </is>
      </c>
      <c r="I432" t="inlineStr">
        <is>
          <t>16 02 22 20:00</t>
        </is>
      </c>
      <c r="J432" t="inlineStr">
        <is>
          <t xml:space="preserve">51:20:0001008:5272, </t>
        </is>
      </c>
      <c r="L432" t="inlineStr">
        <is>
          <t>EA</t>
        </is>
      </c>
      <c r="M432" t="inlineStr">
        <is>
          <t>М</t>
        </is>
      </c>
      <c r="N432" s="2">
        <f>HYPERLINK("https://yandex.ru/maps/?&amp;text=68.93968, 33.11737", "68.93968, 33.11737")</f>
        <v/>
      </c>
      <c r="O432" t="n">
        <v>1814</v>
      </c>
      <c r="P432" s="7" t="n">
        <v>19.56</v>
      </c>
      <c r="R432" t="n">
        <v>1814</v>
      </c>
      <c r="S432" s="8" t="n">
        <v>19.56</v>
      </c>
    </row>
    <row r="433">
      <c r="A433" s="4" t="n">
        <v>435</v>
      </c>
      <c r="B433" t="inlineStr">
        <is>
          <t>24</t>
        </is>
      </c>
      <c r="C433" s="1" t="n">
        <v>178.9</v>
      </c>
      <c r="D433" s="2">
        <f>HYPERLINK("https://torgi.gov.ru/new/public/lots/lot/21000014890000000002_1/(lotInfo:info)", "21000014890000000002_1")</f>
        <v/>
      </c>
      <c r="E433" t="inlineStr">
        <is>
          <t>нежилое помещение расположено по адресу:. Нежилое помещение находится на первом этаже трехэтажного кирпичного жилого дома 1960 года постройки. Отдельный вход имеется.</t>
        </is>
      </c>
      <c r="F433" s="3" t="n">
        <v>18256.00894354388</v>
      </c>
      <c r="G433" s="3" t="n">
        <v>3266000</v>
      </c>
      <c r="H433" t="inlineStr">
        <is>
          <t>г Красноярск, ул Энергетиков, д 65, помещ 21</t>
        </is>
      </c>
      <c r="I433" t="inlineStr">
        <is>
          <t>15 02 22 10:00</t>
        </is>
      </c>
      <c r="J433" t="inlineStr">
        <is>
          <t xml:space="preserve">24:50:0500297:640 </t>
        </is>
      </c>
      <c r="L433" t="inlineStr">
        <is>
          <t>EA</t>
        </is>
      </c>
      <c r="M433" t="inlineStr">
        <is>
          <t>М</t>
        </is>
      </c>
      <c r="N433" s="2">
        <f>HYPERLINK("https://yandex.ru/maps/?&amp;text=55.999943, 93.01335", "55.999943, 93.01335")</f>
        <v/>
      </c>
      <c r="O433" t="n">
        <v>4559</v>
      </c>
      <c r="P433" s="7" t="n">
        <v>4</v>
      </c>
      <c r="R433" t="n">
        <v>4559</v>
      </c>
      <c r="S433" s="8" t="n">
        <v>4</v>
      </c>
    </row>
    <row r="434">
      <c r="A434" s="4" t="n">
        <v>436</v>
      </c>
      <c r="B434" t="inlineStr">
        <is>
          <t>69</t>
        </is>
      </c>
      <c r="C434" s="1" t="n">
        <v>84.8</v>
      </c>
      <c r="D434" s="2">
        <f>HYPERLINK("https://torgi.gov.ru/new/public/lots/lot/21000035450000000001_1/(lotInfo:info)", "21000035450000000001_1")</f>
        <v/>
      </c>
      <c r="E434" t="inlineStr">
        <is>
          <t>этаж 1.</t>
        </is>
      </c>
      <c r="F434" s="3" t="n">
        <v>30306.60377358491</v>
      </c>
      <c r="G434" s="3" t="n">
        <v>2570000</v>
      </c>
      <c r="H434" t="inlineStr">
        <is>
          <t>Тверская обл, г Кимры, ул Орджоникидзе, д 34</t>
        </is>
      </c>
      <c r="I434" t="inlineStr">
        <is>
          <t>26 02 22 14:00</t>
        </is>
      </c>
      <c r="J434" t="inlineStr">
        <is>
          <t>69:42:0070806:690</t>
        </is>
      </c>
      <c r="L434" t="inlineStr">
        <is>
          <t>EA</t>
        </is>
      </c>
      <c r="M434" t="inlineStr">
        <is>
          <t>М</t>
        </is>
      </c>
      <c r="N434" s="2">
        <f>HYPERLINK("https://yandex.ru/maps/?&amp;text=56.862625, 37.35082", "56.862625, 37.35082")</f>
        <v/>
      </c>
      <c r="O434" t="n">
        <v>387</v>
      </c>
      <c r="P434" s="7" t="n">
        <v>78.31</v>
      </c>
      <c r="R434" t="n">
        <v>195</v>
      </c>
      <c r="S434" s="8" t="n">
        <v>155.42</v>
      </c>
    </row>
    <row r="435">
      <c r="A435" s="4" t="n">
        <v>437</v>
      </c>
      <c r="B435" t="inlineStr">
        <is>
          <t>44</t>
        </is>
      </c>
      <c r="C435" s="1" t="n">
        <v>30</v>
      </c>
      <c r="D435" s="2">
        <f>HYPERLINK("https://torgi.gov.ru/new/public/lots/lot/21000012860000000001_12/(lotInfo:info)", "21000012860000000001_12")</f>
        <v/>
      </c>
      <c r="E435" t="inlineStr">
        <is>
          <t>помещение назначение: нежилое помещение на первом этаже</t>
        </is>
      </c>
      <c r="F435" s="3" t="n">
        <v>21400</v>
      </c>
      <c r="G435" s="3" t="n">
        <v>642000</v>
      </c>
      <c r="H435" t="inlineStr">
        <is>
          <t>г Кострома, ул Шагова, д 101, помещ 2</t>
        </is>
      </c>
      <c r="I435" t="inlineStr">
        <is>
          <t>21 02 22 14:00</t>
        </is>
      </c>
      <c r="J435" t="inlineStr">
        <is>
          <t xml:space="preserve">44:27:040511:657, </t>
        </is>
      </c>
      <c r="L435" t="inlineStr">
        <is>
          <t>EA</t>
        </is>
      </c>
      <c r="M435" t="inlineStr">
        <is>
          <t>М</t>
        </is>
      </c>
      <c r="N435">
        <f>HYPERLINK("https://yandex.ru/maps/?&amp;text=57.772243, 40.952882", "57.772243, 40.952882")</f>
        <v/>
      </c>
      <c r="O435" t="n">
        <v>3696</v>
      </c>
      <c r="P435" s="7" t="n">
        <v>5.79</v>
      </c>
      <c r="R435" t="n">
        <v>3696</v>
      </c>
      <c r="S435" s="8" t="n">
        <v>5.79</v>
      </c>
    </row>
    <row r="436">
      <c r="A436" s="4" t="n">
        <v>438</v>
      </c>
      <c r="B436" t="inlineStr">
        <is>
          <t>26</t>
        </is>
      </c>
      <c r="C436" s="1" t="n">
        <v>311.9</v>
      </c>
      <c r="D436" s="2">
        <f>HYPERLINK("https://torgi.gov.ru/new/public/lots/lot/21000003150000000001_4/(lotInfo:info)", "21000003150000000001_4")</f>
        <v/>
      </c>
      <c r="E436" t="inlineStr">
        <is>
          <t>нежилое помещение, этаж 2площадью 311,9 кв. метра,</t>
        </is>
      </c>
      <c r="F436" s="3" t="n">
        <v>10675.73000961847</v>
      </c>
      <c r="G436" s="3" t="n">
        <v>3329760.19</v>
      </c>
      <c r="H436" t="inlineStr">
        <is>
          <t>Ставропольский край, г Невинномысск, ул Гагарина, д 7б, помещ 28</t>
        </is>
      </c>
      <c r="I436" t="inlineStr">
        <is>
          <t>21 02 22 15:00</t>
        </is>
      </c>
      <c r="J436" t="inlineStr">
        <is>
          <t xml:space="preserve">26:16:040603:913, </t>
        </is>
      </c>
      <c r="L436" t="inlineStr">
        <is>
          <t>PP</t>
        </is>
      </c>
      <c r="M436" t="inlineStr">
        <is>
          <t>М</t>
        </is>
      </c>
      <c r="N436">
        <f>HYPERLINK("https://yandex.ru/maps/?&amp;text=44.64261, 41.941593", "44.64261, 41.941593")</f>
        <v/>
      </c>
      <c r="O436" t="n">
        <v>2781</v>
      </c>
      <c r="P436" s="7" t="n">
        <v>3.84</v>
      </c>
      <c r="R436" t="n">
        <v>2781</v>
      </c>
      <c r="S436" s="8" t="n">
        <v>3.84</v>
      </c>
    </row>
    <row r="437">
      <c r="A437" s="4" t="n">
        <v>439</v>
      </c>
      <c r="B437" t="inlineStr">
        <is>
          <t>77</t>
        </is>
      </c>
      <c r="C437" s="1" t="n">
        <v>33.7</v>
      </c>
      <c r="D437" s="2">
        <f>HYPERLINK("https://torgi.gov.ru/new/public/lots/lot/21000005000000000048_1/(lotInfo:info)", "21000005000000000048_1")</f>
        <v/>
      </c>
      <c r="E437" t="inlineStr">
        <is>
          <t>Продажа имущества, находящегося в собственности города Москвы, нежилое помещение по адресу:., Этаж № 1.</t>
        </is>
      </c>
      <c r="F437" s="3" t="n">
        <v>204728.4866468843</v>
      </c>
      <c r="G437" s="3" t="n">
        <v>6899350</v>
      </c>
      <c r="H437" t="inlineStr">
        <is>
          <t>г Москва, ул Корнейчука, д 33, помещ 1Н</t>
        </is>
      </c>
      <c r="I437" t="inlineStr">
        <is>
          <t>21 02 22 12:00</t>
        </is>
      </c>
      <c r="J437" t="inlineStr">
        <is>
          <t>77:02:0002007:2481</t>
        </is>
      </c>
      <c r="L437" t="inlineStr">
        <is>
          <t>EA</t>
        </is>
      </c>
      <c r="M437" t="inlineStr">
        <is>
          <t>М</t>
        </is>
      </c>
      <c r="N437" s="2">
        <f>HYPERLINK("https://yandex.ru/maps/?&amp;text=55.896458, 37.635557", "55.896458, 37.635557")</f>
        <v/>
      </c>
      <c r="O437" t="n">
        <v>6292</v>
      </c>
      <c r="P437" s="7" t="n">
        <v>32.54</v>
      </c>
      <c r="R437" t="n">
        <v>10440</v>
      </c>
      <c r="S437" s="8" t="n">
        <v>19.61</v>
      </c>
    </row>
    <row r="438">
      <c r="A438" s="4" t="n">
        <v>440</v>
      </c>
      <c r="B438" t="inlineStr">
        <is>
          <t>42</t>
        </is>
      </c>
      <c r="C438" s="1" t="n">
        <v>26</v>
      </c>
      <c r="D438" s="2">
        <f>HYPERLINK("https://torgi.gov.ru/new/public/lots/lot/21000000010000000002_2/(lotInfo:info)", "21000000010000000002_2")</f>
        <v/>
      </c>
      <c r="E438" t="inlineStr">
        <is>
          <t>нежилое помещение  по адресу:</t>
        </is>
      </c>
      <c r="F438" s="3" t="n">
        <v>21753.84615384615</v>
      </c>
      <c r="G438" s="3" t="n">
        <v>565600</v>
      </c>
      <c r="H438" t="inlineStr">
        <is>
          <t>Кемеровская область - Кузбасс, г Прокопьевск, ул Коксовая, д 38, помещ 3</t>
        </is>
      </c>
      <c r="I438" t="inlineStr">
        <is>
          <t>14 02 22 08:00</t>
        </is>
      </c>
      <c r="J438" t="inlineStr">
        <is>
          <t>42:32:0101017:4137</t>
        </is>
      </c>
      <c r="L438" t="inlineStr">
        <is>
          <t>EA</t>
        </is>
      </c>
      <c r="M438" t="inlineStr">
        <is>
          <t>М</t>
        </is>
      </c>
      <c r="N438" s="2">
        <f>HYPERLINK("https://yandex.ru/maps/?&amp;text=53.908273, 86.789662", "53.908273, 86.789662")</f>
        <v/>
      </c>
      <c r="O438" t="n">
        <v>1955</v>
      </c>
      <c r="P438" s="7" t="n">
        <v>11.13</v>
      </c>
      <c r="R438" t="n">
        <v>2226</v>
      </c>
      <c r="S438" s="8" t="n">
        <v>9.77</v>
      </c>
    </row>
    <row r="439">
      <c r="A439" s="4" t="n">
        <v>441</v>
      </c>
      <c r="B439" t="inlineStr">
        <is>
          <t>42</t>
        </is>
      </c>
      <c r="C439" s="1" t="n">
        <v>483.3</v>
      </c>
      <c r="D439" s="2">
        <f>HYPERLINK("https://torgi.gov.ru/new/public/lots/lot/21000000010000000002_1/(lotInfo:info)", "21000000010000000002_1")</f>
        <v/>
      </c>
      <c r="E439" t="inlineStr">
        <is>
          <t>Нежилое помещение  по адресу:</t>
        </is>
      </c>
      <c r="F439" s="3" t="n">
        <v>6575.625905234843</v>
      </c>
      <c r="G439" s="3" t="n">
        <v>3178000</v>
      </c>
      <c r="H439" t="inlineStr">
        <is>
          <t>Кемеровская область - Кузбасс, г Прокопьевск, ул Российская, д 40, помещ 1</t>
        </is>
      </c>
      <c r="I439" t="inlineStr">
        <is>
          <t>14 02 22 08:00</t>
        </is>
      </c>
      <c r="J439" t="inlineStr">
        <is>
          <t>42:32:0102004:2651</t>
        </is>
      </c>
      <c r="L439" t="inlineStr">
        <is>
          <t>EA</t>
        </is>
      </c>
      <c r="M439" t="inlineStr">
        <is>
          <t>М</t>
        </is>
      </c>
      <c r="N439" s="2">
        <f>HYPERLINK("https://yandex.ru/maps/?&amp;text=53.86843, 86.75309", "53.86843, 86.75309")</f>
        <v/>
      </c>
      <c r="O439" t="n">
        <v>1703</v>
      </c>
      <c r="P439" s="7" t="n">
        <v>3.86</v>
      </c>
      <c r="R439" t="n">
        <v>1927</v>
      </c>
      <c r="S439" s="8" t="n">
        <v>3.41</v>
      </c>
    </row>
    <row r="440">
      <c r="A440" s="4" t="n">
        <v>442</v>
      </c>
      <c r="B440" t="inlineStr">
        <is>
          <t>42</t>
        </is>
      </c>
      <c r="C440" s="1" t="n">
        <v>39.1</v>
      </c>
      <c r="D440" s="2">
        <f>HYPERLINK("https://torgi.gov.ru/new/public/lots/lot/21000000010000000002_4/(lotInfo:info)", "21000000010000000002_4")</f>
        <v/>
      </c>
      <c r="E440" t="inlineStr">
        <is>
          <t>нежилое помещение , по адресу:</t>
        </is>
      </c>
      <c r="F440" s="3" t="n">
        <v>24797.95396419437</v>
      </c>
      <c r="G440" s="3" t="n">
        <v>969600</v>
      </c>
      <c r="H440" t="inlineStr">
        <is>
          <t>Кемеровская область - Кузбасс, г Прокопьевск, ул Институтская, д 3, помещ 1п</t>
        </is>
      </c>
      <c r="I440" t="inlineStr">
        <is>
          <t>14 02 22 08:00</t>
        </is>
      </c>
      <c r="J440" t="inlineStr">
        <is>
          <t>42:32:0103013:33243</t>
        </is>
      </c>
      <c r="L440" t="inlineStr">
        <is>
          <t>EA</t>
        </is>
      </c>
      <c r="M440" t="inlineStr">
        <is>
          <t>М</t>
        </is>
      </c>
      <c r="N440" s="2">
        <f>HYPERLINK("https://yandex.ru/maps/?&amp;text=53.865637, 86.645231", "53.865637, 86.645231")</f>
        <v/>
      </c>
      <c r="O440" t="n">
        <v>2692</v>
      </c>
      <c r="P440" s="7" t="n">
        <v>9.210000000000001</v>
      </c>
      <c r="R440" t="n">
        <v>2692</v>
      </c>
      <c r="S440" s="8" t="n">
        <v>9.210000000000001</v>
      </c>
    </row>
    <row r="441">
      <c r="A441" s="4" t="n">
        <v>443</v>
      </c>
      <c r="B441" t="inlineStr">
        <is>
          <t>52</t>
        </is>
      </c>
      <c r="C441" s="1" t="n">
        <v>22.8</v>
      </c>
      <c r="D441" s="2">
        <f>HYPERLINK("https://torgi.gov.ru/new/public/lots/lot/21000011320000000001_3/(lotInfo:info)", "21000011320000000001_3")</f>
        <v/>
      </c>
      <c r="E441" t="inlineStr">
        <is>
          <t>Нежилое помещение расположено на первом этаже двухэтажного жилого дома. Объект находится в разрушенном состоянии.</t>
        </is>
      </c>
      <c r="F441" s="3" t="n">
        <v>30710.08771929824</v>
      </c>
      <c r="G441" s="3" t="n">
        <v>700190</v>
      </c>
      <c r="H441" t="inlineStr">
        <is>
          <t>г Нижний Новгород, пер Вахитова, д 7, помещ П2А</t>
        </is>
      </c>
      <c r="I441" t="inlineStr">
        <is>
          <t>09 02 22 12:00</t>
        </is>
      </c>
      <c r="J441" t="inlineStr">
        <is>
          <t>52:18:0060027:626</t>
        </is>
      </c>
      <c r="L441" t="inlineStr">
        <is>
          <t>EA</t>
        </is>
      </c>
      <c r="M441" t="inlineStr">
        <is>
          <t>М</t>
        </is>
      </c>
      <c r="N441" s="2">
        <f>HYPERLINK("https://yandex.ru/maps/?&amp;text=56.328998, 43.992368", "56.328998, 43.992368")</f>
        <v/>
      </c>
      <c r="O441" t="n">
        <v>1444</v>
      </c>
      <c r="P441" s="7" t="n">
        <v>21.27</v>
      </c>
      <c r="R441" t="n">
        <v>3751</v>
      </c>
      <c r="S441" s="8" t="n">
        <v>8.19</v>
      </c>
    </row>
  </sheetData>
  <autoFilter ref="A1:B97"/>
  <conditionalFormatting sqref="L1:L996">
    <cfRule type="containsText" priority="1" operator="containsText" dxfId="0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2022-08-09T06:18:30Z</dcterms:created>
  <dcterms:modified xmlns:dcterms="http://purl.org/dc/terms/" xmlns:xsi="http://www.w3.org/2001/XMLSchema-instance" xsi:type="dcterms:W3CDTF">2022-08-09T14:41:01Z</dcterms:modified>
  <cp:lastModifiedBy>user</cp:lastModifiedBy>
</cp:coreProperties>
</file>