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hzi14_psu_edu/Documents/RProjects/duplex_sequencing_screen/data/region1234_spikein_growthrates_flowcytometry/"/>
    </mc:Choice>
  </mc:AlternateContent>
  <xr:revisionPtr revIDLastSave="18" documentId="13_ncr:1_{0C1B8EA6-DF80-CB46-8656-5FA6CD86127F}" xr6:coauthVersionLast="47" xr6:coauthVersionMax="47" xr10:uidLastSave="{4508C3D1-4CC6-3045-962E-C3D20083C5CD}"/>
  <bookViews>
    <workbookView xWindow="4440" yWindow="680" windowWidth="25480" windowHeight="18660" xr2:uid="{5AE1B47A-F880-2041-82BC-8041E252CC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G19" i="1"/>
  <c r="H18" i="1"/>
  <c r="G18" i="1"/>
  <c r="H17" i="1"/>
  <c r="G17" i="1"/>
  <c r="H16" i="1"/>
  <c r="G16" i="1"/>
  <c r="H13" i="1"/>
  <c r="G13" i="1"/>
  <c r="H12" i="1"/>
  <c r="G12" i="1"/>
  <c r="H11" i="1"/>
  <c r="G11" i="1"/>
  <c r="H10" i="1"/>
  <c r="G10" i="1"/>
  <c r="H7" i="1"/>
  <c r="G7" i="1"/>
  <c r="H6" i="1"/>
  <c r="G6" i="1"/>
  <c r="H5" i="1"/>
  <c r="G5" i="1"/>
  <c r="H4" i="1"/>
  <c r="G4" i="1"/>
  <c r="F37" i="1"/>
  <c r="F73" i="1"/>
  <c r="F72" i="1"/>
  <c r="F67" i="1"/>
  <c r="F66" i="1"/>
  <c r="F61" i="1"/>
  <c r="F60" i="1"/>
  <c r="F71" i="1"/>
  <c r="F70" i="1"/>
  <c r="F65" i="1"/>
  <c r="F64" i="1"/>
  <c r="F59" i="1"/>
  <c r="F58" i="1"/>
  <c r="F69" i="1"/>
  <c r="F68" i="1"/>
  <c r="F63" i="1"/>
  <c r="F62" i="1"/>
  <c r="F57" i="1"/>
  <c r="F56" i="1"/>
  <c r="G60" i="1" s="1"/>
  <c r="F55" i="1"/>
  <c r="F54" i="1"/>
  <c r="F49" i="1"/>
  <c r="F48" i="1"/>
  <c r="F43" i="1"/>
  <c r="F42" i="1"/>
  <c r="F53" i="1"/>
  <c r="F52" i="1"/>
  <c r="F47" i="1"/>
  <c r="F46" i="1"/>
  <c r="F41" i="1"/>
  <c r="F40" i="1"/>
  <c r="F51" i="1"/>
  <c r="F50" i="1"/>
  <c r="F45" i="1"/>
  <c r="F44" i="1"/>
  <c r="F39" i="1"/>
  <c r="F38" i="1"/>
  <c r="F34" i="1"/>
  <c r="F35" i="1"/>
  <c r="F36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H54" i="1" l="1"/>
  <c r="H24" i="1"/>
  <c r="H49" i="1"/>
  <c r="H55" i="1"/>
  <c r="G54" i="1"/>
  <c r="G55" i="1"/>
  <c r="G24" i="1"/>
  <c r="H36" i="1"/>
  <c r="H42" i="1"/>
  <c r="G36" i="1"/>
  <c r="H31" i="1"/>
  <c r="H65" i="1"/>
  <c r="G43" i="1"/>
  <c r="G42" i="1"/>
  <c r="G35" i="1"/>
  <c r="H71" i="1"/>
  <c r="G34" i="1"/>
  <c r="H25" i="1"/>
  <c r="H47" i="1"/>
  <c r="H43" i="1"/>
  <c r="H40" i="1"/>
  <c r="H41" i="1"/>
  <c r="H46" i="1"/>
  <c r="H35" i="1"/>
  <c r="G61" i="1"/>
  <c r="H34" i="1"/>
  <c r="G73" i="1"/>
  <c r="G28" i="1"/>
  <c r="G52" i="1"/>
  <c r="G31" i="1"/>
  <c r="G40" i="1"/>
  <c r="H52" i="1"/>
  <c r="H58" i="1"/>
  <c r="G53" i="1"/>
  <c r="H59" i="1"/>
  <c r="H48" i="1"/>
  <c r="H64" i="1"/>
  <c r="G72" i="1"/>
  <c r="H22" i="1"/>
  <c r="G49" i="1"/>
  <c r="H72" i="1"/>
  <c r="H23" i="1"/>
  <c r="H70" i="1"/>
  <c r="G71" i="1"/>
  <c r="H37" i="1"/>
  <c r="G29" i="1"/>
  <c r="G30" i="1"/>
  <c r="H60" i="1"/>
  <c r="H61" i="1"/>
  <c r="G41" i="1"/>
  <c r="G64" i="1"/>
  <c r="H28" i="1"/>
  <c r="H29" i="1"/>
  <c r="H73" i="1"/>
  <c r="G66" i="1"/>
  <c r="G46" i="1"/>
  <c r="G70" i="1"/>
  <c r="G22" i="1"/>
  <c r="G48" i="1"/>
  <c r="G65" i="1"/>
  <c r="H30" i="1"/>
  <c r="H53" i="1"/>
  <c r="G58" i="1"/>
  <c r="H66" i="1"/>
  <c r="G59" i="1"/>
  <c r="G67" i="1"/>
  <c r="G47" i="1"/>
  <c r="H67" i="1"/>
  <c r="G25" i="1"/>
  <c r="G23" i="1"/>
  <c r="G37" i="1"/>
</calcChain>
</file>

<file path=xl/sharedStrings.xml><?xml version="1.0" encoding="utf-8"?>
<sst xmlns="http://schemas.openxmlformats.org/spreadsheetml/2006/main" count="202" uniqueCount="15">
  <si>
    <t>Region</t>
  </si>
  <si>
    <t>Day</t>
  </si>
  <si>
    <t>Rep</t>
  </si>
  <si>
    <t>A</t>
  </si>
  <si>
    <t>B</t>
  </si>
  <si>
    <t>Dose</t>
  </si>
  <si>
    <t>N/A</t>
  </si>
  <si>
    <t>Resmut_ct</t>
  </si>
  <si>
    <t>Total_Ct</t>
  </si>
  <si>
    <t>netgr_facs</t>
  </si>
  <si>
    <t>lfc_facs</t>
  </si>
  <si>
    <t>netgr_ic50_pred</t>
  </si>
  <si>
    <t>mutant</t>
  </si>
  <si>
    <t>T315I</t>
  </si>
  <si>
    <t>F359V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</si>
</sst>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7B5AB-B6DA-0049-AFB1-787EB57E6C64}">
  <dimension ref="A1:J73"/>
  <sheetViews>
    <sheetView tabSelected="1" zoomScale="200" workbookViewId="0"/>
  </sheetViews>
  <sheetFormatPr baseColWidth="10" defaultRowHeight="16" x14ac:dyDescent="0.2"/>
  <sheetData>
    <row r="1" spans="1:10" x14ac:dyDescent="0.2">
      <c r="A1" t="s">
        <v>0</v>
      </c>
      <c r="B1" t="s">
        <v>5</v>
      </c>
      <c r="C1" t="s">
        <v>1</v>
      </c>
      <c r="D1" t="s">
        <v>2</v>
      </c>
      <c r="E1" t="s">
        <v>8</v>
      </c>
      <c r="F1" t="s">
        <v>7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">
      <c r="A2">
        <v>1</v>
      </c>
      <c r="B2">
        <v>300</v>
      </c>
      <c r="C2">
        <v>0</v>
      </c>
      <c r="D2" t="s">
        <v>3</v>
      </c>
      <c r="E2">
        <v>57</v>
      </c>
      <c r="F2">
        <v>0.25</v>
      </c>
      <c r="G2" t="s">
        <v>6</v>
      </c>
      <c r="H2" t="s">
        <v>6</v>
      </c>
      <c r="J2" t="s">
        <v>13</v>
      </c>
    </row>
    <row r="3" spans="1:10" x14ac:dyDescent="0.2">
      <c r="A3">
        <v>1</v>
      </c>
      <c r="B3">
        <v>300</v>
      </c>
      <c r="C3">
        <v>0</v>
      </c>
      <c r="D3" t="s">
        <v>4</v>
      </c>
      <c r="E3">
        <v>57</v>
      </c>
      <c r="F3">
        <v>0.25</v>
      </c>
      <c r="G3" t="s">
        <v>6</v>
      </c>
      <c r="H3" t="s">
        <v>6</v>
      </c>
      <c r="J3" t="s">
        <v>13</v>
      </c>
    </row>
    <row r="4" spans="1:10" x14ac:dyDescent="0.2">
      <c r="A4">
        <v>1</v>
      </c>
      <c r="B4">
        <v>300</v>
      </c>
      <c r="C4">
        <v>3</v>
      </c>
      <c r="D4" t="s">
        <v>3</v>
      </c>
      <c r="E4">
        <v>2249</v>
      </c>
      <c r="F4">
        <v>1.55</v>
      </c>
      <c r="G4">
        <f>LN((F4*E4)/(F2*E2))/(24*(C4-C2))</f>
        <v>7.6385263557997379E-2</v>
      </c>
      <c r="H4">
        <f>LOG(F4/F2)</f>
        <v>0.79239168949825389</v>
      </c>
      <c r="I4">
        <v>5.8000000000000003E-2</v>
      </c>
      <c r="J4" t="s">
        <v>13</v>
      </c>
    </row>
    <row r="5" spans="1:10" x14ac:dyDescent="0.2">
      <c r="A5">
        <v>1</v>
      </c>
      <c r="B5">
        <v>300</v>
      </c>
      <c r="C5">
        <v>3</v>
      </c>
      <c r="D5" t="s">
        <v>4</v>
      </c>
      <c r="E5">
        <v>2196</v>
      </c>
      <c r="F5">
        <v>1.85</v>
      </c>
      <c r="G5">
        <f>LN((F5*E5)/(F3*E3))/(24*(C5-C3))</f>
        <v>7.8511410208402715E-2</v>
      </c>
      <c r="H5">
        <f>LOG(F5/F3)</f>
        <v>0.86923171973097624</v>
      </c>
      <c r="I5">
        <v>5.8000000000000003E-2</v>
      </c>
      <c r="J5" t="s">
        <v>13</v>
      </c>
    </row>
    <row r="6" spans="1:10" x14ac:dyDescent="0.2">
      <c r="A6">
        <v>1</v>
      </c>
      <c r="B6">
        <v>300</v>
      </c>
      <c r="C6">
        <v>6</v>
      </c>
      <c r="D6" t="s">
        <v>3</v>
      </c>
      <c r="E6">
        <v>67313</v>
      </c>
      <c r="F6">
        <v>34</v>
      </c>
      <c r="G6">
        <f>LN((F6*E6)/(F2*E2))/(24*(C6-C2))</f>
        <v>8.324105749870496E-2</v>
      </c>
      <c r="H6">
        <f>LOG(F6/F2)</f>
        <v>2.1335389083702174</v>
      </c>
      <c r="I6">
        <v>5.8000000000000003E-2</v>
      </c>
      <c r="J6" t="s">
        <v>13</v>
      </c>
    </row>
    <row r="7" spans="1:10" x14ac:dyDescent="0.2">
      <c r="A7">
        <v>1</v>
      </c>
      <c r="B7">
        <v>300</v>
      </c>
      <c r="C7">
        <v>6</v>
      </c>
      <c r="D7" t="s">
        <v>4</v>
      </c>
      <c r="E7">
        <v>66492</v>
      </c>
      <c r="F7">
        <v>55.9</v>
      </c>
      <c r="G7">
        <f>LN((F7*E7)/(F3*E3))/(24*(C7-C3))</f>
        <v>8.6608641611817666E-2</v>
      </c>
      <c r="H7">
        <f>LOG(F7/F3)</f>
        <v>2.3494717992143856</v>
      </c>
      <c r="I7">
        <v>5.8000000000000003E-2</v>
      </c>
      <c r="J7" t="s">
        <v>13</v>
      </c>
    </row>
    <row r="8" spans="1:10" x14ac:dyDescent="0.2">
      <c r="A8">
        <v>1</v>
      </c>
      <c r="B8" s="1">
        <v>600</v>
      </c>
      <c r="C8">
        <v>0</v>
      </c>
      <c r="D8" t="s">
        <v>3</v>
      </c>
      <c r="E8">
        <v>126</v>
      </c>
      <c r="F8">
        <v>0.48</v>
      </c>
      <c r="G8" t="s">
        <v>6</v>
      </c>
      <c r="H8" t="s">
        <v>6</v>
      </c>
      <c r="J8" t="s">
        <v>13</v>
      </c>
    </row>
    <row r="9" spans="1:10" x14ac:dyDescent="0.2">
      <c r="A9">
        <v>1</v>
      </c>
      <c r="B9" s="1">
        <v>600</v>
      </c>
      <c r="C9">
        <v>0</v>
      </c>
      <c r="D9" t="s">
        <v>4</v>
      </c>
      <c r="E9">
        <v>126</v>
      </c>
      <c r="F9">
        <v>0.48</v>
      </c>
      <c r="G9" t="s">
        <v>6</v>
      </c>
      <c r="H9" t="s">
        <v>6</v>
      </c>
      <c r="J9" t="s">
        <v>13</v>
      </c>
    </row>
    <row r="10" spans="1:10" x14ac:dyDescent="0.2">
      <c r="A10">
        <v>1</v>
      </c>
      <c r="B10" s="1">
        <v>600</v>
      </c>
      <c r="C10">
        <v>3</v>
      </c>
      <c r="D10" t="s">
        <v>3</v>
      </c>
      <c r="E10">
        <v>49111</v>
      </c>
      <c r="F10">
        <v>10.87</v>
      </c>
      <c r="G10">
        <f>LN((F10*E10)/(F8*E8))/(24*(C10-C8))</f>
        <v>0.12618794847971471</v>
      </c>
      <c r="H10">
        <f>LOG(F10/F8)</f>
        <v>1.3549883067107074</v>
      </c>
      <c r="I10">
        <v>5.7000000000000002E-2</v>
      </c>
      <c r="J10" t="s">
        <v>13</v>
      </c>
    </row>
    <row r="11" spans="1:10" x14ac:dyDescent="0.2">
      <c r="A11">
        <v>1</v>
      </c>
      <c r="B11" s="1">
        <v>600</v>
      </c>
      <c r="C11">
        <v>3</v>
      </c>
      <c r="D11" t="s">
        <v>4</v>
      </c>
      <c r="E11">
        <v>30076</v>
      </c>
      <c r="F11">
        <v>8.69</v>
      </c>
      <c r="G11">
        <f>LN((F11*E11)/(F9*E9))/(24*(C11-C9))</f>
        <v>0.11626865274866585</v>
      </c>
      <c r="H11">
        <f>LOG(F11/F9)</f>
        <v>1.2577785390730793</v>
      </c>
      <c r="I11">
        <v>5.7000000000000002E-2</v>
      </c>
      <c r="J11" t="s">
        <v>13</v>
      </c>
    </row>
    <row r="12" spans="1:10" x14ac:dyDescent="0.2">
      <c r="A12">
        <v>1</v>
      </c>
      <c r="B12" s="1">
        <v>600</v>
      </c>
      <c r="C12">
        <v>6</v>
      </c>
      <c r="D12" t="s">
        <v>3</v>
      </c>
      <c r="E12">
        <v>100656</v>
      </c>
      <c r="F12">
        <v>2.2000000000000002</v>
      </c>
      <c r="G12">
        <f>LN((F12*E12)/(F8*E8))/(24*(C12-C8))</f>
        <v>5.6983393543769467E-2</v>
      </c>
      <c r="H12">
        <f>LOG(F12/F8)</f>
        <v>0.66118144344661911</v>
      </c>
      <c r="I12">
        <v>5.7000000000000002E-2</v>
      </c>
      <c r="J12" t="s">
        <v>13</v>
      </c>
    </row>
    <row r="13" spans="1:10" x14ac:dyDescent="0.2">
      <c r="A13">
        <v>1</v>
      </c>
      <c r="B13" s="1">
        <v>600</v>
      </c>
      <c r="C13">
        <v>6</v>
      </c>
      <c r="D13" t="s">
        <v>4</v>
      </c>
      <c r="E13">
        <v>71585</v>
      </c>
      <c r="F13">
        <v>0.5</v>
      </c>
      <c r="G13">
        <f>LN((F13*E13)/(F9*E9))/(24*(C13-C9))</f>
        <v>4.4327645287244484E-2</v>
      </c>
      <c r="H13">
        <f>LOG(F13/F9)</f>
        <v>1.7728766960431616E-2</v>
      </c>
      <c r="I13">
        <v>5.7000000000000002E-2</v>
      </c>
      <c r="J13" t="s">
        <v>13</v>
      </c>
    </row>
    <row r="14" spans="1:10" x14ac:dyDescent="0.2">
      <c r="A14">
        <v>1</v>
      </c>
      <c r="B14" s="1">
        <v>1200</v>
      </c>
      <c r="C14">
        <v>0</v>
      </c>
      <c r="D14" t="s">
        <v>3</v>
      </c>
      <c r="E14">
        <v>241</v>
      </c>
      <c r="F14">
        <v>1.03</v>
      </c>
      <c r="G14" t="s">
        <v>6</v>
      </c>
      <c r="H14" t="s">
        <v>6</v>
      </c>
      <c r="J14" t="s">
        <v>13</v>
      </c>
    </row>
    <row r="15" spans="1:10" x14ac:dyDescent="0.2">
      <c r="A15">
        <v>1</v>
      </c>
      <c r="B15" s="1">
        <v>1200</v>
      </c>
      <c r="C15">
        <v>0</v>
      </c>
      <c r="D15" t="s">
        <v>4</v>
      </c>
      <c r="E15">
        <v>241</v>
      </c>
      <c r="F15">
        <v>1.03</v>
      </c>
      <c r="G15" t="s">
        <v>6</v>
      </c>
      <c r="H15" t="s">
        <v>6</v>
      </c>
      <c r="J15" t="s">
        <v>13</v>
      </c>
    </row>
    <row r="16" spans="1:10" x14ac:dyDescent="0.2">
      <c r="A16">
        <v>1</v>
      </c>
      <c r="B16" s="1">
        <v>1200</v>
      </c>
      <c r="C16">
        <v>3</v>
      </c>
      <c r="D16" t="s">
        <v>3</v>
      </c>
      <c r="E16">
        <v>28496</v>
      </c>
      <c r="F16">
        <v>4.0999999999999996</v>
      </c>
      <c r="G16">
        <f>LN((F16*E16)/(F14*E14))/(24*(C16-C14))</f>
        <v>8.5474308937604243E-2</v>
      </c>
      <c r="H16">
        <f>LOG(F16/F14)</f>
        <v>0.59994663201456322</v>
      </c>
      <c r="I16">
        <v>5.6000000000000001E-2</v>
      </c>
      <c r="J16" t="s">
        <v>13</v>
      </c>
    </row>
    <row r="17" spans="1:10" x14ac:dyDescent="0.2">
      <c r="A17">
        <v>1</v>
      </c>
      <c r="B17" s="1">
        <v>1200</v>
      </c>
      <c r="C17">
        <v>3</v>
      </c>
      <c r="D17" t="s">
        <v>4</v>
      </c>
      <c r="E17">
        <v>24319</v>
      </c>
      <c r="F17">
        <v>2.96</v>
      </c>
      <c r="G17">
        <f>LN((F17*E17)/(F15*E15))/(24*(C17-C15))</f>
        <v>7.8747871519686596E-2</v>
      </c>
      <c r="H17">
        <f>LOG(F17/F15)</f>
        <v>0.4584544863537664</v>
      </c>
      <c r="I17">
        <v>5.6000000000000001E-2</v>
      </c>
      <c r="J17" t="s">
        <v>13</v>
      </c>
    </row>
    <row r="18" spans="1:10" x14ac:dyDescent="0.2">
      <c r="A18">
        <v>1</v>
      </c>
      <c r="B18" s="1">
        <v>1200</v>
      </c>
      <c r="C18">
        <v>6</v>
      </c>
      <c r="D18" t="s">
        <v>3</v>
      </c>
      <c r="E18">
        <v>74570</v>
      </c>
      <c r="F18">
        <v>0.5</v>
      </c>
      <c r="G18">
        <f>LN((F18*E18)/(F14*E14))/(24*(C18-C14))</f>
        <v>3.4805490585039553E-2</v>
      </c>
      <c r="H18">
        <f>LOG(F18/F14)</f>
        <v>-0.31386722036915338</v>
      </c>
      <c r="I18">
        <v>5.6000000000000001E-2</v>
      </c>
      <c r="J18" t="s">
        <v>13</v>
      </c>
    </row>
    <row r="19" spans="1:10" x14ac:dyDescent="0.2">
      <c r="A19">
        <v>1</v>
      </c>
      <c r="B19" s="1">
        <v>1200</v>
      </c>
      <c r="C19">
        <v>6</v>
      </c>
      <c r="D19" t="s">
        <v>4</v>
      </c>
      <c r="E19">
        <v>74305</v>
      </c>
      <c r="F19">
        <v>0.5</v>
      </c>
      <c r="G19">
        <f>LN((F19*E19)/(F15*E15))/(24*(C19-C15))</f>
        <v>3.478076810347587E-2</v>
      </c>
      <c r="H19">
        <f>LOG(F19/F15)</f>
        <v>-0.31386722036915338</v>
      </c>
      <c r="I19">
        <v>5.6000000000000001E-2</v>
      </c>
      <c r="J19" t="s">
        <v>13</v>
      </c>
    </row>
    <row r="20" spans="1:10" x14ac:dyDescent="0.2">
      <c r="A20">
        <v>2</v>
      </c>
      <c r="B20">
        <v>300</v>
      </c>
      <c r="C20">
        <v>0</v>
      </c>
      <c r="D20" t="s">
        <v>3</v>
      </c>
      <c r="E20">
        <v>61</v>
      </c>
      <c r="F20">
        <f>1/500</f>
        <v>2E-3</v>
      </c>
      <c r="G20" t="s">
        <v>6</v>
      </c>
      <c r="H20" t="s">
        <v>6</v>
      </c>
      <c r="J20" t="s">
        <v>14</v>
      </c>
    </row>
    <row r="21" spans="1:10" x14ac:dyDescent="0.2">
      <c r="A21">
        <v>2</v>
      </c>
      <c r="B21">
        <v>300</v>
      </c>
      <c r="C21">
        <v>0</v>
      </c>
      <c r="D21" t="s">
        <v>4</v>
      </c>
      <c r="E21">
        <v>61</v>
      </c>
      <c r="F21">
        <f>1/500</f>
        <v>2E-3</v>
      </c>
      <c r="G21" t="s">
        <v>6</v>
      </c>
      <c r="H21" t="s">
        <v>6</v>
      </c>
      <c r="J21" t="s">
        <v>14</v>
      </c>
    </row>
    <row r="22" spans="1:10" x14ac:dyDescent="0.2">
      <c r="A22">
        <v>2</v>
      </c>
      <c r="B22">
        <v>300</v>
      </c>
      <c r="C22">
        <v>3</v>
      </c>
      <c r="D22" t="s">
        <v>3</v>
      </c>
      <c r="E22">
        <v>750</v>
      </c>
      <c r="F22">
        <f>70/738</f>
        <v>9.4850948509485097E-2</v>
      </c>
      <c r="G22">
        <f>LN((F22*E22)/(F20*E20))/(24*(C22-C20))</f>
        <v>8.8449428586501705E-2</v>
      </c>
      <c r="H22">
        <f>LOG(F22/F20)</f>
        <v>1.676011682527234</v>
      </c>
      <c r="I22">
        <v>5.8000000000000003E-2</v>
      </c>
      <c r="J22" t="s">
        <v>14</v>
      </c>
    </row>
    <row r="23" spans="1:10" x14ac:dyDescent="0.2">
      <c r="A23">
        <v>2</v>
      </c>
      <c r="B23">
        <v>300</v>
      </c>
      <c r="C23">
        <v>3</v>
      </c>
      <c r="D23" t="s">
        <v>4</v>
      </c>
      <c r="E23">
        <v>1039</v>
      </c>
      <c r="F23">
        <f>119/1020</f>
        <v>0.11666666666666667</v>
      </c>
      <c r="G23">
        <f>LN((F23*E23)/(F21*E21))/(24*(C23-C21))</f>
        <v>9.5851580724740565E-2</v>
      </c>
      <c r="H23">
        <f>LOG(F23/F21)</f>
        <v>1.765916793966632</v>
      </c>
      <c r="I23">
        <v>5.8000000000000003E-2</v>
      </c>
      <c r="J23" t="s">
        <v>14</v>
      </c>
    </row>
    <row r="24" spans="1:10" x14ac:dyDescent="0.2">
      <c r="A24">
        <v>2</v>
      </c>
      <c r="B24">
        <v>300</v>
      </c>
      <c r="C24">
        <v>6</v>
      </c>
      <c r="D24" t="s">
        <v>3</v>
      </c>
      <c r="E24">
        <v>22843</v>
      </c>
      <c r="F24">
        <f>46/1856</f>
        <v>2.4784482758620691E-2</v>
      </c>
      <c r="G24">
        <f>LN((F24*E24)/(F20*E20))/(24*(C24-C20))</f>
        <v>5.8629143896164582E-2</v>
      </c>
      <c r="H24">
        <f>LOG(F24/F20)</f>
        <v>1.0931498641347497</v>
      </c>
      <c r="I24">
        <v>5.8000000000000003E-2</v>
      </c>
      <c r="J24" t="s">
        <v>14</v>
      </c>
    </row>
    <row r="25" spans="1:10" x14ac:dyDescent="0.2">
      <c r="A25">
        <v>2</v>
      </c>
      <c r="B25">
        <v>300</v>
      </c>
      <c r="C25">
        <v>6</v>
      </c>
      <c r="D25" t="s">
        <v>4</v>
      </c>
      <c r="E25">
        <v>34270</v>
      </c>
      <c r="F25">
        <f>43/1733</f>
        <v>2.4812463935372186E-2</v>
      </c>
      <c r="G25">
        <f>LN((F25*E25)/(F21*E21))/(24*(C25-C21))</f>
        <v>6.1453824132607582E-2</v>
      </c>
      <c r="H25">
        <f>LOG(F25/F21)</f>
        <v>1.0936398972016883</v>
      </c>
      <c r="I25">
        <v>5.8000000000000003E-2</v>
      </c>
      <c r="J25" t="s">
        <v>14</v>
      </c>
    </row>
    <row r="26" spans="1:10" x14ac:dyDescent="0.2">
      <c r="A26">
        <v>2</v>
      </c>
      <c r="B26" s="1">
        <v>600</v>
      </c>
      <c r="C26">
        <v>0</v>
      </c>
      <c r="D26" t="s">
        <v>3</v>
      </c>
      <c r="E26">
        <v>54</v>
      </c>
      <c r="F26">
        <f>1/500</f>
        <v>2E-3</v>
      </c>
      <c r="G26" t="s">
        <v>6</v>
      </c>
      <c r="H26" t="s">
        <v>6</v>
      </c>
      <c r="J26" t="s">
        <v>14</v>
      </c>
    </row>
    <row r="27" spans="1:10" x14ac:dyDescent="0.2">
      <c r="A27">
        <v>2</v>
      </c>
      <c r="B27" s="1">
        <v>600</v>
      </c>
      <c r="C27">
        <v>0</v>
      </c>
      <c r="D27" t="s">
        <v>4</v>
      </c>
      <c r="E27">
        <v>54</v>
      </c>
      <c r="F27">
        <f>1/500</f>
        <v>2E-3</v>
      </c>
      <c r="G27" t="s">
        <v>6</v>
      </c>
      <c r="H27" t="s">
        <v>6</v>
      </c>
      <c r="J27" t="s">
        <v>14</v>
      </c>
    </row>
    <row r="28" spans="1:10" x14ac:dyDescent="0.2">
      <c r="A28">
        <v>2</v>
      </c>
      <c r="B28" s="1">
        <v>600</v>
      </c>
      <c r="C28">
        <v>3</v>
      </c>
      <c r="D28" t="s">
        <v>3</v>
      </c>
      <c r="E28">
        <v>221</v>
      </c>
      <c r="F28">
        <f>7/219</f>
        <v>3.1963470319634701E-2</v>
      </c>
      <c r="G28">
        <f>LN((F28*E28)/(F26*E26))/(24*(C28-C26))</f>
        <v>5.8064238508534483E-2</v>
      </c>
      <c r="H28">
        <f>LOG(F28/F26)</f>
        <v>1.2036239295101572</v>
      </c>
      <c r="I28">
        <v>4.7E-2</v>
      </c>
      <c r="J28" t="s">
        <v>14</v>
      </c>
    </row>
    <row r="29" spans="1:10" x14ac:dyDescent="0.2">
      <c r="A29">
        <v>2</v>
      </c>
      <c r="B29" s="1">
        <v>600</v>
      </c>
      <c r="C29">
        <v>3</v>
      </c>
      <c r="D29" t="s">
        <v>4</v>
      </c>
      <c r="E29">
        <v>332</v>
      </c>
      <c r="F29">
        <f>18/328</f>
        <v>5.4878048780487805E-2</v>
      </c>
      <c r="G29">
        <f>LN((F29*E29)/(F27*E27))/(24*(C29-C27))</f>
        <v>7.1223849587311483E-2</v>
      </c>
      <c r="H29">
        <f>LOG(F29/F27)</f>
        <v>1.4383686657276458</v>
      </c>
      <c r="I29">
        <v>4.7E-2</v>
      </c>
      <c r="J29" t="s">
        <v>14</v>
      </c>
    </row>
    <row r="30" spans="1:10" x14ac:dyDescent="0.2">
      <c r="A30">
        <v>2</v>
      </c>
      <c r="B30" s="1">
        <v>600</v>
      </c>
      <c r="C30">
        <v>6</v>
      </c>
      <c r="D30" t="s">
        <v>3</v>
      </c>
      <c r="E30">
        <v>5732</v>
      </c>
      <c r="F30">
        <f>10/1724</f>
        <v>5.8004640371229696E-3</v>
      </c>
      <c r="G30">
        <f>LN((F30*E30)/(F26*E26))/(24*(C30-C26))</f>
        <v>3.9789072795669359E-2</v>
      </c>
      <c r="H30">
        <f>LOG(F30/F26)</f>
        <v>0.46243274284732477</v>
      </c>
      <c r="I30">
        <v>4.7E-2</v>
      </c>
      <c r="J30" t="s">
        <v>14</v>
      </c>
    </row>
    <row r="31" spans="1:10" x14ac:dyDescent="0.2">
      <c r="A31">
        <v>2</v>
      </c>
      <c r="B31" s="1">
        <v>600</v>
      </c>
      <c r="C31">
        <v>6</v>
      </c>
      <c r="D31" t="s">
        <v>4</v>
      </c>
      <c r="E31">
        <v>9954</v>
      </c>
      <c r="F31">
        <f>7/1908</f>
        <v>3.6687631027253671E-3</v>
      </c>
      <c r="G31">
        <f>LN((F31*E31)/(F27*E27))/(24*(C31-C27))</f>
        <v>4.0440646585579852E-2</v>
      </c>
      <c r="H31">
        <f>LOG(F31/F27)</f>
        <v>0.26348967398219936</v>
      </c>
      <c r="I31">
        <v>4.7E-2</v>
      </c>
      <c r="J31" t="s">
        <v>14</v>
      </c>
    </row>
    <row r="32" spans="1:10" x14ac:dyDescent="0.2">
      <c r="A32">
        <v>2</v>
      </c>
      <c r="B32" s="1">
        <v>1200</v>
      </c>
      <c r="C32">
        <v>0</v>
      </c>
      <c r="D32" t="s">
        <v>3</v>
      </c>
      <c r="E32">
        <v>116</v>
      </c>
      <c r="F32">
        <f>1/500</f>
        <v>2E-3</v>
      </c>
      <c r="G32" t="s">
        <v>6</v>
      </c>
      <c r="H32" t="s">
        <v>6</v>
      </c>
      <c r="J32" t="s">
        <v>14</v>
      </c>
    </row>
    <row r="33" spans="1:10" x14ac:dyDescent="0.2">
      <c r="A33">
        <v>2</v>
      </c>
      <c r="B33" s="1">
        <v>1200</v>
      </c>
      <c r="C33">
        <v>0</v>
      </c>
      <c r="D33" t="s">
        <v>4</v>
      </c>
      <c r="E33">
        <v>116</v>
      </c>
      <c r="F33">
        <f>1/500</f>
        <v>2E-3</v>
      </c>
      <c r="G33" t="s">
        <v>6</v>
      </c>
      <c r="H33" t="s">
        <v>6</v>
      </c>
      <c r="J33" t="s">
        <v>14</v>
      </c>
    </row>
    <row r="34" spans="1:10" x14ac:dyDescent="0.2">
      <c r="A34">
        <v>2</v>
      </c>
      <c r="B34" s="1">
        <v>1200</v>
      </c>
      <c r="C34">
        <v>3</v>
      </c>
      <c r="D34" t="s">
        <v>3</v>
      </c>
      <c r="E34">
        <v>228</v>
      </c>
      <c r="F34">
        <f>5/224</f>
        <v>2.2321428571428572E-2</v>
      </c>
      <c r="G34">
        <f>LN((F34*E34)/(F32*E32))/(24*(C34-C32))</f>
        <v>4.2891047178462899E-2</v>
      </c>
      <c r="H34">
        <f>LOG(F34/F32)</f>
        <v>1.0476919903378747</v>
      </c>
      <c r="I34">
        <v>2.1000000000000001E-2</v>
      </c>
      <c r="J34" t="s">
        <v>14</v>
      </c>
    </row>
    <row r="35" spans="1:10" x14ac:dyDescent="0.2">
      <c r="A35">
        <v>2</v>
      </c>
      <c r="B35" s="1">
        <v>1200</v>
      </c>
      <c r="C35">
        <v>3</v>
      </c>
      <c r="D35" t="s">
        <v>4</v>
      </c>
      <c r="E35">
        <v>204</v>
      </c>
      <c r="F35">
        <f>4/201</f>
        <v>1.9900497512437811E-2</v>
      </c>
      <c r="G35">
        <f>LN((F35*E35)/(F33*E33))/(24*(C35-C33))</f>
        <v>3.9751768808623036E-2</v>
      </c>
      <c r="H35">
        <f>LOG(F35/F33)</f>
        <v>0.99783393824349231</v>
      </c>
      <c r="I35">
        <v>2.1000000000000001E-2</v>
      </c>
      <c r="J35" t="s">
        <v>14</v>
      </c>
    </row>
    <row r="36" spans="1:10" x14ac:dyDescent="0.2">
      <c r="A36">
        <v>2</v>
      </c>
      <c r="B36" s="1">
        <v>1200</v>
      </c>
      <c r="C36">
        <v>6</v>
      </c>
      <c r="D36" t="s">
        <v>3</v>
      </c>
      <c r="E36">
        <v>6209</v>
      </c>
      <c r="F36">
        <f>1/1977</f>
        <v>5.0581689428426911E-4</v>
      </c>
      <c r="G36">
        <f>LN((F36*E36)/(F32*E32))/(24*(C36-C32))</f>
        <v>1.8093313996597936E-2</v>
      </c>
      <c r="H36">
        <f>LOG(F36/F32)</f>
        <v>-0.59703666497765351</v>
      </c>
      <c r="I36">
        <v>2.1000000000000001E-2</v>
      </c>
      <c r="J36" t="s">
        <v>14</v>
      </c>
    </row>
    <row r="37" spans="1:10" x14ac:dyDescent="0.2">
      <c r="A37">
        <v>2</v>
      </c>
      <c r="B37" s="1">
        <v>1200</v>
      </c>
      <c r="C37">
        <v>6</v>
      </c>
      <c r="D37" t="s">
        <v>4</v>
      </c>
      <c r="E37">
        <v>4413</v>
      </c>
      <c r="F37">
        <f>1/1648</f>
        <v>6.0679611650485432E-4</v>
      </c>
      <c r="G37">
        <f>LN((F37*E37)/(F33*E33))/(24*(C37-C33))</f>
        <v>1.6986181986916368E-2</v>
      </c>
      <c r="H37">
        <f>LOG(F37/F33)</f>
        <v>-0.51798720302507817</v>
      </c>
      <c r="I37">
        <v>2.1000000000000001E-2</v>
      </c>
      <c r="J37" t="s">
        <v>14</v>
      </c>
    </row>
    <row r="38" spans="1:10" x14ac:dyDescent="0.2">
      <c r="A38">
        <v>3</v>
      </c>
      <c r="B38">
        <v>300</v>
      </c>
      <c r="C38">
        <v>0</v>
      </c>
      <c r="D38" t="s">
        <v>3</v>
      </c>
      <c r="E38">
        <v>57</v>
      </c>
      <c r="F38">
        <f>1/500</f>
        <v>2E-3</v>
      </c>
      <c r="G38" t="s">
        <v>6</v>
      </c>
      <c r="H38" t="s">
        <v>6</v>
      </c>
      <c r="J38" t="s">
        <v>13</v>
      </c>
    </row>
    <row r="39" spans="1:10" x14ac:dyDescent="0.2">
      <c r="A39">
        <v>3</v>
      </c>
      <c r="B39">
        <v>300</v>
      </c>
      <c r="C39">
        <v>0</v>
      </c>
      <c r="D39" t="s">
        <v>4</v>
      </c>
      <c r="E39">
        <v>57</v>
      </c>
      <c r="F39">
        <f>1/500</f>
        <v>2E-3</v>
      </c>
      <c r="G39" t="s">
        <v>6</v>
      </c>
      <c r="H39" t="s">
        <v>6</v>
      </c>
      <c r="J39" t="s">
        <v>13</v>
      </c>
    </row>
    <row r="40" spans="1:10" x14ac:dyDescent="0.2">
      <c r="A40">
        <v>3</v>
      </c>
      <c r="B40">
        <v>300</v>
      </c>
      <c r="C40">
        <v>3</v>
      </c>
      <c r="D40" t="s">
        <v>3</v>
      </c>
      <c r="E40">
        <v>889</v>
      </c>
      <c r="F40">
        <f>167/870</f>
        <v>0.19195402298850575</v>
      </c>
      <c r="G40">
        <f>LN((F40*E40)/(F38*E38))/(24*(C40-C38))</f>
        <v>0.10154381481763433</v>
      </c>
      <c r="H40">
        <f>LOG(F40/F38)</f>
        <v>1.9821672228649836</v>
      </c>
      <c r="I40">
        <v>5.8000000000000003E-2</v>
      </c>
      <c r="J40" t="s">
        <v>13</v>
      </c>
    </row>
    <row r="41" spans="1:10" x14ac:dyDescent="0.2">
      <c r="A41">
        <v>3</v>
      </c>
      <c r="B41">
        <v>300</v>
      </c>
      <c r="C41">
        <v>3</v>
      </c>
      <c r="D41" t="s">
        <v>4</v>
      </c>
      <c r="E41">
        <v>1400</v>
      </c>
      <c r="F41">
        <f>253/1369</f>
        <v>0.18480642804967129</v>
      </c>
      <c r="G41">
        <f>LN((F41*E41)/(F39*E39))/(24*(C41-C39))</f>
        <v>0.10732413902263976</v>
      </c>
      <c r="H41">
        <f>LOG(F41/F39)</f>
        <v>1.9656870773778468</v>
      </c>
      <c r="I41">
        <v>5.8000000000000003E-2</v>
      </c>
      <c r="J41" t="s">
        <v>13</v>
      </c>
    </row>
    <row r="42" spans="1:10" x14ac:dyDescent="0.2">
      <c r="A42">
        <v>3</v>
      </c>
      <c r="B42">
        <v>300</v>
      </c>
      <c r="C42">
        <v>6</v>
      </c>
      <c r="D42" t="s">
        <v>3</v>
      </c>
      <c r="E42">
        <v>24227</v>
      </c>
      <c r="F42">
        <f>318/1321</f>
        <v>0.24072672218016655</v>
      </c>
      <c r="G42">
        <f>LN((F42*E42)/(F38*E38))/(24*(C42-C38))</f>
        <v>7.5296436816223278E-2</v>
      </c>
      <c r="H42">
        <f>LOG(F42/F38)</f>
        <v>2.0804943067059245</v>
      </c>
      <c r="I42">
        <v>5.8000000000000003E-2</v>
      </c>
      <c r="J42" t="s">
        <v>13</v>
      </c>
    </row>
    <row r="43" spans="1:10" x14ac:dyDescent="0.2">
      <c r="A43">
        <v>3</v>
      </c>
      <c r="B43">
        <v>300</v>
      </c>
      <c r="C43">
        <v>6</v>
      </c>
      <c r="D43" t="s">
        <v>4</v>
      </c>
      <c r="E43">
        <v>59338</v>
      </c>
      <c r="F43">
        <f>258/1257</f>
        <v>0.2052505966587112</v>
      </c>
      <c r="G43">
        <f>LN((F43*E43)/(F39*E39))/(24*(C43-C39))</f>
        <v>8.0409988861928017E-2</v>
      </c>
      <c r="H43">
        <f>LOG(F43/F39)</f>
        <v>2.0112544326132911</v>
      </c>
      <c r="I43">
        <v>5.8000000000000003E-2</v>
      </c>
      <c r="J43" t="s">
        <v>13</v>
      </c>
    </row>
    <row r="44" spans="1:10" x14ac:dyDescent="0.2">
      <c r="A44">
        <v>3</v>
      </c>
      <c r="B44" s="1">
        <v>600</v>
      </c>
      <c r="C44">
        <v>0</v>
      </c>
      <c r="D44" t="s">
        <v>3</v>
      </c>
      <c r="E44">
        <v>60</v>
      </c>
      <c r="F44">
        <f>1/500</f>
        <v>2E-3</v>
      </c>
      <c r="G44" t="s">
        <v>6</v>
      </c>
      <c r="H44" t="s">
        <v>6</v>
      </c>
      <c r="J44" t="s">
        <v>13</v>
      </c>
    </row>
    <row r="45" spans="1:10" x14ac:dyDescent="0.2">
      <c r="A45">
        <v>3</v>
      </c>
      <c r="B45" s="1">
        <v>600</v>
      </c>
      <c r="C45">
        <v>0</v>
      </c>
      <c r="D45" t="s">
        <v>4</v>
      </c>
      <c r="E45">
        <v>60</v>
      </c>
      <c r="F45">
        <f>1/500</f>
        <v>2E-3</v>
      </c>
      <c r="G45" t="s">
        <v>6</v>
      </c>
      <c r="H45" t="s">
        <v>6</v>
      </c>
      <c r="J45" t="s">
        <v>13</v>
      </c>
    </row>
    <row r="46" spans="1:10" x14ac:dyDescent="0.2">
      <c r="A46">
        <v>3</v>
      </c>
      <c r="B46" s="1">
        <v>600</v>
      </c>
      <c r="C46">
        <v>3</v>
      </c>
      <c r="D46" t="s">
        <v>3</v>
      </c>
      <c r="E46">
        <v>352</v>
      </c>
      <c r="F46">
        <f>196/337</f>
        <v>0.58160237388724034</v>
      </c>
      <c r="G46">
        <f>LN((F46*E46)/(F44*E44))/(24*(C46-C44))</f>
        <v>0.10336008945383811</v>
      </c>
      <c r="H46">
        <f>LOG(F46/F44)</f>
        <v>2.4635961748211561</v>
      </c>
      <c r="I46">
        <v>5.7000000000000002E-2</v>
      </c>
      <c r="J46" t="s">
        <v>13</v>
      </c>
    </row>
    <row r="47" spans="1:10" x14ac:dyDescent="0.2">
      <c r="A47">
        <v>3</v>
      </c>
      <c r="B47" s="1">
        <v>600</v>
      </c>
      <c r="C47">
        <v>3</v>
      </c>
      <c r="D47" t="s">
        <v>4</v>
      </c>
      <c r="E47">
        <v>531</v>
      </c>
      <c r="F47">
        <f>213/512</f>
        <v>0.416015625</v>
      </c>
      <c r="G47">
        <f>LN((F47*E47)/(F45*E45))/(24*(C47-C45))</f>
        <v>0.10441657080711038</v>
      </c>
      <c r="H47">
        <f>LOG(F47/F45)</f>
        <v>2.318079646798926</v>
      </c>
      <c r="I47">
        <v>5.7000000000000002E-2</v>
      </c>
      <c r="J47" t="s">
        <v>13</v>
      </c>
    </row>
    <row r="48" spans="1:10" x14ac:dyDescent="0.2">
      <c r="A48">
        <v>3</v>
      </c>
      <c r="B48" s="1">
        <v>600</v>
      </c>
      <c r="C48">
        <v>6</v>
      </c>
      <c r="D48" t="s">
        <v>3</v>
      </c>
      <c r="E48">
        <v>8810</v>
      </c>
      <c r="F48">
        <f>788/1480</f>
        <v>0.53243243243243243</v>
      </c>
      <c r="G48">
        <f>LN((F48*E48)/(F44*E44))/(24*(C48-C44))</f>
        <v>7.3427826237708577E-2</v>
      </c>
      <c r="H48">
        <f>LOG(F48/F44)</f>
        <v>2.4252345064306167</v>
      </c>
      <c r="I48">
        <v>5.7000000000000002E-2</v>
      </c>
      <c r="J48" t="s">
        <v>13</v>
      </c>
    </row>
    <row r="49" spans="1:10" x14ac:dyDescent="0.2">
      <c r="A49">
        <v>3</v>
      </c>
      <c r="B49" s="1">
        <v>600</v>
      </c>
      <c r="C49">
        <v>6</v>
      </c>
      <c r="D49" t="s">
        <v>4</v>
      </c>
      <c r="E49">
        <v>10496</v>
      </c>
      <c r="F49">
        <f>621/1248</f>
        <v>0.49759615384615385</v>
      </c>
      <c r="G49">
        <f>LN((F49*E49)/(F45*E45))/(24*(C49-C45))</f>
        <v>7.4173934586028237E-2</v>
      </c>
      <c r="H49">
        <f>LOG(F49/F45)</f>
        <v>2.3958470191661938</v>
      </c>
      <c r="I49">
        <v>5.7000000000000002E-2</v>
      </c>
      <c r="J49" t="s">
        <v>13</v>
      </c>
    </row>
    <row r="50" spans="1:10" x14ac:dyDescent="0.2">
      <c r="A50">
        <v>3</v>
      </c>
      <c r="B50" s="1">
        <v>1200</v>
      </c>
      <c r="C50">
        <v>0</v>
      </c>
      <c r="D50" t="s">
        <v>3</v>
      </c>
      <c r="E50">
        <v>132</v>
      </c>
      <c r="F50">
        <f>1/500</f>
        <v>2E-3</v>
      </c>
      <c r="G50" t="s">
        <v>6</v>
      </c>
      <c r="H50" t="s">
        <v>6</v>
      </c>
      <c r="J50" t="s">
        <v>13</v>
      </c>
    </row>
    <row r="51" spans="1:10" x14ac:dyDescent="0.2">
      <c r="A51">
        <v>3</v>
      </c>
      <c r="B51" s="1">
        <v>1200</v>
      </c>
      <c r="C51">
        <v>0</v>
      </c>
      <c r="D51" t="s">
        <v>4</v>
      </c>
      <c r="E51">
        <v>132</v>
      </c>
      <c r="F51">
        <f>1/500</f>
        <v>2E-3</v>
      </c>
      <c r="G51" t="s">
        <v>6</v>
      </c>
      <c r="H51" t="s">
        <v>6</v>
      </c>
      <c r="J51" t="s">
        <v>13</v>
      </c>
    </row>
    <row r="52" spans="1:10" x14ac:dyDescent="0.2">
      <c r="A52">
        <v>3</v>
      </c>
      <c r="B52" s="1">
        <v>1200</v>
      </c>
      <c r="C52">
        <v>3</v>
      </c>
      <c r="D52" t="s">
        <v>3</v>
      </c>
      <c r="E52">
        <v>161</v>
      </c>
      <c r="F52">
        <f>59/72</f>
        <v>0.81944444444444442</v>
      </c>
      <c r="G52">
        <f>LN((F52*E52)/(F50*E50))/(24*(C52-C50))</f>
        <v>8.6306692579304831E-2</v>
      </c>
      <c r="H52">
        <f>LOG(F52/F50)</f>
        <v>2.6124895195468945</v>
      </c>
      <c r="I52">
        <v>5.6000000000000001E-2</v>
      </c>
      <c r="J52" t="s">
        <v>13</v>
      </c>
    </row>
    <row r="53" spans="1:10" x14ac:dyDescent="0.2">
      <c r="A53">
        <v>3</v>
      </c>
      <c r="B53" s="1">
        <v>1200</v>
      </c>
      <c r="C53">
        <v>3</v>
      </c>
      <c r="D53" t="s">
        <v>4</v>
      </c>
      <c r="E53">
        <v>303</v>
      </c>
      <c r="F53">
        <f>68/83</f>
        <v>0.81927710843373491</v>
      </c>
      <c r="G53">
        <f>LN((F53*E53)/(F51*E51))/(24*(C53-C51))</f>
        <v>9.5086195537843032E-2</v>
      </c>
      <c r="H53">
        <f>LOG(F53/F51)</f>
        <v>2.6124008246661812</v>
      </c>
      <c r="I53">
        <v>5.6000000000000001E-2</v>
      </c>
      <c r="J53" t="s">
        <v>13</v>
      </c>
    </row>
    <row r="54" spans="1:10" x14ac:dyDescent="0.2">
      <c r="A54">
        <v>3</v>
      </c>
      <c r="B54" s="1">
        <v>1200</v>
      </c>
      <c r="C54">
        <v>6</v>
      </c>
      <c r="D54" t="s">
        <v>3</v>
      </c>
      <c r="E54">
        <v>4004</v>
      </c>
      <c r="F54">
        <f>676/1357</f>
        <v>0.49815770081061167</v>
      </c>
      <c r="G54">
        <f>LN((F54*E54)/(F50*E50))/(24*(C54-C50))</f>
        <v>6.2014005086659912E-2</v>
      </c>
      <c r="H54">
        <f>LOG(F54/F50)</f>
        <v>2.3963368526179178</v>
      </c>
      <c r="I54">
        <v>5.6000000000000001E-2</v>
      </c>
      <c r="J54" t="s">
        <v>13</v>
      </c>
    </row>
    <row r="55" spans="1:10" x14ac:dyDescent="0.2">
      <c r="A55">
        <v>3</v>
      </c>
      <c r="B55" s="1">
        <v>1200</v>
      </c>
      <c r="C55">
        <v>6</v>
      </c>
      <c r="D55" t="s">
        <v>4</v>
      </c>
      <c r="E55">
        <v>7130</v>
      </c>
      <c r="F55">
        <f>616/1314</f>
        <v>0.46879756468797562</v>
      </c>
      <c r="G55">
        <f>LN((F55*E55)/(F51*E51))/(24*(C55-C51))</f>
        <v>6.5599225373146719E-2</v>
      </c>
      <c r="H55">
        <f>LOG(F55/F51)</f>
        <v>2.3699553512766824</v>
      </c>
      <c r="I55">
        <v>5.6000000000000001E-2</v>
      </c>
      <c r="J55" t="s">
        <v>13</v>
      </c>
    </row>
    <row r="56" spans="1:10" x14ac:dyDescent="0.2">
      <c r="A56">
        <v>4</v>
      </c>
      <c r="B56">
        <v>300</v>
      </c>
      <c r="C56">
        <v>0</v>
      </c>
      <c r="D56" t="s">
        <v>3</v>
      </c>
      <c r="E56">
        <v>53</v>
      </c>
      <c r="F56">
        <f>1/500</f>
        <v>2E-3</v>
      </c>
      <c r="G56" t="s">
        <v>6</v>
      </c>
      <c r="H56" t="s">
        <v>6</v>
      </c>
      <c r="J56" t="s">
        <v>13</v>
      </c>
    </row>
    <row r="57" spans="1:10" x14ac:dyDescent="0.2">
      <c r="A57">
        <v>4</v>
      </c>
      <c r="B57">
        <v>300</v>
      </c>
      <c r="C57">
        <v>0</v>
      </c>
      <c r="D57" t="s">
        <v>4</v>
      </c>
      <c r="E57">
        <v>53</v>
      </c>
      <c r="F57">
        <f>1/500</f>
        <v>2E-3</v>
      </c>
      <c r="G57" t="s">
        <v>6</v>
      </c>
      <c r="H57" t="s">
        <v>6</v>
      </c>
      <c r="J57" t="s">
        <v>13</v>
      </c>
    </row>
    <row r="58" spans="1:10" x14ac:dyDescent="0.2">
      <c r="A58">
        <v>4</v>
      </c>
      <c r="B58">
        <v>300</v>
      </c>
      <c r="C58">
        <v>3</v>
      </c>
      <c r="D58" t="s">
        <v>3</v>
      </c>
      <c r="E58">
        <v>1260</v>
      </c>
      <c r="F58">
        <f>104/1243</f>
        <v>8.3668543845535001E-2</v>
      </c>
      <c r="G58">
        <f>LN((F58*E58)/(F56*E56))/(24*(C58-C56))</f>
        <v>9.5865152672864648E-2</v>
      </c>
      <c r="H58">
        <f>LOG(F58/F56)</f>
        <v>1.6215322149931544</v>
      </c>
      <c r="I58">
        <v>5.8000000000000003E-2</v>
      </c>
      <c r="J58" t="s">
        <v>13</v>
      </c>
    </row>
    <row r="59" spans="1:10" x14ac:dyDescent="0.2">
      <c r="A59">
        <v>4</v>
      </c>
      <c r="B59">
        <v>300</v>
      </c>
      <c r="C59">
        <v>3</v>
      </c>
      <c r="D59" t="s">
        <v>4</v>
      </c>
      <c r="E59">
        <v>924</v>
      </c>
      <c r="F59">
        <f>105/909</f>
        <v>0.11551155115511551</v>
      </c>
      <c r="G59">
        <f>LN((F59*E59)/(F57*E57))/(24*(C59-C57))</f>
        <v>9.603671545127497E-2</v>
      </c>
      <c r="H59">
        <f>LOG(F59/F57)</f>
        <v>1.7615954201839894</v>
      </c>
      <c r="I59">
        <v>5.8000000000000003E-2</v>
      </c>
      <c r="J59" t="s">
        <v>13</v>
      </c>
    </row>
    <row r="60" spans="1:10" x14ac:dyDescent="0.2">
      <c r="A60">
        <v>4</v>
      </c>
      <c r="B60">
        <v>300</v>
      </c>
      <c r="C60">
        <v>6</v>
      </c>
      <c r="D60" t="s">
        <v>3</v>
      </c>
      <c r="E60">
        <v>22285</v>
      </c>
      <c r="F60">
        <f>98/1060</f>
        <v>9.2452830188679239E-2</v>
      </c>
      <c r="G60">
        <f>LN((F60*E60)/(F56*E56))/(24*(C60-C56))</f>
        <v>6.857589279038323E-2</v>
      </c>
      <c r="H60">
        <f>LOG(F60/F56)</f>
        <v>1.6648902147637434</v>
      </c>
      <c r="I60">
        <v>5.8000000000000003E-2</v>
      </c>
      <c r="J60" t="s">
        <v>13</v>
      </c>
    </row>
    <row r="61" spans="1:10" x14ac:dyDescent="0.2">
      <c r="A61">
        <v>4</v>
      </c>
      <c r="B61">
        <v>300</v>
      </c>
      <c r="C61">
        <v>6</v>
      </c>
      <c r="D61" t="s">
        <v>4</v>
      </c>
      <c r="E61">
        <v>18302</v>
      </c>
      <c r="F61">
        <f>142/1075</f>
        <v>0.13209302325581396</v>
      </c>
      <c r="G61">
        <f>LN((F61*E61)/(F57*E57))/(24*(C61-C57))</f>
        <v>6.9686339752672855E-2</v>
      </c>
      <c r="H61">
        <f>LOG(F61/F57)</f>
        <v>1.8198498844674511</v>
      </c>
      <c r="I61">
        <v>5.8000000000000003E-2</v>
      </c>
      <c r="J61" t="s">
        <v>13</v>
      </c>
    </row>
    <row r="62" spans="1:10" x14ac:dyDescent="0.2">
      <c r="A62">
        <v>4</v>
      </c>
      <c r="B62" s="1">
        <v>600</v>
      </c>
      <c r="C62">
        <v>0</v>
      </c>
      <c r="D62" t="s">
        <v>3</v>
      </c>
      <c r="E62">
        <v>65</v>
      </c>
      <c r="F62">
        <f>1/500</f>
        <v>2E-3</v>
      </c>
      <c r="G62" t="s">
        <v>6</v>
      </c>
      <c r="H62" t="s">
        <v>6</v>
      </c>
      <c r="J62" t="s">
        <v>13</v>
      </c>
    </row>
    <row r="63" spans="1:10" x14ac:dyDescent="0.2">
      <c r="A63">
        <v>4</v>
      </c>
      <c r="B63" s="1">
        <v>600</v>
      </c>
      <c r="C63">
        <v>0</v>
      </c>
      <c r="D63" t="s">
        <v>4</v>
      </c>
      <c r="E63">
        <v>65</v>
      </c>
      <c r="F63">
        <f>1/500</f>
        <v>2E-3</v>
      </c>
      <c r="G63" t="s">
        <v>6</v>
      </c>
      <c r="H63" t="s">
        <v>6</v>
      </c>
      <c r="J63" t="s">
        <v>13</v>
      </c>
    </row>
    <row r="64" spans="1:10" x14ac:dyDescent="0.2">
      <c r="A64">
        <v>4</v>
      </c>
      <c r="B64" s="1">
        <v>600</v>
      </c>
      <c r="C64">
        <v>3</v>
      </c>
      <c r="D64" t="s">
        <v>3</v>
      </c>
      <c r="E64">
        <v>419</v>
      </c>
      <c r="F64">
        <f>87/410</f>
        <v>0.21219512195121951</v>
      </c>
      <c r="G64">
        <f>LN((F64*E64)/(F62*E62))/(24*(C64-C62))</f>
        <v>9.0664482047290593E-2</v>
      </c>
      <c r="H64">
        <f>LOG(F64/F62)</f>
        <v>2.025705400234902</v>
      </c>
      <c r="I64">
        <v>5.7000000000000002E-2</v>
      </c>
      <c r="J64" t="s">
        <v>13</v>
      </c>
    </row>
    <row r="65" spans="1:10" x14ac:dyDescent="0.2">
      <c r="A65">
        <v>4</v>
      </c>
      <c r="B65" s="1">
        <v>600</v>
      </c>
      <c r="C65">
        <v>3</v>
      </c>
      <c r="D65" t="s">
        <v>4</v>
      </c>
      <c r="E65">
        <v>476</v>
      </c>
      <c r="F65">
        <f>97/466</f>
        <v>0.20815450643776823</v>
      </c>
      <c r="G65">
        <f>LN((F65*E65)/(F63*E63))/(24*(C65-C63))</f>
        <v>9.2168944821329327E-2</v>
      </c>
      <c r="H65">
        <f>LOG(F65/F63)</f>
        <v>2.0173558219122634</v>
      </c>
      <c r="I65">
        <v>5.7000000000000002E-2</v>
      </c>
      <c r="J65" t="s">
        <v>13</v>
      </c>
    </row>
    <row r="66" spans="1:10" x14ac:dyDescent="0.2">
      <c r="A66">
        <v>4</v>
      </c>
      <c r="B66" s="1">
        <v>600</v>
      </c>
      <c r="C66">
        <v>6</v>
      </c>
      <c r="D66" t="s">
        <v>3</v>
      </c>
      <c r="E66">
        <v>4768</v>
      </c>
      <c r="F66">
        <f>304/895</f>
        <v>0.33966480446927372</v>
      </c>
      <c r="G66">
        <f>LN((F66*E66)/(F62*E62))/(24*(C66-C62))</f>
        <v>6.5486854308354908E-2</v>
      </c>
      <c r="H66">
        <f>LOG(F66/F62)</f>
        <v>2.2300205526288606</v>
      </c>
      <c r="I66">
        <v>5.7000000000000002E-2</v>
      </c>
      <c r="J66" t="s">
        <v>13</v>
      </c>
    </row>
    <row r="67" spans="1:10" x14ac:dyDescent="0.2">
      <c r="A67">
        <v>4</v>
      </c>
      <c r="B67" s="1">
        <v>600</v>
      </c>
      <c r="C67">
        <v>6</v>
      </c>
      <c r="D67" t="s">
        <v>4</v>
      </c>
      <c r="E67">
        <v>6311</v>
      </c>
      <c r="F67">
        <f>394/1052</f>
        <v>0.37452471482889732</v>
      </c>
      <c r="G67">
        <f>LN((F67*E67)/(F63*E63))/(24*(C67-C63))</f>
        <v>6.811231087577134E-2</v>
      </c>
      <c r="H67">
        <f>LOG(F67/F63)</f>
        <v>2.2724504863438728</v>
      </c>
      <c r="I67">
        <v>5.7000000000000002E-2</v>
      </c>
      <c r="J67" t="s">
        <v>13</v>
      </c>
    </row>
    <row r="68" spans="1:10" x14ac:dyDescent="0.2">
      <c r="A68">
        <v>4</v>
      </c>
      <c r="B68" s="1">
        <v>1200</v>
      </c>
      <c r="C68">
        <v>0</v>
      </c>
      <c r="D68" t="s">
        <v>3</v>
      </c>
      <c r="E68">
        <v>105</v>
      </c>
      <c r="F68">
        <f>1/500</f>
        <v>2E-3</v>
      </c>
      <c r="G68" t="s">
        <v>6</v>
      </c>
      <c r="H68" t="s">
        <v>6</v>
      </c>
      <c r="J68" t="s">
        <v>13</v>
      </c>
    </row>
    <row r="69" spans="1:10" x14ac:dyDescent="0.2">
      <c r="A69">
        <v>4</v>
      </c>
      <c r="B69" s="1">
        <v>1200</v>
      </c>
      <c r="C69">
        <v>0</v>
      </c>
      <c r="D69" t="s">
        <v>4</v>
      </c>
      <c r="E69">
        <v>105</v>
      </c>
      <c r="F69">
        <f>1/500</f>
        <v>2E-3</v>
      </c>
      <c r="G69" t="s">
        <v>6</v>
      </c>
      <c r="H69" t="s">
        <v>6</v>
      </c>
      <c r="J69" t="s">
        <v>13</v>
      </c>
    </row>
    <row r="70" spans="1:10" x14ac:dyDescent="0.2">
      <c r="A70">
        <v>4</v>
      </c>
      <c r="B70" s="1">
        <v>1200</v>
      </c>
      <c r="C70">
        <v>3</v>
      </c>
      <c r="D70" t="s">
        <v>3</v>
      </c>
      <c r="E70">
        <v>141</v>
      </c>
      <c r="F70">
        <f>62/135</f>
        <v>0.45925925925925926</v>
      </c>
      <c r="G70">
        <f>LN((F70*E70)/(F68*E68))/(24*(C70-C68))</f>
        <v>7.9600933961798598E-2</v>
      </c>
      <c r="H70">
        <f>LOG(F70/F68)</f>
        <v>2.3610279253392665</v>
      </c>
      <c r="I70">
        <v>5.6000000000000001E-2</v>
      </c>
      <c r="J70" t="s">
        <v>13</v>
      </c>
    </row>
    <row r="71" spans="1:10" x14ac:dyDescent="0.2">
      <c r="A71">
        <v>4</v>
      </c>
      <c r="B71" s="1">
        <v>1200</v>
      </c>
      <c r="C71">
        <v>3</v>
      </c>
      <c r="D71" t="s">
        <v>4</v>
      </c>
      <c r="E71">
        <v>230</v>
      </c>
      <c r="F71">
        <f>80/223</f>
        <v>0.35874439461883406</v>
      </c>
      <c r="G71">
        <f>LN((F71*E71)/(F69*E69))/(24*(C71-C69))</f>
        <v>8.2966415561133697E-2</v>
      </c>
      <c r="H71">
        <f>LOG(F71/F69)</f>
        <v>2.2537551282798018</v>
      </c>
      <c r="I71">
        <v>5.6000000000000001E-2</v>
      </c>
      <c r="J71" t="s">
        <v>13</v>
      </c>
    </row>
    <row r="72" spans="1:10" x14ac:dyDescent="0.2">
      <c r="A72">
        <v>4</v>
      </c>
      <c r="B72" s="1">
        <v>1200</v>
      </c>
      <c r="C72">
        <v>6</v>
      </c>
      <c r="D72" t="s">
        <v>3</v>
      </c>
      <c r="E72">
        <v>3149</v>
      </c>
      <c r="F72">
        <f>421/1390</f>
        <v>0.30287769784172663</v>
      </c>
      <c r="G72">
        <f>LN((F72*E72)/(F68*E68))/(24*(C72-C68))</f>
        <v>5.8479595673078727E-2</v>
      </c>
      <c r="H72">
        <f>LOG(F72/F68)</f>
        <v>2.1802372999175921</v>
      </c>
      <c r="I72">
        <v>5.6000000000000001E-2</v>
      </c>
      <c r="J72" t="s">
        <v>13</v>
      </c>
    </row>
    <row r="73" spans="1:10" x14ac:dyDescent="0.2">
      <c r="A73">
        <v>4</v>
      </c>
      <c r="B73" s="1">
        <v>1200</v>
      </c>
      <c r="C73">
        <v>6</v>
      </c>
      <c r="D73" t="s">
        <v>4</v>
      </c>
      <c r="E73">
        <v>3871</v>
      </c>
      <c r="F73">
        <f>494/1243</f>
        <v>0.39742558326629124</v>
      </c>
      <c r="G73">
        <f>LN((F73*E73)/(F69*E69))/(24*(C73-C69))</f>
        <v>6.1799780031385608E-2</v>
      </c>
      <c r="H73">
        <f>LOG(F73/F69)</f>
        <v>2.2982258246180209</v>
      </c>
      <c r="I73">
        <v>5.6000000000000001E-2</v>
      </c>
      <c r="J73" t="s">
        <v>13</v>
      </c>
    </row>
  </sheetData>
  <conditionalFormatting sqref="G4:G7 G10:G13 G16:G19 G22:G25 G28:G31 G34:G37 G40:G43 G46:G49 G52:G55 G58:G61 G64:G67 G70:G7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4:H7 H10:H13 H16:H19 H22:H25 H28:H31 H34:H37 H40:H43 H46:H49 H52:H55 H58:H61 H64:H67 H70:H7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Haider Inam</dc:creator>
  <cp:lastModifiedBy>Inam, Haider</cp:lastModifiedBy>
  <dcterms:created xsi:type="dcterms:W3CDTF">2024-08-04T14:39:28Z</dcterms:created>
  <dcterms:modified xsi:type="dcterms:W3CDTF">2024-08-11T20:08:15Z</dcterms:modified>
</cp:coreProperties>
</file>