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/>
  <mc:AlternateContent xmlns:mc="http://schemas.openxmlformats.org/markup-compatibility/2006">
    <mc:Choice Requires="x15">
      <x15ac:absPath xmlns:x15ac="http://schemas.microsoft.com/office/spreadsheetml/2010/11/ac" url="/Users/phuonglinh/Documents/CROSSNOVATION/"/>
    </mc:Choice>
  </mc:AlternateContent>
  <xr:revisionPtr revIDLastSave="0" documentId="13_ncr:1_{8EABC8D9-CAB9-6D4F-9ADD-5E323F8BF248}" xr6:coauthVersionLast="47" xr6:coauthVersionMax="47" xr10:uidLastSave="{00000000-0000-0000-0000-000000000000}"/>
  <bookViews>
    <workbookView xWindow="0" yWindow="500" windowWidth="28800" windowHeight="17500" xr2:uid="{1C740669-42C3-E543-92D3-480D62356823}"/>
  </bookViews>
  <sheets>
    <sheet name="Cash Flow" sheetId="3" r:id="rId1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6" i="3" l="1"/>
  <c r="C105" i="3"/>
  <c r="C103" i="3"/>
  <c r="C102" i="3"/>
  <c r="C101" i="3"/>
  <c r="G91" i="3"/>
  <c r="I75" i="3"/>
  <c r="J75" i="3" s="1"/>
  <c r="K75" i="3" s="1"/>
  <c r="L75" i="3" s="1"/>
  <c r="M75" i="3" s="1"/>
  <c r="I74" i="3"/>
  <c r="J74" i="3" s="1"/>
  <c r="K74" i="3" s="1"/>
  <c r="L74" i="3" s="1"/>
  <c r="M74" i="3" s="1"/>
  <c r="I73" i="3"/>
  <c r="J73" i="3" s="1"/>
  <c r="K73" i="3" s="1"/>
  <c r="L73" i="3" s="1"/>
  <c r="M73" i="3" s="1"/>
  <c r="M67" i="3"/>
  <c r="S67" i="3" s="1"/>
  <c r="L67" i="3"/>
  <c r="K67" i="3"/>
  <c r="Q67" i="3" s="1"/>
  <c r="E79" i="3" s="1"/>
  <c r="J67" i="3"/>
  <c r="P67" i="3" s="1"/>
  <c r="I67" i="3"/>
  <c r="O67" i="3" s="1"/>
  <c r="H67" i="3"/>
  <c r="N67" i="3" s="1"/>
  <c r="D60" i="3"/>
  <c r="E60" i="3" s="1"/>
  <c r="E59" i="3"/>
  <c r="D58" i="3"/>
  <c r="E58" i="3" s="1"/>
  <c r="D57" i="3"/>
  <c r="E57" i="3" s="1"/>
  <c r="E56" i="3"/>
  <c r="D52" i="3"/>
  <c r="E52" i="3" s="1"/>
  <c r="D51" i="3"/>
  <c r="E51" i="3" s="1"/>
  <c r="D50" i="3"/>
  <c r="E50" i="3" s="1"/>
  <c r="D49" i="3"/>
  <c r="E49" i="3" s="1"/>
  <c r="D44" i="3"/>
  <c r="E44" i="3" s="1"/>
  <c r="E43" i="3"/>
  <c r="D42" i="3"/>
  <c r="E42" i="3" s="1"/>
  <c r="D41" i="3"/>
  <c r="E41" i="3" s="1"/>
  <c r="D40" i="3"/>
  <c r="E33" i="3"/>
  <c r="C32" i="3"/>
  <c r="E32" i="3" s="1"/>
  <c r="E31" i="3"/>
  <c r="E22" i="3"/>
  <c r="F22" i="3" s="1"/>
  <c r="E20" i="3"/>
  <c r="F20" i="3" s="1"/>
  <c r="E19" i="3"/>
  <c r="F19" i="3" s="1"/>
  <c r="E18" i="3"/>
  <c r="F18" i="3" s="1"/>
  <c r="E17" i="3"/>
  <c r="F17" i="3" s="1"/>
  <c r="E14" i="3"/>
  <c r="F14" i="3" s="1"/>
  <c r="E13" i="3"/>
  <c r="F13" i="3" s="1"/>
  <c r="E12" i="3"/>
  <c r="E11" i="3"/>
  <c r="F11" i="3" s="1"/>
  <c r="E9" i="3"/>
  <c r="F9" i="3" s="1"/>
  <c r="E34" i="3" l="1"/>
  <c r="B68" i="3" s="1"/>
  <c r="E35" i="3"/>
  <c r="C68" i="3" s="1"/>
  <c r="D61" i="3"/>
  <c r="D24" i="3"/>
  <c r="E61" i="3"/>
  <c r="D48" i="3"/>
  <c r="D45" i="3"/>
  <c r="E40" i="3"/>
  <c r="E45" i="3" s="1"/>
  <c r="N75" i="3"/>
  <c r="O75" i="3" s="1"/>
  <c r="P75" i="3" s="1"/>
  <c r="Q75" i="3" s="1"/>
  <c r="R75" i="3" s="1"/>
  <c r="S75" i="3" s="1"/>
  <c r="B87" i="3" s="1"/>
  <c r="C87" i="3" s="1"/>
  <c r="D87" i="3" s="1"/>
  <c r="E87" i="3" s="1"/>
  <c r="G79" i="3"/>
  <c r="F12" i="3"/>
  <c r="K79" i="3"/>
  <c r="B79" i="3"/>
  <c r="C79" i="3"/>
  <c r="N73" i="3"/>
  <c r="O73" i="3" s="1"/>
  <c r="P73" i="3" s="1"/>
  <c r="Q73" i="3" s="1"/>
  <c r="R73" i="3" s="1"/>
  <c r="S73" i="3" s="1"/>
  <c r="B85" i="3" s="1"/>
  <c r="C85" i="3" s="1"/>
  <c r="D85" i="3" s="1"/>
  <c r="E85" i="3" s="1"/>
  <c r="R67" i="3"/>
  <c r="N74" i="3"/>
  <c r="O74" i="3" s="1"/>
  <c r="P74" i="3" s="1"/>
  <c r="Q74" i="3" s="1"/>
  <c r="R74" i="3" s="1"/>
  <c r="S74" i="3" s="1"/>
  <c r="B86" i="3" s="1"/>
  <c r="C86" i="3" s="1"/>
  <c r="D86" i="3" s="1"/>
  <c r="E86" i="3" s="1"/>
  <c r="I68" i="3"/>
  <c r="N68" i="3" s="1"/>
  <c r="D79" i="3"/>
  <c r="H68" i="3" l="1"/>
  <c r="I80" i="3"/>
  <c r="F68" i="3"/>
  <c r="R68" i="3" s="1"/>
  <c r="D68" i="3"/>
  <c r="C80" i="3" s="1"/>
  <c r="H80" i="3" s="1"/>
  <c r="D35" i="3"/>
  <c r="E68" i="3"/>
  <c r="K80" i="3" s="1"/>
  <c r="G68" i="3"/>
  <c r="S68" i="3" s="1"/>
  <c r="O68" i="3"/>
  <c r="B80" i="3" s="1"/>
  <c r="D34" i="3"/>
  <c r="J68" i="3"/>
  <c r="K68" i="3" s="1"/>
  <c r="L68" i="3" s="1"/>
  <c r="M68" i="3" s="1"/>
  <c r="H79" i="3"/>
  <c r="M79" i="3"/>
  <c r="F85" i="3"/>
  <c r="G85" i="3" s="1"/>
  <c r="H85" i="3" s="1"/>
  <c r="F87" i="3"/>
  <c r="G87" i="3" s="1"/>
  <c r="H87" i="3" s="1"/>
  <c r="I87" i="3" s="1"/>
  <c r="J87" i="3" s="1"/>
  <c r="K87" i="3" s="1"/>
  <c r="F79" i="3"/>
  <c r="F86" i="3"/>
  <c r="G86" i="3" s="1"/>
  <c r="H86" i="3" s="1"/>
  <c r="I86" i="3" s="1"/>
  <c r="J86" i="3" s="1"/>
  <c r="K86" i="3" s="1"/>
  <c r="Q79" i="3"/>
  <c r="E90" i="3" s="1"/>
  <c r="K90" i="3" s="1"/>
  <c r="Q90" i="3" s="1"/>
  <c r="J79" i="3"/>
  <c r="I79" i="3"/>
  <c r="D53" i="3"/>
  <c r="E48" i="3"/>
  <c r="E53" i="3" s="1"/>
  <c r="G69" i="3" s="1"/>
  <c r="L80" i="3" l="1"/>
  <c r="E80" i="3"/>
  <c r="D106" i="3"/>
  <c r="P68" i="3"/>
  <c r="M80" i="3"/>
  <c r="I69" i="3"/>
  <c r="D80" i="3"/>
  <c r="J80" i="3"/>
  <c r="Q68" i="3"/>
  <c r="F80" i="3"/>
  <c r="G80" i="3" s="1"/>
  <c r="S80" i="3"/>
  <c r="F91" i="3" s="1"/>
  <c r="F81" i="3"/>
  <c r="G81" i="3"/>
  <c r="B81" i="3"/>
  <c r="C69" i="3"/>
  <c r="D69" i="3"/>
  <c r="H81" i="3"/>
  <c r="D81" i="3"/>
  <c r="R69" i="3"/>
  <c r="R70" i="3" s="1"/>
  <c r="O69" i="3"/>
  <c r="O70" i="3" s="1"/>
  <c r="M69" i="3"/>
  <c r="S69" i="3"/>
  <c r="S70" i="3" s="1"/>
  <c r="Q69" i="3"/>
  <c r="K69" i="3"/>
  <c r="I85" i="3"/>
  <c r="L86" i="3"/>
  <c r="M86" i="3" s="1"/>
  <c r="N86" i="3" s="1"/>
  <c r="O86" i="3" s="1"/>
  <c r="L79" i="3"/>
  <c r="L87" i="3"/>
  <c r="M87" i="3" s="1"/>
  <c r="N87" i="3" s="1"/>
  <c r="O87" i="3" s="1"/>
  <c r="C81" i="3"/>
  <c r="E69" i="3"/>
  <c r="N69" i="3"/>
  <c r="P69" i="3"/>
  <c r="S79" i="3"/>
  <c r="G90" i="3" s="1"/>
  <c r="M90" i="3" s="1"/>
  <c r="S90" i="3" s="1"/>
  <c r="E81" i="3"/>
  <c r="O79" i="3"/>
  <c r="C90" i="3" s="1"/>
  <c r="I90" i="3" s="1"/>
  <c r="O90" i="3" s="1"/>
  <c r="P79" i="3"/>
  <c r="D90" i="3" s="1"/>
  <c r="J90" i="3" s="1"/>
  <c r="P90" i="3" s="1"/>
  <c r="F69" i="3"/>
  <c r="N79" i="3"/>
  <c r="B90" i="3" s="1"/>
  <c r="H90" i="3" s="1"/>
  <c r="N90" i="3" s="1"/>
  <c r="H69" i="3"/>
  <c r="L69" i="3"/>
  <c r="J69" i="3"/>
  <c r="G106" i="3" l="1"/>
  <c r="G105" i="3" s="1"/>
  <c r="Q70" i="3"/>
  <c r="F106" i="3"/>
  <c r="F105" i="3" s="1"/>
  <c r="D105" i="3"/>
  <c r="P70" i="3"/>
  <c r="N80" i="3"/>
  <c r="Q80" i="3"/>
  <c r="D91" i="3" s="1"/>
  <c r="J91" i="3" s="1"/>
  <c r="P80" i="3"/>
  <c r="C91" i="3" s="1"/>
  <c r="O91" i="3" s="1"/>
  <c r="O80" i="3"/>
  <c r="B91" i="3" s="1"/>
  <c r="N91" i="3" s="1"/>
  <c r="R80" i="3"/>
  <c r="E91" i="3" s="1"/>
  <c r="Q91" i="3" s="1"/>
  <c r="E106" i="3"/>
  <c r="E105" i="3" s="1"/>
  <c r="H106" i="3"/>
  <c r="B70" i="3"/>
  <c r="B71" i="3" s="1"/>
  <c r="B72" i="3" s="1"/>
  <c r="D103" i="3" s="1"/>
  <c r="D101" i="3" s="1"/>
  <c r="G108" i="3"/>
  <c r="D108" i="3"/>
  <c r="D110" i="3" s="1"/>
  <c r="O97" i="3"/>
  <c r="G97" i="3"/>
  <c r="R97" i="3"/>
  <c r="N97" i="3"/>
  <c r="F97" i="3"/>
  <c r="S97" i="3"/>
  <c r="J97" i="3"/>
  <c r="M97" i="3"/>
  <c r="E97" i="3"/>
  <c r="C97" i="3"/>
  <c r="P97" i="3"/>
  <c r="H97" i="3"/>
  <c r="L97" i="3"/>
  <c r="D97" i="3"/>
  <c r="K97" i="3"/>
  <c r="B97" i="3"/>
  <c r="Q97" i="3"/>
  <c r="I97" i="3"/>
  <c r="P86" i="3"/>
  <c r="Q86" i="3" s="1"/>
  <c r="R86" i="3" s="1"/>
  <c r="S86" i="3" s="1"/>
  <c r="M98" i="3"/>
  <c r="E98" i="3"/>
  <c r="I98" i="3"/>
  <c r="L98" i="3"/>
  <c r="D98" i="3"/>
  <c r="S98" i="3"/>
  <c r="K98" i="3"/>
  <c r="C98" i="3"/>
  <c r="P98" i="3"/>
  <c r="H98" i="3"/>
  <c r="N98" i="3"/>
  <c r="F98" i="3"/>
  <c r="R98" i="3"/>
  <c r="J98" i="3"/>
  <c r="B98" i="3"/>
  <c r="Q98" i="3"/>
  <c r="G98" i="3"/>
  <c r="O98" i="3"/>
  <c r="P87" i="3"/>
  <c r="Q87" i="3" s="1"/>
  <c r="R87" i="3" s="1"/>
  <c r="S87" i="3" s="1"/>
  <c r="E108" i="3"/>
  <c r="H70" i="3"/>
  <c r="R79" i="3"/>
  <c r="F90" i="3" s="1"/>
  <c r="L90" i="3" s="1"/>
  <c r="R90" i="3" s="1"/>
  <c r="L91" i="3"/>
  <c r="R91" i="3"/>
  <c r="F108" i="3"/>
  <c r="N70" i="3"/>
  <c r="B82" i="3"/>
  <c r="J85" i="3"/>
  <c r="I81" i="3"/>
  <c r="F110" i="3" l="1"/>
  <c r="H116" i="3"/>
  <c r="G110" i="3"/>
  <c r="K91" i="3"/>
  <c r="P91" i="3"/>
  <c r="I91" i="3"/>
  <c r="I106" i="3"/>
  <c r="J106" i="3"/>
  <c r="H91" i="3"/>
  <c r="E110" i="3"/>
  <c r="B83" i="3"/>
  <c r="B84" i="3" s="1"/>
  <c r="G103" i="3" s="1"/>
  <c r="G101" i="3" s="1"/>
  <c r="H71" i="3"/>
  <c r="H72" i="3" s="1"/>
  <c r="E103" i="3" s="1"/>
  <c r="E101" i="3" s="1"/>
  <c r="M91" i="3"/>
  <c r="S91" i="3"/>
  <c r="K85" i="3"/>
  <c r="J81" i="3"/>
  <c r="N71" i="3"/>
  <c r="N72" i="3" s="1"/>
  <c r="F103" i="3" s="1"/>
  <c r="F101" i="3" s="1"/>
  <c r="E116" i="3" l="1"/>
  <c r="E115" i="3" s="1"/>
  <c r="E119" i="3" s="1"/>
  <c r="F116" i="3"/>
  <c r="F115" i="3" s="1"/>
  <c r="G116" i="3"/>
  <c r="G115" i="3" s="1"/>
  <c r="D116" i="3"/>
  <c r="D115" i="3" s="1"/>
  <c r="L106" i="3"/>
  <c r="K106" i="3"/>
  <c r="K81" i="3"/>
  <c r="L85" i="3"/>
  <c r="F119" i="3" l="1"/>
  <c r="G119" i="3" s="1"/>
  <c r="L81" i="3"/>
  <c r="M85" i="3"/>
  <c r="M81" i="3" l="1"/>
  <c r="H82" i="3" s="1"/>
  <c r="N85" i="3"/>
  <c r="H108" i="3" l="1"/>
  <c r="N81" i="3"/>
  <c r="O85" i="3"/>
  <c r="H83" i="3"/>
  <c r="H84" i="3" s="1"/>
  <c r="H110" i="3" l="1"/>
  <c r="H114" i="3"/>
  <c r="H115" i="3" s="1"/>
  <c r="H119" i="3" s="1"/>
  <c r="H103" i="3"/>
  <c r="H101" i="3" s="1"/>
  <c r="Q96" i="3"/>
  <c r="I96" i="3"/>
  <c r="M96" i="3"/>
  <c r="P96" i="3"/>
  <c r="H96" i="3"/>
  <c r="D96" i="3"/>
  <c r="O96" i="3"/>
  <c r="G96" i="3"/>
  <c r="L96" i="3"/>
  <c r="R96" i="3"/>
  <c r="J96" i="3"/>
  <c r="B96" i="3"/>
  <c r="N96" i="3"/>
  <c r="F96" i="3"/>
  <c r="E96" i="3"/>
  <c r="S96" i="3"/>
  <c r="K96" i="3"/>
  <c r="C96" i="3"/>
  <c r="O81" i="3"/>
  <c r="P85" i="3"/>
  <c r="L92" i="3" l="1"/>
  <c r="D92" i="3"/>
  <c r="H92" i="3"/>
  <c r="S92" i="3"/>
  <c r="K92" i="3"/>
  <c r="C92" i="3"/>
  <c r="R92" i="3"/>
  <c r="J92" i="3"/>
  <c r="B92" i="3"/>
  <c r="O92" i="3"/>
  <c r="M92" i="3"/>
  <c r="E92" i="3"/>
  <c r="Q92" i="3"/>
  <c r="I92" i="3"/>
  <c r="P92" i="3"/>
  <c r="G92" i="3"/>
  <c r="N92" i="3"/>
  <c r="F92" i="3"/>
  <c r="P81" i="3"/>
  <c r="Q85" i="3"/>
  <c r="Q81" i="3" l="1"/>
  <c r="R85" i="3"/>
  <c r="K108" i="3"/>
  <c r="K110" i="3" s="1"/>
  <c r="H93" i="3"/>
  <c r="L108" i="3"/>
  <c r="L110" i="3" s="1"/>
  <c r="N93" i="3"/>
  <c r="B93" i="3"/>
  <c r="J108" i="3"/>
  <c r="J110" i="3" s="1"/>
  <c r="N94" i="3" l="1"/>
  <c r="N95" i="3" s="1"/>
  <c r="L103" i="3" s="1"/>
  <c r="L101" i="3" s="1"/>
  <c r="H94" i="3"/>
  <c r="H95" i="3" s="1"/>
  <c r="K103" i="3" s="1"/>
  <c r="K101" i="3" s="1"/>
  <c r="R81" i="3"/>
  <c r="S85" i="3"/>
  <c r="S81" i="3" s="1"/>
  <c r="B94" i="3"/>
  <c r="B95" i="3" s="1"/>
  <c r="J103" i="3" s="1"/>
  <c r="J101" i="3" s="1"/>
  <c r="I108" i="3" l="1"/>
  <c r="N82" i="3"/>
  <c r="N83" i="3" l="1"/>
  <c r="N84" i="3" s="1"/>
  <c r="I103" i="3" s="1"/>
  <c r="I110" i="3"/>
  <c r="C111" i="3" s="1"/>
  <c r="C108" i="3"/>
  <c r="I101" i="3" l="1"/>
</calcChain>
</file>

<file path=xl/sharedStrings.xml><?xml version="1.0" encoding="utf-8"?>
<sst xmlns="http://schemas.openxmlformats.org/spreadsheetml/2006/main" count="238" uniqueCount="117">
  <si>
    <t>Cost</t>
  </si>
  <si>
    <t>vnd</t>
  </si>
  <si>
    <t>aud</t>
  </si>
  <si>
    <t xml:space="preserve">Tour guide </t>
  </si>
  <si>
    <t>per year</t>
  </si>
  <si>
    <t xml:space="preserve">Quantity </t>
  </si>
  <si>
    <t>Marketing</t>
  </si>
  <si>
    <t xml:space="preserve">Custom layouts, graphics tailored to brand, uder-friendly naviigation and mobile responsiveness. </t>
  </si>
  <si>
    <t>Information section: Content management system to update content</t>
  </si>
  <si>
    <t>Static pages: about us, contact, FAQ, Blog, destination to info pages</t>
  </si>
  <si>
    <t>Purchasing packages section: e-commerce functionality: Paypal, booking system including user accounts and order management</t>
  </si>
  <si>
    <t>Browsing layout: location, price, duration</t>
  </si>
  <si>
    <t xml:space="preserve">Game/quizzes about travel destination. </t>
  </si>
  <si>
    <t>Integration and testing.</t>
  </si>
  <si>
    <t>SEO optimisation</t>
  </si>
  <si>
    <t>Details</t>
  </si>
  <si>
    <t>Website maintenance</t>
  </si>
  <si>
    <t>Due to weather concerns, we focus on our activities in some of the best months of the year</t>
  </si>
  <si>
    <t>This include: Summer and Fall in Vietnam</t>
  </si>
  <si>
    <t>This falls on: Winter and Spring of Australia</t>
  </si>
  <si>
    <t xml:space="preserve">Perfect time for Australians to travel and avoid the freezing winter of Australia </t>
  </si>
  <si>
    <t>Operation license</t>
  </si>
  <si>
    <t>Office</t>
  </si>
  <si>
    <t>Start up cost</t>
  </si>
  <si>
    <t>Operational cost</t>
  </si>
  <si>
    <t>Ongoing expenses</t>
  </si>
  <si>
    <t>Utilities</t>
  </si>
  <si>
    <t>Per year</t>
  </si>
  <si>
    <t>Training and development</t>
  </si>
  <si>
    <t>Customer support/sales person</t>
  </si>
  <si>
    <t>Computers</t>
  </si>
  <si>
    <t xml:space="preserve">Website </t>
  </si>
  <si>
    <t>Social media platform</t>
  </si>
  <si>
    <t>Email marketing</t>
  </si>
  <si>
    <t>Operation period per year:</t>
  </si>
  <si>
    <t>6 months</t>
  </si>
  <si>
    <t>One-off establishment cost</t>
  </si>
  <si>
    <t>Total</t>
  </si>
  <si>
    <t>Advertisments</t>
  </si>
  <si>
    <t>Top search in the first few years to obtain attention</t>
  </si>
  <si>
    <t>Office bills</t>
  </si>
  <si>
    <t>Customer service, sales, research about potential villages</t>
  </si>
  <si>
    <t>Tour guide</t>
  </si>
  <si>
    <t>Insurance</t>
  </si>
  <si>
    <t>Percentage</t>
  </si>
  <si>
    <t xml:space="preserve">1 person: </t>
  </si>
  <si>
    <t>min</t>
  </si>
  <si>
    <t>medium</t>
  </si>
  <si>
    <t>max</t>
  </si>
  <si>
    <t xml:space="preserve">Car </t>
  </si>
  <si>
    <t>Airplane</t>
  </si>
  <si>
    <t xml:space="preserve">Acommodation </t>
  </si>
  <si>
    <t xml:space="preserve">Food </t>
  </si>
  <si>
    <t>2 people:</t>
  </si>
  <si>
    <t>Car 3 days</t>
  </si>
  <si>
    <t>Tour guide 3 days a week</t>
  </si>
  <si>
    <t>4 people:</t>
  </si>
  <si>
    <t>Price</t>
  </si>
  <si>
    <t>Cost per month</t>
  </si>
  <si>
    <t>Profit</t>
  </si>
  <si>
    <t>Profit per tour per person</t>
  </si>
  <si>
    <t>Profit per tour per couple</t>
  </si>
  <si>
    <t>Profit per tour per family</t>
  </si>
  <si>
    <t>3-day trip forecasted cost</t>
  </si>
  <si>
    <t>3-day trip forecasted profit</t>
  </si>
  <si>
    <t>Cash Flow</t>
  </si>
  <si>
    <t>Total cost initially</t>
  </si>
  <si>
    <t>May</t>
  </si>
  <si>
    <t>June</t>
  </si>
  <si>
    <t>July</t>
  </si>
  <si>
    <t>August</t>
  </si>
  <si>
    <t>September</t>
  </si>
  <si>
    <t>October</t>
  </si>
  <si>
    <t>Year 1</t>
  </si>
  <si>
    <t>Equity deposit</t>
  </si>
  <si>
    <t>Tour manager</t>
  </si>
  <si>
    <t>Qualidief from a uni in tourism, license to be international tour operator</t>
  </si>
  <si>
    <t>At least 3 contract full time to obtain license</t>
  </si>
  <si>
    <t>year 2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</si>
  <si>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</si>
  <si>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</si>
  <si>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</si>
  <si>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</si>
  <si>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</si>
  <si>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</si>
  <si>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</si>
  <si>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</si>
  <si>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NPV</t>
  </si>
  <si>
    <t>IRR</t>
  </si>
  <si>
    <t>Expansion</t>
  </si>
  <si>
    <t>Monthly expected sales - indi</t>
  </si>
  <si>
    <t>Monthly expected sales - family</t>
  </si>
  <si>
    <t>Profit before tax per year</t>
  </si>
  <si>
    <t>Monthly expected sales - couple</t>
  </si>
  <si>
    <t>Tax</t>
  </si>
  <si>
    <t>Expected Revenue</t>
  </si>
  <si>
    <t>Profit before after per year</t>
  </si>
  <si>
    <t>year 1</t>
  </si>
  <si>
    <t>year 3</t>
  </si>
  <si>
    <t>year 4</t>
  </si>
  <si>
    <t>year 5</t>
  </si>
  <si>
    <t>year 6</t>
  </si>
  <si>
    <t>year 7</t>
  </si>
  <si>
    <t>year 8</t>
  </si>
  <si>
    <t>year 9</t>
  </si>
  <si>
    <t>Capital needed</t>
  </si>
  <si>
    <t>Profit flow</t>
  </si>
  <si>
    <t>Cost flow</t>
  </si>
  <si>
    <t>Revenue flow</t>
  </si>
  <si>
    <t xml:space="preserve">Total 9-year revenue </t>
  </si>
  <si>
    <t>Profit before tax</t>
  </si>
  <si>
    <t>Retained earnings = Profit after tax</t>
  </si>
  <si>
    <t xml:space="preserve"> </t>
  </si>
  <si>
    <t>MOIC</t>
  </si>
  <si>
    <t>Exponential factor</t>
  </si>
  <si>
    <t>Column1</t>
  </si>
  <si>
    <t>Representative data for visualisation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</si>
</sst>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&quot;£&quot;* #,##0.00_);_(&quot;£&quot;* \(#,##0.00\);_(&quot;£&quot;* &quot;-&quot;??_);_(@_)"/>
    <numFmt numFmtId="165" formatCode="_-&quot;$&quot;* #,##0_-;\-&quot;$&quot;* #,##0_-;_-&quot;$&quot;* &quot;-&quot;??_-;_-@_-"/>
    <numFmt numFmtId="166" formatCode="_([$$-409]* #,##0.00_);_([$$-409]* \(#,##0.00\);_([$$-409]* &quot;-&quot;??_);_(@_)"/>
  </numFmts>
  <fonts count="15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2"/>
      <color theme="1"/>
      <name val="Aptos Narrow"/>
      <scheme val="minor"/>
    </font>
    <font>
      <b/>
      <sz val="11"/>
      <color theme="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rgb="FF002060"/>
      <name val="Aptos Narrow"/>
      <family val="2"/>
      <scheme val="minor"/>
    </font>
    <font>
      <sz val="12"/>
      <color theme="5"/>
      <name val="Aptos Narrow"/>
      <family val="2"/>
      <scheme val="minor"/>
    </font>
    <font>
      <sz val="8"/>
      <name val="Aptos Narrow"/>
      <family val="2"/>
      <scheme val="minor"/>
    </font>
    <font>
      <b/>
      <sz val="12"/>
      <color theme="0"/>
      <name val="Aptos Narrow"/>
      <scheme val="minor"/>
    </font>
    <font>
      <b/>
      <sz val="12"/>
      <color theme="1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b/>
      <sz val="12"/>
      <name val="Aptos Narrow"/>
      <family val="2"/>
      <scheme val="minor"/>
    </font>
    <font>
      <sz val="12"/>
      <name val="Aptos Narrow"/>
      <family val="2"/>
      <scheme val="minor"/>
    </font>
    <font>
      <b/>
      <sz val="12"/>
      <color theme="9" tint="-0.249977111117893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499984740745262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indexed="64"/>
      </right>
      <top style="thin">
        <color theme="4" tint="0.39997558519241921"/>
      </top>
      <bottom/>
      <diagonal/>
    </border>
    <border>
      <left style="thin">
        <color indexed="64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theme="4" tint="0.39997558519241921"/>
      </top>
      <bottom style="thin">
        <color auto="1"/>
      </bottom>
      <diagonal/>
    </border>
    <border>
      <left/>
      <right/>
      <top style="thin">
        <color theme="4" tint="0.3999755851924192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4">
    <xf numFmtId="0" fontId="0" fillId="0" borderId="0" xfId="0"/>
    <xf numFmtId="43" fontId="2" fillId="2" borderId="1" xfId="1" applyFont="1" applyFill="1" applyBorder="1"/>
    <xf numFmtId="43" fontId="2" fillId="2" borderId="0" xfId="1" applyFont="1" applyFill="1"/>
    <xf numFmtId="43" fontId="1" fillId="0" borderId="0" xfId="1" applyFont="1"/>
    <xf numFmtId="43" fontId="1" fillId="0" borderId="10" xfId="1" applyFont="1" applyBorder="1"/>
    <xf numFmtId="43" fontId="1" fillId="0" borderId="0" xfId="0" applyNumberFormat="1" applyFont="1"/>
    <xf numFmtId="43" fontId="1" fillId="0" borderId="5" xfId="1" applyFont="1" applyBorder="1"/>
    <xf numFmtId="43" fontId="1" fillId="0" borderId="6" xfId="1" applyFont="1" applyBorder="1"/>
    <xf numFmtId="43" fontId="1" fillId="0" borderId="11" xfId="1" applyFont="1" applyBorder="1"/>
    <xf numFmtId="43" fontId="1" fillId="0" borderId="8" xfId="1" applyFont="1" applyBorder="1"/>
    <xf numFmtId="43" fontId="1" fillId="0" borderId="7" xfId="1" applyFont="1" applyBorder="1"/>
    <xf numFmtId="0" fontId="4" fillId="2" borderId="13" xfId="0" applyFont="1" applyFill="1" applyBorder="1"/>
    <xf numFmtId="0" fontId="5" fillId="2" borderId="3" xfId="0" applyFont="1" applyFill="1" applyBorder="1"/>
    <xf numFmtId="0" fontId="5" fillId="2" borderId="5" xfId="0" applyFont="1" applyFill="1" applyBorder="1"/>
    <xf numFmtId="0" fontId="4" fillId="2" borderId="14" xfId="0" applyFont="1" applyFill="1" applyBorder="1"/>
    <xf numFmtId="0" fontId="4" fillId="2" borderId="15" xfId="0" applyFont="1" applyFill="1" applyBorder="1"/>
    <xf numFmtId="0" fontId="4" fillId="2" borderId="16" xfId="0" applyFont="1" applyFill="1" applyBorder="1"/>
    <xf numFmtId="0" fontId="6" fillId="0" borderId="14" xfId="0" applyFont="1" applyBorder="1"/>
    <xf numFmtId="165" fontId="6" fillId="0" borderId="15" xfId="2" applyNumberFormat="1" applyFont="1" applyFill="1" applyBorder="1"/>
    <xf numFmtId="165" fontId="6" fillId="0" borderId="16" xfId="2" applyNumberFormat="1" applyFont="1" applyFill="1" applyBorder="1"/>
    <xf numFmtId="0" fontId="6" fillId="0" borderId="17" xfId="0" applyFont="1" applyBorder="1"/>
    <xf numFmtId="165" fontId="6" fillId="0" borderId="4" xfId="2" applyNumberFormat="1" applyFont="1" applyFill="1" applyBorder="1"/>
    <xf numFmtId="165" fontId="6" fillId="0" borderId="18" xfId="2" applyNumberFormat="1" applyFont="1" applyFill="1" applyBorder="1"/>
    <xf numFmtId="0" fontId="6" fillId="0" borderId="11" xfId="0" applyFont="1" applyBorder="1"/>
    <xf numFmtId="165" fontId="6" fillId="0" borderId="8" xfId="2" applyNumberFormat="1" applyFont="1" applyFill="1" applyBorder="1"/>
    <xf numFmtId="165" fontId="6" fillId="0" borderId="7" xfId="2" applyNumberFormat="1" applyFont="1" applyFill="1" applyBorder="1"/>
    <xf numFmtId="0" fontId="6" fillId="0" borderId="0" xfId="0" applyFont="1"/>
    <xf numFmtId="0" fontId="4" fillId="2" borderId="3" xfId="0" applyFont="1" applyFill="1" applyBorder="1"/>
    <xf numFmtId="0" fontId="4" fillId="2" borderId="5" xfId="0" applyFont="1" applyFill="1" applyBorder="1"/>
    <xf numFmtId="43" fontId="2" fillId="0" borderId="0" xfId="1" applyFont="1" applyFill="1"/>
    <xf numFmtId="43" fontId="7" fillId="0" borderId="0" xfId="1" applyFont="1" applyFill="1" applyBorder="1"/>
    <xf numFmtId="43" fontId="1" fillId="0" borderId="0" xfId="1" applyFont="1" applyFill="1"/>
    <xf numFmtId="0" fontId="6" fillId="0" borderId="19" xfId="0" applyFont="1" applyBorder="1"/>
    <xf numFmtId="9" fontId="1" fillId="0" borderId="8" xfId="1" applyNumberFormat="1" applyFont="1" applyBorder="1"/>
    <xf numFmtId="165" fontId="6" fillId="0" borderId="20" xfId="2" applyNumberFormat="1" applyFont="1" applyFill="1" applyBorder="1"/>
    <xf numFmtId="0" fontId="6" fillId="0" borderId="9" xfId="0" applyFont="1" applyBorder="1"/>
    <xf numFmtId="9" fontId="1" fillId="0" borderId="21" xfId="1" applyNumberFormat="1" applyFont="1" applyBorder="1"/>
    <xf numFmtId="43" fontId="1" fillId="0" borderId="21" xfId="1" applyFont="1" applyBorder="1"/>
    <xf numFmtId="43" fontId="7" fillId="0" borderId="1" xfId="1" applyFont="1" applyFill="1" applyBorder="1"/>
    <xf numFmtId="43" fontId="2" fillId="2" borderId="6" xfId="1" applyFont="1" applyFill="1" applyBorder="1"/>
    <xf numFmtId="43" fontId="1" fillId="0" borderId="12" xfId="1" applyFont="1" applyBorder="1"/>
    <xf numFmtId="43" fontId="1" fillId="0" borderId="9" xfId="1" applyFont="1" applyBorder="1"/>
    <xf numFmtId="43" fontId="1" fillId="0" borderId="0" xfId="1" applyFont="1" applyBorder="1"/>
    <xf numFmtId="43" fontId="1" fillId="0" borderId="22" xfId="1" applyFont="1" applyBorder="1"/>
    <xf numFmtId="166" fontId="1" fillId="0" borderId="23" xfId="1" applyNumberFormat="1" applyFont="1" applyBorder="1"/>
    <xf numFmtId="166" fontId="1" fillId="3" borderId="23" xfId="1" applyNumberFormat="1" applyFont="1" applyFill="1" applyBorder="1"/>
    <xf numFmtId="166" fontId="9" fillId="3" borderId="23" xfId="1" applyNumberFormat="1" applyFont="1" applyFill="1" applyBorder="1"/>
    <xf numFmtId="166" fontId="1" fillId="4" borderId="23" xfId="1" applyNumberFormat="1" applyFont="1" applyFill="1" applyBorder="1"/>
    <xf numFmtId="166" fontId="1" fillId="0" borderId="24" xfId="1" applyNumberFormat="1" applyFont="1" applyBorder="1"/>
    <xf numFmtId="166" fontId="9" fillId="2" borderId="25" xfId="1" applyNumberFormat="1" applyFont="1" applyFill="1" applyBorder="1"/>
    <xf numFmtId="166" fontId="3" fillId="0" borderId="25" xfId="1" applyNumberFormat="1" applyFont="1" applyBorder="1"/>
    <xf numFmtId="166" fontId="1" fillId="0" borderId="25" xfId="1" applyNumberFormat="1" applyFont="1" applyBorder="1"/>
    <xf numFmtId="166" fontId="1" fillId="0" borderId="26" xfId="1" applyNumberFormat="1" applyFont="1" applyBorder="1"/>
    <xf numFmtId="166" fontId="1" fillId="0" borderId="27" xfId="1" applyNumberFormat="1" applyFont="1" applyBorder="1"/>
    <xf numFmtId="166" fontId="9" fillId="2" borderId="28" xfId="1" applyNumberFormat="1" applyFont="1" applyFill="1" applyBorder="1"/>
    <xf numFmtId="166" fontId="3" fillId="0" borderId="28" xfId="1" applyNumberFormat="1" applyFont="1" applyBorder="1"/>
    <xf numFmtId="0" fontId="1" fillId="0" borderId="23" xfId="1" applyNumberFormat="1" applyFont="1" applyBorder="1"/>
    <xf numFmtId="43" fontId="1" fillId="0" borderId="23" xfId="1" applyFont="1" applyFill="1" applyBorder="1"/>
    <xf numFmtId="43" fontId="11" fillId="2" borderId="0" xfId="1" applyFont="1" applyFill="1"/>
    <xf numFmtId="43" fontId="7" fillId="0" borderId="2" xfId="1" applyFont="1" applyFill="1" applyBorder="1"/>
    <xf numFmtId="43" fontId="12" fillId="5" borderId="23" xfId="1" applyFont="1" applyFill="1" applyBorder="1"/>
    <xf numFmtId="43" fontId="13" fillId="5" borderId="23" xfId="1" applyFont="1" applyFill="1" applyBorder="1"/>
    <xf numFmtId="166" fontId="13" fillId="5" borderId="23" xfId="1" applyNumberFormat="1" applyFont="1" applyFill="1" applyBorder="1"/>
    <xf numFmtId="9" fontId="13" fillId="5" borderId="23" xfId="1" applyNumberFormat="1" applyFont="1" applyFill="1" applyBorder="1"/>
    <xf numFmtId="43" fontId="11" fillId="6" borderId="23" xfId="1" applyFont="1" applyFill="1" applyBorder="1"/>
    <xf numFmtId="43" fontId="14" fillId="5" borderId="23" xfId="1" applyFont="1" applyFill="1" applyBorder="1"/>
    <xf numFmtId="9" fontId="14" fillId="5" borderId="23" xfId="3" applyFont="1" applyFill="1" applyBorder="1"/>
    <xf numFmtId="2" fontId="13" fillId="5" borderId="23" xfId="1" applyNumberFormat="1" applyFont="1" applyFill="1" applyBorder="1"/>
    <xf numFmtId="43" fontId="1" fillId="0" borderId="29" xfId="1" applyFont="1" applyBorder="1"/>
    <xf numFmtId="9" fontId="13" fillId="5" borderId="0" xfId="3" applyFont="1" applyFill="1" applyBorder="1"/>
    <xf numFmtId="9" fontId="1" fillId="0" borderId="0" xfId="3" applyFont="1"/>
    <xf numFmtId="9" fontId="0" fillId="0" borderId="0" xfId="3" applyFont="1"/>
    <xf numFmtId="43" fontId="0" fillId="0" borderId="0" xfId="1" applyFont="1"/>
    <xf numFmtId="43" fontId="10" fillId="0" borderId="0" xfId="1" applyFont="1"/>
  </cellXfs>
  <cellStyles count="4">
    <cellStyle name="Comma" xfId="1" builtinId="3"/>
    <cellStyle name="Currency" xfId="2" builtinId="4"/>
    <cellStyle name="Normal" xfId="0" builtinId="0"/>
    <cellStyle name="Per cent" xfId="3" builtinId="5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>
                <a:latin typeface="Times New Roman" panose="02020603050405020304" pitchFamily="18" charset="0"/>
                <a:cs typeface="Times New Roman" panose="02020603050405020304" pitchFamily="18" charset="0"/>
              </a:rPr>
              <a:t>Revenue to Invested Capital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'Cash Flow'!$C$119</c:f>
              <c:strCache>
                <c:ptCount val="1"/>
                <c:pt idx="0">
                  <c:v> Retained earnings = Profit after tax </c:v>
                </c:pt>
              </c:strCache>
            </c:strRef>
          </c:tx>
          <c:spPr>
            <a:ln w="2222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'Cash Flow'!$D$118:$H$118</c:f>
              <c:strCache>
                <c:ptCount val="5"/>
                <c:pt idx="0">
                  <c:v> year 1 </c:v>
                </c:pt>
                <c:pt idx="1">
                  <c:v> year 2 </c:v>
                </c:pt>
                <c:pt idx="2">
                  <c:v> year 3 </c:v>
                </c:pt>
                <c:pt idx="3">
                  <c:v> year 4 </c:v>
                </c:pt>
                <c:pt idx="4">
                  <c:v> year 5 </c:v>
                </c:pt>
              </c:strCache>
            </c:strRef>
          </c:cat>
          <c:val>
            <c:numRef>
              <c:f>'Cash Flow'!$D$119:$H$119</c:f>
              <c:numCache>
                <c:formatCode>0%</c:formatCode>
                <c:ptCount val="5"/>
                <c:pt idx="0">
                  <c:v>9.0412455356058213E-2</c:v>
                </c:pt>
                <c:pt idx="1">
                  <c:v>0.28931985713938624</c:v>
                </c:pt>
                <c:pt idx="2">
                  <c:v>0.5967222053499841</c:v>
                </c:pt>
                <c:pt idx="3">
                  <c:v>1.0126194999878519</c:v>
                </c:pt>
                <c:pt idx="4">
                  <c:v>1.5370117410529895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2A-4F4B-8562-AF4332B68439}"/>
            </c:ext>
          </c:extLst>
        </c:ser>
        <c:ser>
          <c:idx val="1"/>
          <c:order val="1"/>
          <c:tx>
            <c:strRef>
              <c:f>'Cash Flow'!$C$120</c:f>
              <c:strCache>
                <c:ptCount val="1"/>
                <c:pt idx="0">
                  <c:v> Capital needed </c:v>
                </c:pt>
              </c:strCache>
            </c:strRef>
          </c:tx>
          <c:spPr>
            <a:ln w="22225" cap="rnd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Pt>
            <c:idx val="3"/>
            <c:marker>
              <c:symbol val="square"/>
              <c:size val="6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  <a:round/>
                </a:ln>
                <a:effectLst/>
              </c:spPr>
            </c:marker>
            <c:bubble3D val="0"/>
            <c:spPr>
              <a:ln w="2222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BF2A-4F4B-8562-AF4332B68439}"/>
              </c:ext>
            </c:extLst>
          </c:dPt>
          <c:cat>
            <c:strRef>
              <c:f>'Cash Flow'!$D$118:$H$118</c:f>
              <c:strCache>
                <c:ptCount val="5"/>
                <c:pt idx="0">
                  <c:v> year 1 </c:v>
                </c:pt>
                <c:pt idx="1">
                  <c:v> year 2 </c:v>
                </c:pt>
                <c:pt idx="2">
                  <c:v> year 3 </c:v>
                </c:pt>
                <c:pt idx="3">
                  <c:v> year 4 </c:v>
                </c:pt>
                <c:pt idx="4">
                  <c:v> year 5 </c:v>
                </c:pt>
              </c:strCache>
            </c:strRef>
          </c:cat>
          <c:val>
            <c:numRef>
              <c:f>'Cash Flow'!$D$120:$H$120</c:f>
              <c:numCache>
                <c:formatCode>0%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2A-4F4B-8562-AF4332B684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4668511"/>
        <c:axId val="1034673791"/>
      </c:lineChart>
      <c:catAx>
        <c:axId val="1034668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34673791"/>
        <c:crosses val="autoZero"/>
        <c:auto val="1"/>
        <c:lblAlgn val="ctr"/>
        <c:lblOffset val="100"/>
        <c:noMultiLvlLbl val="0"/>
      </c:catAx>
      <c:valAx>
        <c:axId val="103467379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AU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Equity</a:t>
                </a:r>
                <a:r>
                  <a:rPr lang="en-AU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contribution</a:t>
                </a:r>
                <a:endParaRPr lang="en-AU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34668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276865</xdr:colOff>
      <xdr:row>112</xdr:row>
      <xdr:rowOff>130308</xdr:rowOff>
    </xdr:from>
    <xdr:to>
      <xdr:col>11</xdr:col>
      <xdr:colOff>536201</xdr:colOff>
      <xdr:row>126</xdr:row>
      <xdr:rowOff>45544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B2228EEF-0061-A1A2-59BC-565F2DD293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971C256-9D46-4F23-9601-985B74E0AF56}" name="Table1" displayName="Table1" ref="C118:H120" totalsRowShown="0" headerRowDxfId="7" dataDxfId="6" headerRowCellStyle="Comma">
  <autoFilter ref="C118:H120" xr:uid="{B971C256-9D46-4F23-9601-985B74E0AF56}"/>
  <tableColumns count="6">
    <tableColumn id="1" xr3:uid="{5E11CD9A-CC60-49BD-AC59-4D01A0F5F984}" name="Column1" dataDxfId="5" dataCellStyle="Comma"/>
    <tableColumn id="2" xr3:uid="{95EFD4BE-AA8A-4658-962F-D7A8ED69FF0C}" name="year 1" dataDxfId="4"/>
    <tableColumn id="3" xr3:uid="{DD32411C-8399-4179-9F69-BE5E6AC89555}" name="year 2" dataDxfId="3"/>
    <tableColumn id="4" xr3:uid="{EE6377CE-C21C-4A80-BB24-2A9D9950FE95}" name="year 3" dataDxfId="2"/>
    <tableColumn id="5" xr3:uid="{F0299768-CCD8-4C84-A55D-9C07FB012CA2}" name="year 4" dataDxfId="1"/>
    <tableColumn id="6" xr3:uid="{19353D48-4ED4-45B8-9977-B1698F5CAAFB}" name="year 5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86620-06AD-224E-9F9B-3C922DAB5BB0}">
  <dimension ref="A2:BD120"/>
  <sheetViews>
    <sheetView showGridLines="0" tabSelected="1" topLeftCell="A73" zoomScaleNormal="70" workbookViewId="0">
      <selection activeCell="A101" sqref="A101"/>
    </sheetView>
  </sheetViews>
  <sheetFormatPr baseColWidth="10" defaultColWidth="28" defaultRowHeight="16" x14ac:dyDescent="0.2"/>
  <cols>
    <col min="1" max="1" width="28" style="3"/>
    <col min="2" max="2" width="33.1640625" style="3" customWidth="1"/>
    <col min="3" max="3" width="37.6640625" style="3" customWidth="1"/>
    <col min="4" max="5" width="19.1640625" style="3" customWidth="1"/>
    <col min="6" max="6" width="23.5" style="3" customWidth="1"/>
    <col min="7" max="7" width="20.83203125" style="3" customWidth="1"/>
    <col min="8" max="8" width="13.83203125" style="3" customWidth="1"/>
    <col min="9" max="9" width="13" style="3" customWidth="1"/>
    <col min="10" max="10" width="15.5" style="3" customWidth="1"/>
    <col min="11" max="16384" width="28" style="3"/>
  </cols>
  <sheetData>
    <row r="2" spans="2:7" x14ac:dyDescent="0.2">
      <c r="B2" s="3" t="s">
        <v>17</v>
      </c>
    </row>
    <row r="3" spans="2:7" x14ac:dyDescent="0.2">
      <c r="B3" s="3" t="s">
        <v>18</v>
      </c>
    </row>
    <row r="4" spans="2:7" x14ac:dyDescent="0.2">
      <c r="B4" s="3" t="s">
        <v>19</v>
      </c>
    </row>
    <row r="5" spans="2:7" x14ac:dyDescent="0.2">
      <c r="B5" s="3" t="s">
        <v>20</v>
      </c>
    </row>
    <row r="6" spans="2:7" x14ac:dyDescent="0.2">
      <c r="B6" s="58" t="s">
        <v>34</v>
      </c>
      <c r="C6" s="58" t="s">
        <v>35</v>
      </c>
    </row>
    <row r="8" spans="2:7" x14ac:dyDescent="0.2">
      <c r="B8" s="1" t="s">
        <v>23</v>
      </c>
      <c r="C8" s="1" t="s">
        <v>5</v>
      </c>
      <c r="D8" s="1" t="s">
        <v>1</v>
      </c>
      <c r="E8" s="1" t="s">
        <v>2</v>
      </c>
      <c r="F8" s="1" t="s">
        <v>27</v>
      </c>
      <c r="G8" s="1" t="s">
        <v>15</v>
      </c>
    </row>
    <row r="9" spans="2:7" x14ac:dyDescent="0.2">
      <c r="B9" s="4" t="s">
        <v>22</v>
      </c>
      <c r="C9" s="3">
        <v>1</v>
      </c>
      <c r="D9" s="3">
        <v>5000000</v>
      </c>
      <c r="E9" s="5">
        <f>D9/16500</f>
        <v>303.030303030303</v>
      </c>
      <c r="F9" s="3">
        <f>E9*6</f>
        <v>1818.181818181818</v>
      </c>
      <c r="G9" s="6"/>
    </row>
    <row r="10" spans="2:7" x14ac:dyDescent="0.2">
      <c r="B10" s="1" t="s">
        <v>24</v>
      </c>
      <c r="C10" s="1" t="s">
        <v>5</v>
      </c>
      <c r="D10" s="1" t="s">
        <v>1</v>
      </c>
      <c r="E10" s="1" t="s">
        <v>2</v>
      </c>
      <c r="F10" s="1" t="s">
        <v>4</v>
      </c>
      <c r="G10" s="1" t="s">
        <v>15</v>
      </c>
    </row>
    <row r="11" spans="2:7" x14ac:dyDescent="0.2">
      <c r="B11" s="4" t="s">
        <v>3</v>
      </c>
      <c r="C11" s="3">
        <v>3</v>
      </c>
      <c r="D11" s="3">
        <v>16000000</v>
      </c>
      <c r="E11" s="3">
        <f>D11*C11/16500</f>
        <v>2909.090909090909</v>
      </c>
      <c r="F11" s="3">
        <f>E11*6</f>
        <v>17454.545454545456</v>
      </c>
      <c r="G11" s="7" t="s">
        <v>77</v>
      </c>
    </row>
    <row r="12" spans="2:7" x14ac:dyDescent="0.2">
      <c r="B12" s="4" t="s">
        <v>75</v>
      </c>
      <c r="C12" s="3">
        <v>1</v>
      </c>
      <c r="D12" s="3">
        <v>25000000</v>
      </c>
      <c r="E12" s="3">
        <f>D12*C12/16500</f>
        <v>1515.1515151515152</v>
      </c>
      <c r="F12" s="3">
        <f>E12*6</f>
        <v>9090.9090909090919</v>
      </c>
      <c r="G12" s="7" t="s">
        <v>76</v>
      </c>
    </row>
    <row r="13" spans="2:7" x14ac:dyDescent="0.2">
      <c r="B13" s="4" t="s">
        <v>29</v>
      </c>
      <c r="C13" s="3">
        <v>3</v>
      </c>
      <c r="D13" s="3">
        <v>12000000</v>
      </c>
      <c r="E13" s="3">
        <f>D13*C13/16500</f>
        <v>2181.818181818182</v>
      </c>
      <c r="F13" s="3">
        <f>E13*6</f>
        <v>13090.909090909092</v>
      </c>
      <c r="G13" s="7" t="s">
        <v>41</v>
      </c>
    </row>
    <row r="14" spans="2:7" x14ac:dyDescent="0.2">
      <c r="B14" s="4" t="s">
        <v>28</v>
      </c>
      <c r="D14" s="3">
        <v>10000000</v>
      </c>
      <c r="E14" s="3">
        <f>D14/16500</f>
        <v>606.06060606060601</v>
      </c>
      <c r="F14" s="3">
        <f>E14</f>
        <v>606.06060606060601</v>
      </c>
      <c r="G14" s="7"/>
    </row>
    <row r="15" spans="2:7" x14ac:dyDescent="0.2">
      <c r="B15" s="4" t="s">
        <v>43</v>
      </c>
      <c r="F15" s="3">
        <v>1000</v>
      </c>
      <c r="G15" s="7"/>
    </row>
    <row r="16" spans="2:7" x14ac:dyDescent="0.2">
      <c r="B16" s="1" t="s">
        <v>6</v>
      </c>
      <c r="C16" s="1" t="s">
        <v>5</v>
      </c>
      <c r="D16" s="1" t="s">
        <v>1</v>
      </c>
      <c r="E16" s="1" t="s">
        <v>2</v>
      </c>
      <c r="F16" s="1" t="s">
        <v>4</v>
      </c>
      <c r="G16" s="1" t="s">
        <v>15</v>
      </c>
    </row>
    <row r="17" spans="1:7" x14ac:dyDescent="0.2">
      <c r="B17" s="4" t="s">
        <v>14</v>
      </c>
      <c r="D17" s="3">
        <v>5000000</v>
      </c>
      <c r="E17" s="3">
        <f t="shared" ref="E17:E19" si="0">D17/16500</f>
        <v>303.030303030303</v>
      </c>
      <c r="F17" s="3">
        <f>E17*6</f>
        <v>1818.181818181818</v>
      </c>
      <c r="G17" s="7" t="s">
        <v>39</v>
      </c>
    </row>
    <row r="18" spans="1:7" x14ac:dyDescent="0.2">
      <c r="B18" s="4" t="s">
        <v>32</v>
      </c>
      <c r="D18" s="3">
        <v>3500000</v>
      </c>
      <c r="E18" s="3">
        <f t="shared" si="0"/>
        <v>212.12121212121212</v>
      </c>
      <c r="F18" s="3">
        <f t="shared" ref="F18:F19" si="1">E18*6</f>
        <v>1272.7272727272727</v>
      </c>
      <c r="G18" s="7" t="s">
        <v>38</v>
      </c>
    </row>
    <row r="19" spans="1:7" x14ac:dyDescent="0.2">
      <c r="B19" s="4" t="s">
        <v>33</v>
      </c>
      <c r="D19" s="3">
        <v>1000000</v>
      </c>
      <c r="E19" s="3">
        <f t="shared" si="0"/>
        <v>60.606060606060609</v>
      </c>
      <c r="F19" s="3">
        <f t="shared" si="1"/>
        <v>363.63636363636363</v>
      </c>
      <c r="G19" s="7"/>
    </row>
    <row r="20" spans="1:7" x14ac:dyDescent="0.2">
      <c r="B20" s="4" t="s">
        <v>16</v>
      </c>
      <c r="D20" s="3">
        <v>2000000</v>
      </c>
      <c r="E20" s="3">
        <f>D20/16500</f>
        <v>121.21212121212122</v>
      </c>
      <c r="F20" s="3">
        <f>E20*6</f>
        <v>727.27272727272725</v>
      </c>
      <c r="G20" s="7"/>
    </row>
    <row r="21" spans="1:7" x14ac:dyDescent="0.2">
      <c r="B21" s="1" t="s">
        <v>25</v>
      </c>
      <c r="C21" s="1" t="s">
        <v>5</v>
      </c>
      <c r="D21" s="1" t="s">
        <v>1</v>
      </c>
      <c r="E21" s="1" t="s">
        <v>2</v>
      </c>
      <c r="F21" s="1" t="s">
        <v>4</v>
      </c>
      <c r="G21" s="1" t="s">
        <v>15</v>
      </c>
    </row>
    <row r="22" spans="1:7" x14ac:dyDescent="0.2">
      <c r="B22" s="4" t="s">
        <v>26</v>
      </c>
      <c r="D22" s="3">
        <v>1500000</v>
      </c>
      <c r="E22" s="3">
        <f>D22/16500</f>
        <v>90.909090909090907</v>
      </c>
      <c r="F22" s="3">
        <f>E22*6</f>
        <v>545.4545454545455</v>
      </c>
      <c r="G22" s="7" t="s">
        <v>40</v>
      </c>
    </row>
    <row r="23" spans="1:7" x14ac:dyDescent="0.2">
      <c r="B23" s="1" t="s">
        <v>36</v>
      </c>
      <c r="C23" s="1" t="s">
        <v>5</v>
      </c>
      <c r="D23" s="1" t="s">
        <v>1</v>
      </c>
      <c r="E23" s="1" t="s">
        <v>2</v>
      </c>
      <c r="F23" s="2"/>
      <c r="G23" s="1" t="s">
        <v>15</v>
      </c>
    </row>
    <row r="24" spans="1:7" x14ac:dyDescent="0.2">
      <c r="B24" s="4" t="s">
        <v>31</v>
      </c>
      <c r="C24" s="3">
        <v>1</v>
      </c>
      <c r="D24" s="3">
        <f>SUM(E24:E32)</f>
        <v>14606.060606060606</v>
      </c>
      <c r="E24" s="3">
        <v>1500</v>
      </c>
      <c r="G24" s="6" t="s">
        <v>7</v>
      </c>
    </row>
    <row r="25" spans="1:7" x14ac:dyDescent="0.2">
      <c r="B25" s="4"/>
      <c r="E25" s="3">
        <v>1000</v>
      </c>
      <c r="G25" s="7" t="s">
        <v>8</v>
      </c>
    </row>
    <row r="26" spans="1:7" x14ac:dyDescent="0.2">
      <c r="B26" s="4"/>
      <c r="E26" s="3">
        <v>1500</v>
      </c>
      <c r="G26" s="7" t="s">
        <v>9</v>
      </c>
    </row>
    <row r="27" spans="1:7" x14ac:dyDescent="0.2">
      <c r="B27" s="4"/>
      <c r="E27" s="3">
        <v>1500</v>
      </c>
      <c r="G27" s="7" t="s">
        <v>10</v>
      </c>
    </row>
    <row r="28" spans="1:7" x14ac:dyDescent="0.2">
      <c r="B28" s="4"/>
      <c r="E28" s="3">
        <v>1000</v>
      </c>
      <c r="G28" s="7" t="s">
        <v>11</v>
      </c>
    </row>
    <row r="29" spans="1:7" x14ac:dyDescent="0.2">
      <c r="B29" s="4"/>
      <c r="E29" s="3">
        <v>1000</v>
      </c>
      <c r="G29" s="7" t="s">
        <v>12</v>
      </c>
    </row>
    <row r="30" spans="1:7" x14ac:dyDescent="0.2">
      <c r="B30" s="4"/>
      <c r="E30" s="3">
        <v>500</v>
      </c>
      <c r="G30" s="7" t="s">
        <v>13</v>
      </c>
    </row>
    <row r="31" spans="1:7" x14ac:dyDescent="0.2">
      <c r="B31" s="4" t="s">
        <v>21</v>
      </c>
      <c r="C31" s="3">
        <v>1</v>
      </c>
      <c r="D31" s="3">
        <v>4000000</v>
      </c>
      <c r="E31" s="3">
        <f>D31/16500</f>
        <v>242.42424242424244</v>
      </c>
      <c r="G31" s="7"/>
    </row>
    <row r="32" spans="1:7" x14ac:dyDescent="0.2">
      <c r="A32" s="43"/>
      <c r="B32" s="42" t="s">
        <v>30</v>
      </c>
      <c r="C32" s="42">
        <f>SUM(C11:C13)</f>
        <v>7</v>
      </c>
      <c r="D32" s="42">
        <v>15000000</v>
      </c>
      <c r="E32" s="42">
        <f>D32*C32/16500</f>
        <v>6363.636363636364</v>
      </c>
      <c r="F32" s="42"/>
      <c r="G32" s="43"/>
    </row>
    <row r="33" spans="2:10" x14ac:dyDescent="0.2">
      <c r="B33" s="8" t="s">
        <v>74</v>
      </c>
      <c r="C33" s="9"/>
      <c r="D33" s="9">
        <v>250000000</v>
      </c>
      <c r="E33" s="9">
        <f>D33/16500</f>
        <v>15151.515151515152</v>
      </c>
      <c r="F33" s="9"/>
      <c r="G33" s="10"/>
    </row>
    <row r="34" spans="2:10" x14ac:dyDescent="0.2">
      <c r="B34" s="59" t="s">
        <v>66</v>
      </c>
      <c r="C34" s="59"/>
      <c r="D34" s="59">
        <f>E34*16500</f>
        <v>644500000</v>
      </c>
      <c r="E34" s="59">
        <f>SUM(E9:E33,F15)</f>
        <v>39060.606060606064</v>
      </c>
    </row>
    <row r="35" spans="2:10" x14ac:dyDescent="0.2">
      <c r="B35" s="38" t="s">
        <v>58</v>
      </c>
      <c r="C35" s="38"/>
      <c r="D35" s="38">
        <f>E35*16500</f>
        <v>127000000</v>
      </c>
      <c r="E35" s="38">
        <f>SUM(E9,E11:E12,E13,E17:E20,E22)</f>
        <v>7696.969696969697</v>
      </c>
    </row>
    <row r="36" spans="2:10" x14ac:dyDescent="0.2">
      <c r="B36" s="30"/>
      <c r="C36" s="30"/>
      <c r="D36" s="30"/>
      <c r="E36" s="30"/>
    </row>
    <row r="37" spans="2:10" x14ac:dyDescent="0.2">
      <c r="B37" s="30"/>
      <c r="C37" s="30"/>
      <c r="D37" s="30"/>
      <c r="E37" s="30"/>
    </row>
    <row r="38" spans="2:10" x14ac:dyDescent="0.2">
      <c r="B38" s="11" t="s">
        <v>64</v>
      </c>
      <c r="C38" s="12"/>
      <c r="D38" s="12"/>
      <c r="E38" s="13"/>
      <c r="G38" s="11" t="s">
        <v>63</v>
      </c>
      <c r="H38" s="12"/>
      <c r="I38" s="12"/>
      <c r="J38" s="13"/>
    </row>
    <row r="39" spans="2:10" x14ac:dyDescent="0.2">
      <c r="B39" s="1" t="s">
        <v>60</v>
      </c>
      <c r="C39" s="2" t="s">
        <v>44</v>
      </c>
      <c r="D39" s="2" t="s">
        <v>57</v>
      </c>
      <c r="E39" s="39" t="s">
        <v>59</v>
      </c>
      <c r="F39" s="29"/>
      <c r="G39" s="14" t="s">
        <v>45</v>
      </c>
      <c r="H39" s="15" t="s">
        <v>46</v>
      </c>
      <c r="I39" s="15" t="s">
        <v>47</v>
      </c>
      <c r="J39" s="16" t="s">
        <v>48</v>
      </c>
    </row>
    <row r="40" spans="2:10" x14ac:dyDescent="0.2">
      <c r="B40" s="32" t="s">
        <v>49</v>
      </c>
      <c r="C40" s="33">
        <v>0.05</v>
      </c>
      <c r="D40" s="34">
        <f>I40</f>
        <v>90</v>
      </c>
      <c r="E40" s="10">
        <f>D40*C40</f>
        <v>4.5</v>
      </c>
      <c r="F40" s="31"/>
      <c r="G40" s="17" t="s">
        <v>49</v>
      </c>
      <c r="H40" s="18">
        <v>90</v>
      </c>
      <c r="I40" s="18">
        <v>90</v>
      </c>
      <c r="J40" s="19">
        <v>90</v>
      </c>
    </row>
    <row r="41" spans="2:10" x14ac:dyDescent="0.2">
      <c r="B41" s="35" t="s">
        <v>50</v>
      </c>
      <c r="C41" s="36">
        <v>0.05</v>
      </c>
      <c r="D41" s="34">
        <f>J41</f>
        <v>1200</v>
      </c>
      <c r="E41" s="40">
        <f t="shared" ref="E41:E43" si="2">D41*C41</f>
        <v>60</v>
      </c>
      <c r="F41" s="31"/>
      <c r="G41" s="17" t="s">
        <v>50</v>
      </c>
      <c r="H41" s="18">
        <v>600</v>
      </c>
      <c r="I41" s="18">
        <v>900</v>
      </c>
      <c r="J41" s="19">
        <v>1200</v>
      </c>
    </row>
    <row r="42" spans="2:10" x14ac:dyDescent="0.2">
      <c r="B42" s="35" t="s">
        <v>51</v>
      </c>
      <c r="C42" s="36">
        <v>0.1</v>
      </c>
      <c r="D42" s="34">
        <f>I42</f>
        <v>217</v>
      </c>
      <c r="E42" s="40">
        <f t="shared" si="2"/>
        <v>21.700000000000003</v>
      </c>
      <c r="F42" s="31"/>
      <c r="G42" s="17" t="s">
        <v>51</v>
      </c>
      <c r="H42" s="18">
        <v>63</v>
      </c>
      <c r="I42" s="18">
        <v>217</v>
      </c>
      <c r="J42" s="19">
        <v>567</v>
      </c>
    </row>
    <row r="43" spans="2:10" x14ac:dyDescent="0.2">
      <c r="B43" s="35" t="s">
        <v>52</v>
      </c>
      <c r="C43" s="36">
        <v>0.05</v>
      </c>
      <c r="D43" s="34">
        <v>200</v>
      </c>
      <c r="E43" s="40">
        <f t="shared" si="2"/>
        <v>10</v>
      </c>
      <c r="F43" s="31"/>
      <c r="G43" s="17" t="s">
        <v>52</v>
      </c>
      <c r="H43" s="18">
        <v>105</v>
      </c>
      <c r="I43" s="18">
        <v>350</v>
      </c>
      <c r="J43" s="19">
        <v>840</v>
      </c>
    </row>
    <row r="44" spans="2:10" x14ac:dyDescent="0.2">
      <c r="B44" s="35" t="s">
        <v>42</v>
      </c>
      <c r="C44" s="37"/>
      <c r="D44" s="34">
        <f>I44</f>
        <v>45</v>
      </c>
      <c r="E44" s="40">
        <f>D44</f>
        <v>45</v>
      </c>
      <c r="G44" s="20" t="s">
        <v>42</v>
      </c>
      <c r="H44" s="21">
        <v>18</v>
      </c>
      <c r="I44" s="21">
        <v>45</v>
      </c>
      <c r="J44" s="22">
        <v>75</v>
      </c>
    </row>
    <row r="45" spans="2:10" x14ac:dyDescent="0.2">
      <c r="B45" s="41" t="s">
        <v>37</v>
      </c>
      <c r="C45" s="37"/>
      <c r="D45" s="37">
        <f>SUM(D39:D44)</f>
        <v>1752</v>
      </c>
      <c r="E45" s="40">
        <f>SUM(E40:E44)</f>
        <v>141.19999999999999</v>
      </c>
      <c r="G45" s="23" t="s">
        <v>37</v>
      </c>
      <c r="H45" s="24">
        <v>901</v>
      </c>
      <c r="I45" s="24">
        <v>1639.5</v>
      </c>
      <c r="J45" s="25">
        <v>2822</v>
      </c>
    </row>
    <row r="46" spans="2:10" ht="17" customHeight="1" x14ac:dyDescent="0.2">
      <c r="G46" s="26"/>
      <c r="H46" s="26"/>
      <c r="I46" s="26"/>
      <c r="J46" s="26"/>
    </row>
    <row r="47" spans="2:10" x14ac:dyDescent="0.2">
      <c r="B47" s="1" t="s">
        <v>61</v>
      </c>
      <c r="C47" s="2" t="s">
        <v>44</v>
      </c>
      <c r="D47" s="2" t="s">
        <v>57</v>
      </c>
      <c r="E47" s="39" t="s">
        <v>59</v>
      </c>
      <c r="G47" s="11" t="s">
        <v>53</v>
      </c>
      <c r="H47" s="27" t="s">
        <v>46</v>
      </c>
      <c r="I47" s="27" t="s">
        <v>47</v>
      </c>
      <c r="J47" s="28" t="s">
        <v>48</v>
      </c>
    </row>
    <row r="48" spans="2:10" x14ac:dyDescent="0.2">
      <c r="B48" s="32" t="s">
        <v>49</v>
      </c>
      <c r="C48" s="33">
        <v>0.05</v>
      </c>
      <c r="D48" s="34">
        <f>D40</f>
        <v>90</v>
      </c>
      <c r="E48" s="10">
        <f>D48*C48</f>
        <v>4.5</v>
      </c>
      <c r="G48" s="17" t="s">
        <v>54</v>
      </c>
      <c r="H48" s="18">
        <v>210</v>
      </c>
      <c r="I48" s="18">
        <v>280</v>
      </c>
      <c r="J48" s="19">
        <v>350</v>
      </c>
    </row>
    <row r="49" spans="2:10" x14ac:dyDescent="0.2">
      <c r="B49" s="35" t="s">
        <v>50</v>
      </c>
      <c r="C49" s="36">
        <v>0.05</v>
      </c>
      <c r="D49" s="34">
        <f>J49</f>
        <v>2400</v>
      </c>
      <c r="E49" s="40">
        <f t="shared" ref="E49:E51" si="3">D49*C49</f>
        <v>120</v>
      </c>
      <c r="G49" s="17" t="s">
        <v>50</v>
      </c>
      <c r="H49" s="18">
        <v>1200</v>
      </c>
      <c r="I49" s="18">
        <v>1800</v>
      </c>
      <c r="J49" s="19">
        <v>2400</v>
      </c>
    </row>
    <row r="50" spans="2:10" x14ac:dyDescent="0.2">
      <c r="B50" s="35" t="s">
        <v>51</v>
      </c>
      <c r="C50" s="36">
        <v>0.1</v>
      </c>
      <c r="D50" s="34">
        <f>I50</f>
        <v>434</v>
      </c>
      <c r="E50" s="40">
        <f t="shared" si="3"/>
        <v>43.400000000000006</v>
      </c>
      <c r="G50" s="17" t="s">
        <v>51</v>
      </c>
      <c r="H50" s="18">
        <v>126</v>
      </c>
      <c r="I50" s="18">
        <v>434</v>
      </c>
      <c r="J50" s="19">
        <v>1134</v>
      </c>
    </row>
    <row r="51" spans="2:10" x14ac:dyDescent="0.2">
      <c r="B51" s="35" t="s">
        <v>52</v>
      </c>
      <c r="C51" s="36">
        <v>0.05</v>
      </c>
      <c r="D51" s="34">
        <f>400</f>
        <v>400</v>
      </c>
      <c r="E51" s="40">
        <f t="shared" si="3"/>
        <v>20</v>
      </c>
      <c r="G51" s="17" t="s">
        <v>52</v>
      </c>
      <c r="H51" s="18">
        <v>210</v>
      </c>
      <c r="I51" s="18">
        <v>300</v>
      </c>
      <c r="J51" s="19">
        <v>1680</v>
      </c>
    </row>
    <row r="52" spans="2:10" x14ac:dyDescent="0.2">
      <c r="B52" s="35" t="s">
        <v>42</v>
      </c>
      <c r="C52" s="37"/>
      <c r="D52" s="34">
        <f>I52</f>
        <v>90</v>
      </c>
      <c r="E52" s="40">
        <f>D52</f>
        <v>90</v>
      </c>
      <c r="G52" s="20" t="s">
        <v>55</v>
      </c>
      <c r="H52" s="21">
        <v>36</v>
      </c>
      <c r="I52" s="21">
        <v>90</v>
      </c>
      <c r="J52" s="22">
        <v>150</v>
      </c>
    </row>
    <row r="53" spans="2:10" x14ac:dyDescent="0.2">
      <c r="B53" s="41" t="s">
        <v>37</v>
      </c>
      <c r="C53" s="37"/>
      <c r="D53" s="37">
        <f>SUM(D47:D52)</f>
        <v>3414</v>
      </c>
      <c r="E53" s="40">
        <f>SUM(E48:E52)</f>
        <v>277.89999999999998</v>
      </c>
      <c r="G53" s="23" t="s">
        <v>37</v>
      </c>
      <c r="H53" s="24">
        <v>1832</v>
      </c>
      <c r="I53" s="24">
        <v>3379</v>
      </c>
      <c r="J53" s="25">
        <v>5814</v>
      </c>
    </row>
    <row r="54" spans="2:10" x14ac:dyDescent="0.2">
      <c r="G54" s="26"/>
      <c r="H54" s="26"/>
      <c r="I54" s="26"/>
      <c r="J54" s="26"/>
    </row>
    <row r="55" spans="2:10" x14ac:dyDescent="0.2">
      <c r="B55" s="1" t="s">
        <v>62</v>
      </c>
      <c r="C55" s="2" t="s">
        <v>44</v>
      </c>
      <c r="D55" s="2" t="s">
        <v>57</v>
      </c>
      <c r="E55" s="39" t="s">
        <v>59</v>
      </c>
      <c r="G55" s="11" t="s">
        <v>56</v>
      </c>
      <c r="H55" s="27" t="s">
        <v>46</v>
      </c>
      <c r="I55" s="27" t="s">
        <v>47</v>
      </c>
      <c r="J55" s="28" t="s">
        <v>48</v>
      </c>
    </row>
    <row r="56" spans="2:10" x14ac:dyDescent="0.2">
      <c r="B56" s="32" t="s">
        <v>49</v>
      </c>
      <c r="C56" s="33">
        <v>0.05</v>
      </c>
      <c r="D56" s="34">
        <v>90</v>
      </c>
      <c r="E56" s="10">
        <f>D56*C56</f>
        <v>4.5</v>
      </c>
      <c r="G56" s="17" t="s">
        <v>54</v>
      </c>
      <c r="H56" s="18">
        <v>210</v>
      </c>
      <c r="I56" s="18">
        <v>280</v>
      </c>
      <c r="J56" s="19">
        <v>350</v>
      </c>
    </row>
    <row r="57" spans="2:10" x14ac:dyDescent="0.2">
      <c r="B57" s="35" t="s">
        <v>50</v>
      </c>
      <c r="C57" s="36">
        <v>0.06</v>
      </c>
      <c r="D57" s="34">
        <f>I57</f>
        <v>3600</v>
      </c>
      <c r="E57" s="40">
        <f t="shared" ref="E57:E59" si="4">D57*C57</f>
        <v>216</v>
      </c>
      <c r="G57" s="17" t="s">
        <v>50</v>
      </c>
      <c r="H57" s="18">
        <v>2400</v>
      </c>
      <c r="I57" s="18">
        <v>3600</v>
      </c>
      <c r="J57" s="22">
        <v>4800</v>
      </c>
    </row>
    <row r="58" spans="2:10" x14ac:dyDescent="0.2">
      <c r="B58" s="35" t="s">
        <v>51</v>
      </c>
      <c r="C58" s="36">
        <v>0.1</v>
      </c>
      <c r="D58" s="34">
        <f>I58</f>
        <v>868</v>
      </c>
      <c r="E58" s="40">
        <f t="shared" si="4"/>
        <v>86.800000000000011</v>
      </c>
      <c r="G58" s="17" t="s">
        <v>51</v>
      </c>
      <c r="H58" s="18">
        <v>252</v>
      </c>
      <c r="I58" s="18">
        <v>868</v>
      </c>
      <c r="J58" s="19">
        <v>2268</v>
      </c>
    </row>
    <row r="59" spans="2:10" x14ac:dyDescent="0.2">
      <c r="B59" s="35" t="s">
        <v>52</v>
      </c>
      <c r="C59" s="36">
        <v>0.05</v>
      </c>
      <c r="D59" s="34">
        <v>600</v>
      </c>
      <c r="E59" s="40">
        <f t="shared" si="4"/>
        <v>30</v>
      </c>
      <c r="G59" s="17" t="s">
        <v>52</v>
      </c>
      <c r="H59" s="18">
        <v>420</v>
      </c>
      <c r="I59" s="18">
        <v>1400</v>
      </c>
      <c r="J59" s="19">
        <v>3360</v>
      </c>
    </row>
    <row r="60" spans="2:10" x14ac:dyDescent="0.2">
      <c r="B60" s="35" t="s">
        <v>42</v>
      </c>
      <c r="C60" s="37"/>
      <c r="D60" s="34">
        <f>I60</f>
        <v>180</v>
      </c>
      <c r="E60" s="40">
        <f>D60</f>
        <v>180</v>
      </c>
      <c r="G60" s="20" t="s">
        <v>55</v>
      </c>
      <c r="H60" s="21">
        <v>72</v>
      </c>
      <c r="I60" s="21">
        <v>180</v>
      </c>
      <c r="J60" s="22">
        <v>300</v>
      </c>
    </row>
    <row r="61" spans="2:10" x14ac:dyDescent="0.2">
      <c r="B61" s="41" t="s">
        <v>37</v>
      </c>
      <c r="C61" s="37"/>
      <c r="D61" s="37">
        <f>SUM(D55:D60)</f>
        <v>5338</v>
      </c>
      <c r="E61" s="40">
        <f>SUM(E56:E60)</f>
        <v>517.29999999999995</v>
      </c>
      <c r="G61" s="23" t="s">
        <v>37</v>
      </c>
      <c r="H61" s="24">
        <v>3454</v>
      </c>
      <c r="I61" s="24">
        <v>6478</v>
      </c>
      <c r="J61" s="25">
        <v>11278</v>
      </c>
    </row>
    <row r="65" spans="1:56" x14ac:dyDescent="0.2">
      <c r="A65" s="48"/>
      <c r="B65" s="49" t="s">
        <v>65</v>
      </c>
      <c r="C65" s="50"/>
      <c r="D65" s="50"/>
      <c r="E65" s="50"/>
      <c r="F65" s="50"/>
      <c r="G65" s="50"/>
      <c r="H65" s="49" t="s">
        <v>89</v>
      </c>
      <c r="I65" s="50"/>
      <c r="J65" s="50"/>
      <c r="K65" s="50"/>
      <c r="L65" s="50"/>
      <c r="M65" s="50"/>
      <c r="N65" s="49" t="s">
        <v>89</v>
      </c>
      <c r="O65" s="50"/>
      <c r="P65" s="50"/>
      <c r="Q65" s="50"/>
      <c r="R65" s="50"/>
      <c r="S65" s="50"/>
    </row>
    <row r="66" spans="1:56" x14ac:dyDescent="0.2">
      <c r="B66" s="54" t="s">
        <v>73</v>
      </c>
      <c r="C66" s="55"/>
      <c r="D66" s="55"/>
      <c r="E66" s="55"/>
      <c r="F66" s="55"/>
      <c r="G66" s="55"/>
      <c r="H66" s="54" t="s">
        <v>79</v>
      </c>
      <c r="I66" s="55"/>
      <c r="J66" s="55"/>
      <c r="K66" s="55"/>
      <c r="L66" s="55"/>
      <c r="M66" s="55"/>
      <c r="N66" s="54" t="s">
        <v>80</v>
      </c>
      <c r="O66" s="55"/>
      <c r="P66" s="55"/>
      <c r="Q66" s="55"/>
      <c r="R66" s="55"/>
      <c r="S66" s="55"/>
      <c r="BD66"/>
    </row>
    <row r="67" spans="1:56" x14ac:dyDescent="0.2">
      <c r="A67" s="45"/>
      <c r="B67" s="46" t="s">
        <v>67</v>
      </c>
      <c r="C67" s="46" t="s">
        <v>68</v>
      </c>
      <c r="D67" s="46" t="s">
        <v>69</v>
      </c>
      <c r="E67" s="46" t="s">
        <v>70</v>
      </c>
      <c r="F67" s="46" t="s">
        <v>71</v>
      </c>
      <c r="G67" s="46" t="s">
        <v>72</v>
      </c>
      <c r="H67" s="46" t="str">
        <f t="shared" ref="H67:S67" si="5">B67</f>
        <v>May</v>
      </c>
      <c r="I67" s="46" t="str">
        <f t="shared" si="5"/>
        <v>June</v>
      </c>
      <c r="J67" s="46" t="str">
        <f t="shared" si="5"/>
        <v>July</v>
      </c>
      <c r="K67" s="46" t="str">
        <f t="shared" si="5"/>
        <v>August</v>
      </c>
      <c r="L67" s="46" t="str">
        <f t="shared" si="5"/>
        <v>September</v>
      </c>
      <c r="M67" s="46" t="str">
        <f t="shared" si="5"/>
        <v>October</v>
      </c>
      <c r="N67" s="46" t="str">
        <f t="shared" si="5"/>
        <v>May</v>
      </c>
      <c r="O67" s="46" t="str">
        <f t="shared" si="5"/>
        <v>June</v>
      </c>
      <c r="P67" s="46" t="str">
        <f t="shared" si="5"/>
        <v>July</v>
      </c>
      <c r="Q67" s="46" t="str">
        <f t="shared" si="5"/>
        <v>August</v>
      </c>
      <c r="R67" s="46" t="str">
        <f t="shared" si="5"/>
        <v>September</v>
      </c>
      <c r="S67" s="46" t="str">
        <f t="shared" si="5"/>
        <v>October</v>
      </c>
      <c r="BD67"/>
    </row>
    <row r="68" spans="1:56" x14ac:dyDescent="0.2">
      <c r="A68" s="46" t="s">
        <v>0</v>
      </c>
      <c r="B68" s="44">
        <f>E34</f>
        <v>39060.606060606064</v>
      </c>
      <c r="C68" s="44">
        <f>E35</f>
        <v>7696.969696969697</v>
      </c>
      <c r="D68" s="44">
        <f t="shared" ref="D68:G68" si="6">$E$35</f>
        <v>7696.969696969697</v>
      </c>
      <c r="E68" s="44">
        <f t="shared" si="6"/>
        <v>7696.969696969697</v>
      </c>
      <c r="F68" s="44">
        <f t="shared" si="6"/>
        <v>7696.969696969697</v>
      </c>
      <c r="G68" s="44">
        <f t="shared" si="6"/>
        <v>7696.969696969697</v>
      </c>
      <c r="H68" s="44">
        <f>C68*1.05+SUM($E$9:$E$14,$F$15,$E$22,$E$32)</f>
        <v>23051.515151515152</v>
      </c>
      <c r="I68" s="44">
        <f>SUM(E9:E22)*2</f>
        <v>16606.060606060604</v>
      </c>
      <c r="J68" s="44">
        <f>I68</f>
        <v>16606.060606060604</v>
      </c>
      <c r="K68" s="44">
        <f t="shared" ref="K68:M68" si="7">J68</f>
        <v>16606.060606060604</v>
      </c>
      <c r="L68" s="44">
        <f t="shared" si="7"/>
        <v>16606.060606060604</v>
      </c>
      <c r="M68" s="44">
        <f t="shared" si="7"/>
        <v>16606.060606060604</v>
      </c>
      <c r="N68" s="47">
        <f>I68*1.05+SUM($E$9:$E$14,$F$15,$E$22,$E$32)</f>
        <v>32406.060606060608</v>
      </c>
      <c r="O68" s="44">
        <f>C68*3*1.05</f>
        <v>24245.454545454548</v>
      </c>
      <c r="P68" s="44">
        <f>D68*3*1.05</f>
        <v>24245.454545454548</v>
      </c>
      <c r="Q68" s="44">
        <f>E68*3*1.05</f>
        <v>24245.454545454548</v>
      </c>
      <c r="R68" s="44">
        <f>F68*3*1.05</f>
        <v>24245.454545454548</v>
      </c>
      <c r="S68" s="44">
        <f>G68*3*1.05</f>
        <v>24245.454545454548</v>
      </c>
      <c r="BD68"/>
    </row>
    <row r="69" spans="1:56" ht="17" customHeight="1" x14ac:dyDescent="0.2">
      <c r="A69" s="46" t="s">
        <v>95</v>
      </c>
      <c r="B69" s="44"/>
      <c r="C69" s="44">
        <f>$E$45*C73+$E$53*C74+$E$61*C75</f>
        <v>9021.2999999999993</v>
      </c>
      <c r="D69" s="44">
        <f t="shared" ref="D69:G69" si="8">$E$45*D73+$E$53*D74+$E$61*D75</f>
        <v>9021.2999999999993</v>
      </c>
      <c r="E69" s="44">
        <f t="shared" si="8"/>
        <v>9021.2999999999993</v>
      </c>
      <c r="F69" s="44">
        <f t="shared" si="8"/>
        <v>9021.2999999999993</v>
      </c>
      <c r="G69" s="44">
        <f t="shared" si="8"/>
        <v>9021.2999999999993</v>
      </c>
      <c r="H69" s="44">
        <f t="shared" ref="H69:M69" si="9">$E$45*H73+$E$53*H74+$E$61*H75</f>
        <v>9021.2999999999993</v>
      </c>
      <c r="I69" s="44">
        <f t="shared" si="9"/>
        <v>18042.599999999999</v>
      </c>
      <c r="J69" s="44">
        <f t="shared" si="9"/>
        <v>18042.599999999999</v>
      </c>
      <c r="K69" s="44">
        <f t="shared" si="9"/>
        <v>18042.599999999999</v>
      </c>
      <c r="L69" s="44">
        <f t="shared" si="9"/>
        <v>18042.599999999999</v>
      </c>
      <c r="M69" s="44">
        <f t="shared" si="9"/>
        <v>18042.599999999999</v>
      </c>
      <c r="N69" s="44">
        <f t="shared" ref="N69:S69" si="10">$E$45*N73+$E$53*N74+$E$61*N75</f>
        <v>18042.599999999999</v>
      </c>
      <c r="O69" s="44">
        <f t="shared" si="10"/>
        <v>27063.899999999994</v>
      </c>
      <c r="P69" s="44">
        <f t="shared" si="10"/>
        <v>27063.899999999994</v>
      </c>
      <c r="Q69" s="44">
        <f t="shared" si="10"/>
        <v>27063.899999999994</v>
      </c>
      <c r="R69" s="44">
        <f t="shared" si="10"/>
        <v>27063.899999999994</v>
      </c>
      <c r="S69" s="44">
        <f t="shared" si="10"/>
        <v>27063.899999999994</v>
      </c>
      <c r="BD69"/>
    </row>
    <row r="70" spans="1:56" x14ac:dyDescent="0.2">
      <c r="A70" s="46" t="s">
        <v>92</v>
      </c>
      <c r="B70" s="47">
        <f>SUM(B69:G69)-SUM(B68:G68)</f>
        <v>-32438.954545454544</v>
      </c>
      <c r="C70" s="44"/>
      <c r="D70" s="44"/>
      <c r="E70" s="44"/>
      <c r="F70" s="44"/>
      <c r="G70" s="44"/>
      <c r="H70" s="47">
        <f>SUM(H69:M69)-SUM(H68:M68)</f>
        <v>-6847.5181818182027</v>
      </c>
      <c r="I70" s="44"/>
      <c r="J70" s="44"/>
      <c r="K70" s="44"/>
      <c r="L70" s="44"/>
      <c r="M70" s="44"/>
      <c r="N70" s="47">
        <f>SUM(N69:S69)-SUM(N68:S68)</f>
        <v>-271.23333333336632</v>
      </c>
      <c r="O70" s="44">
        <f t="shared" ref="O70" si="11">O69-O68</f>
        <v>2818.4454545454464</v>
      </c>
      <c r="P70" s="44">
        <f t="shared" ref="P70" si="12">P69-P68</f>
        <v>2818.4454545454464</v>
      </c>
      <c r="Q70" s="44">
        <f t="shared" ref="Q70" si="13">Q69-Q68</f>
        <v>2818.4454545454464</v>
      </c>
      <c r="R70" s="44">
        <f t="shared" ref="R70" si="14">R69-R68</f>
        <v>2818.4454545454464</v>
      </c>
      <c r="S70" s="44">
        <f t="shared" ref="S70" si="15">S69-S68</f>
        <v>2818.4454545454464</v>
      </c>
      <c r="BD70"/>
    </row>
    <row r="71" spans="1:56" x14ac:dyDescent="0.2">
      <c r="A71" s="46" t="s">
        <v>94</v>
      </c>
      <c r="B71" s="47">
        <f>-B70*20%</f>
        <v>6487.7909090909088</v>
      </c>
      <c r="C71" s="44"/>
      <c r="D71" s="44"/>
      <c r="E71" s="44"/>
      <c r="F71" s="44"/>
      <c r="G71" s="44"/>
      <c r="H71" s="47">
        <f>-H70*30%</f>
        <v>2054.2554545454609</v>
      </c>
      <c r="I71" s="44"/>
      <c r="J71" s="44"/>
      <c r="K71" s="44"/>
      <c r="L71" s="44"/>
      <c r="M71" s="44"/>
      <c r="N71" s="47">
        <f>-N70*20%</f>
        <v>54.246666666673264</v>
      </c>
      <c r="O71" s="44"/>
      <c r="P71" s="44"/>
      <c r="Q71" s="44"/>
      <c r="R71" s="44"/>
      <c r="S71" s="44"/>
      <c r="BD71"/>
    </row>
    <row r="72" spans="1:56" x14ac:dyDescent="0.2">
      <c r="A72" s="46" t="s">
        <v>96</v>
      </c>
      <c r="B72" s="47">
        <f>B70+B71</f>
        <v>-25951.163636363635</v>
      </c>
      <c r="C72" s="44"/>
      <c r="D72" s="44"/>
      <c r="E72" s="44"/>
      <c r="F72" s="44"/>
      <c r="G72" s="44"/>
      <c r="H72" s="47">
        <f t="shared" ref="H72" si="16">H70+H71</f>
        <v>-4793.2627272727423</v>
      </c>
      <c r="I72" s="44"/>
      <c r="J72" s="44"/>
      <c r="K72" s="44"/>
      <c r="L72" s="44"/>
      <c r="M72" s="44"/>
      <c r="N72" s="47">
        <f>N70+N71</f>
        <v>-216.98666666669305</v>
      </c>
      <c r="O72" s="44"/>
      <c r="P72" s="44"/>
      <c r="Q72" s="44"/>
      <c r="R72" s="44"/>
      <c r="S72" s="44"/>
      <c r="BD72"/>
    </row>
    <row r="73" spans="1:56" x14ac:dyDescent="0.2">
      <c r="A73" s="46" t="s">
        <v>90</v>
      </c>
      <c r="B73" s="44"/>
      <c r="C73" s="56">
        <v>5</v>
      </c>
      <c r="D73" s="56">
        <v>5</v>
      </c>
      <c r="E73" s="56">
        <v>5</v>
      </c>
      <c r="F73" s="56">
        <v>5</v>
      </c>
      <c r="G73" s="56">
        <v>5</v>
      </c>
      <c r="H73" s="56">
        <v>5</v>
      </c>
      <c r="I73" s="56">
        <f t="shared" ref="I73:S73" si="17">IF(C67 = "June", H73+$C$73, H73)</f>
        <v>10</v>
      </c>
      <c r="J73" s="56">
        <f t="shared" si="17"/>
        <v>10</v>
      </c>
      <c r="K73" s="56">
        <f t="shared" si="17"/>
        <v>10</v>
      </c>
      <c r="L73" s="56">
        <f t="shared" si="17"/>
        <v>10</v>
      </c>
      <c r="M73" s="56">
        <f t="shared" si="17"/>
        <v>10</v>
      </c>
      <c r="N73" s="56">
        <f t="shared" si="17"/>
        <v>10</v>
      </c>
      <c r="O73" s="56">
        <f t="shared" si="17"/>
        <v>15</v>
      </c>
      <c r="P73" s="56">
        <f t="shared" si="17"/>
        <v>15</v>
      </c>
      <c r="Q73" s="56">
        <f t="shared" si="17"/>
        <v>15</v>
      </c>
      <c r="R73" s="56">
        <f t="shared" si="17"/>
        <v>15</v>
      </c>
      <c r="S73" s="56">
        <f t="shared" si="17"/>
        <v>15</v>
      </c>
      <c r="BD73"/>
    </row>
    <row r="74" spans="1:56" x14ac:dyDescent="0.2">
      <c r="A74" s="46" t="s">
        <v>93</v>
      </c>
      <c r="B74" s="44"/>
      <c r="C74" s="56">
        <v>2</v>
      </c>
      <c r="D74" s="56">
        <v>2</v>
      </c>
      <c r="E74" s="56">
        <v>2</v>
      </c>
      <c r="F74" s="56">
        <v>2</v>
      </c>
      <c r="G74" s="56">
        <v>2</v>
      </c>
      <c r="H74" s="56">
        <v>2</v>
      </c>
      <c r="I74" s="56">
        <f t="shared" ref="I74:S74" si="18">IF(C67 = "June", H74+$C$74, H74)</f>
        <v>4</v>
      </c>
      <c r="J74" s="56">
        <f t="shared" si="18"/>
        <v>4</v>
      </c>
      <c r="K74" s="56">
        <f t="shared" si="18"/>
        <v>4</v>
      </c>
      <c r="L74" s="56">
        <f t="shared" si="18"/>
        <v>4</v>
      </c>
      <c r="M74" s="56">
        <f t="shared" si="18"/>
        <v>4</v>
      </c>
      <c r="N74" s="56">
        <f t="shared" si="18"/>
        <v>4</v>
      </c>
      <c r="O74" s="56">
        <f t="shared" si="18"/>
        <v>6</v>
      </c>
      <c r="P74" s="56">
        <f t="shared" si="18"/>
        <v>6</v>
      </c>
      <c r="Q74" s="56">
        <f t="shared" si="18"/>
        <v>6</v>
      </c>
      <c r="R74" s="56">
        <f t="shared" si="18"/>
        <v>6</v>
      </c>
      <c r="S74" s="56">
        <f t="shared" si="18"/>
        <v>6</v>
      </c>
      <c r="BD74"/>
    </row>
    <row r="75" spans="1:56" x14ac:dyDescent="0.2">
      <c r="A75" s="46" t="s">
        <v>91</v>
      </c>
      <c r="B75" s="44"/>
      <c r="C75" s="56">
        <v>15</v>
      </c>
      <c r="D75" s="56">
        <v>15</v>
      </c>
      <c r="E75" s="56">
        <v>15</v>
      </c>
      <c r="F75" s="56">
        <v>15</v>
      </c>
      <c r="G75" s="56">
        <v>15</v>
      </c>
      <c r="H75" s="56">
        <v>15</v>
      </c>
      <c r="I75" s="56">
        <f t="shared" ref="I75:S75" si="19">IF(C67 = "June", H75+$C$75, H75)</f>
        <v>30</v>
      </c>
      <c r="J75" s="56">
        <f t="shared" si="19"/>
        <v>30</v>
      </c>
      <c r="K75" s="56">
        <f t="shared" si="19"/>
        <v>30</v>
      </c>
      <c r="L75" s="56">
        <f t="shared" si="19"/>
        <v>30</v>
      </c>
      <c r="M75" s="56">
        <f t="shared" si="19"/>
        <v>30</v>
      </c>
      <c r="N75" s="56">
        <f t="shared" si="19"/>
        <v>30</v>
      </c>
      <c r="O75" s="56">
        <f t="shared" si="19"/>
        <v>45</v>
      </c>
      <c r="P75" s="56">
        <f t="shared" si="19"/>
        <v>45</v>
      </c>
      <c r="Q75" s="56">
        <f t="shared" si="19"/>
        <v>45</v>
      </c>
      <c r="R75" s="56">
        <f t="shared" si="19"/>
        <v>45</v>
      </c>
      <c r="S75" s="56">
        <f t="shared" si="19"/>
        <v>45</v>
      </c>
      <c r="BD75"/>
    </row>
    <row r="76" spans="1:56" x14ac:dyDescent="0.2">
      <c r="BD76"/>
    </row>
    <row r="77" spans="1:56" x14ac:dyDescent="0.2">
      <c r="A77" s="48"/>
      <c r="B77" s="49" t="s">
        <v>89</v>
      </c>
      <c r="C77" s="50"/>
      <c r="D77" s="50"/>
      <c r="E77" s="50"/>
      <c r="F77" s="50"/>
      <c r="G77" s="50"/>
      <c r="H77" s="49" t="s">
        <v>89</v>
      </c>
      <c r="I77" s="50"/>
      <c r="J77" s="50"/>
      <c r="K77" s="50"/>
      <c r="L77" s="50"/>
      <c r="M77" s="50"/>
      <c r="N77" s="50"/>
      <c r="O77" s="50"/>
      <c r="P77" s="50"/>
      <c r="Q77" s="50"/>
      <c r="R77" s="50"/>
      <c r="S77" s="50"/>
    </row>
    <row r="78" spans="1:56" x14ac:dyDescent="0.2">
      <c r="A78" s="53"/>
      <c r="B78" s="54" t="s">
        <v>81</v>
      </c>
      <c r="C78" s="55"/>
      <c r="D78" s="55"/>
      <c r="E78" s="55"/>
      <c r="F78" s="55"/>
      <c r="G78" s="55"/>
      <c r="H78" s="54" t="s">
        <v>82</v>
      </c>
      <c r="I78" s="55"/>
      <c r="J78" s="55"/>
      <c r="K78" s="55"/>
      <c r="L78" s="55"/>
      <c r="M78" s="55"/>
      <c r="N78" s="54" t="s">
        <v>83</v>
      </c>
      <c r="O78" s="55"/>
      <c r="P78" s="55"/>
      <c r="Q78" s="55"/>
      <c r="R78" s="55"/>
      <c r="S78" s="55"/>
    </row>
    <row r="79" spans="1:56" x14ac:dyDescent="0.2">
      <c r="A79" s="45"/>
      <c r="B79" s="46" t="str">
        <f t="shared" ref="B79:G79" si="20">N67</f>
        <v>May</v>
      </c>
      <c r="C79" s="46" t="str">
        <f t="shared" si="20"/>
        <v>June</v>
      </c>
      <c r="D79" s="46" t="str">
        <f t="shared" si="20"/>
        <v>July</v>
      </c>
      <c r="E79" s="46" t="str">
        <f t="shared" si="20"/>
        <v>August</v>
      </c>
      <c r="F79" s="46" t="str">
        <f t="shared" si="20"/>
        <v>September</v>
      </c>
      <c r="G79" s="46" t="str">
        <f t="shared" si="20"/>
        <v>October</v>
      </c>
      <c r="H79" s="46" t="str">
        <f t="shared" ref="H79:S79" si="21">B79</f>
        <v>May</v>
      </c>
      <c r="I79" s="46" t="str">
        <f t="shared" si="21"/>
        <v>June</v>
      </c>
      <c r="J79" s="46" t="str">
        <f t="shared" si="21"/>
        <v>July</v>
      </c>
      <c r="K79" s="46" t="str">
        <f t="shared" si="21"/>
        <v>August</v>
      </c>
      <c r="L79" s="46" t="str">
        <f t="shared" si="21"/>
        <v>September</v>
      </c>
      <c r="M79" s="46" t="str">
        <f t="shared" si="21"/>
        <v>October</v>
      </c>
      <c r="N79" s="46" t="str">
        <f t="shared" si="21"/>
        <v>May</v>
      </c>
      <c r="O79" s="46" t="str">
        <f t="shared" si="21"/>
        <v>June</v>
      </c>
      <c r="P79" s="46" t="str">
        <f t="shared" si="21"/>
        <v>July</v>
      </c>
      <c r="Q79" s="46" t="str">
        <f t="shared" si="21"/>
        <v>August</v>
      </c>
      <c r="R79" s="46" t="str">
        <f t="shared" si="21"/>
        <v>September</v>
      </c>
      <c r="S79" s="46" t="str">
        <f t="shared" si="21"/>
        <v>October</v>
      </c>
    </row>
    <row r="80" spans="1:56" x14ac:dyDescent="0.2">
      <c r="A80" s="46" t="s">
        <v>0</v>
      </c>
      <c r="B80" s="44">
        <f>O68+SUM($E$9:$E$14,$F$15,$E$22,$E$32)</f>
        <v>39215.15151515152</v>
      </c>
      <c r="C80" s="44">
        <f>D68*1.05*4</f>
        <v>32327.272727272728</v>
      </c>
      <c r="D80" s="44">
        <f>E68*1.05*4</f>
        <v>32327.272727272728</v>
      </c>
      <c r="E80" s="44">
        <f>F68*1.05*4</f>
        <v>32327.272727272728</v>
      </c>
      <c r="F80" s="44">
        <f>G68*1.05*4</f>
        <v>32327.272727272728</v>
      </c>
      <c r="G80" s="44">
        <f>F80</f>
        <v>32327.272727272728</v>
      </c>
      <c r="H80" s="44">
        <f>C80+SUM($E$9:$E$14,$F$15,$E$22,$E$32)</f>
        <v>47296.969696969696</v>
      </c>
      <c r="I80" s="44">
        <f>C68*1.05*5</f>
        <v>40409.090909090912</v>
      </c>
      <c r="J80" s="44">
        <f>D68*1.05*5</f>
        <v>40409.090909090912</v>
      </c>
      <c r="K80" s="44">
        <f>E68*1.05*5</f>
        <v>40409.090909090912</v>
      </c>
      <c r="L80" s="44">
        <f>F68*1.05*5</f>
        <v>40409.090909090912</v>
      </c>
      <c r="M80" s="44">
        <f>G68*1.05*5</f>
        <v>40409.090909090912</v>
      </c>
      <c r="N80" s="44">
        <f t="shared" ref="N80:S80" si="22">$I$80</f>
        <v>40409.090909090912</v>
      </c>
      <c r="O80" s="44">
        <f t="shared" si="22"/>
        <v>40409.090909090912</v>
      </c>
      <c r="P80" s="44">
        <f t="shared" si="22"/>
        <v>40409.090909090912</v>
      </c>
      <c r="Q80" s="44">
        <f t="shared" si="22"/>
        <v>40409.090909090912</v>
      </c>
      <c r="R80" s="44">
        <f t="shared" si="22"/>
        <v>40409.090909090912</v>
      </c>
      <c r="S80" s="44">
        <f t="shared" si="22"/>
        <v>40409.090909090912</v>
      </c>
    </row>
    <row r="81" spans="1:19" x14ac:dyDescent="0.2">
      <c r="A81" s="46" t="s">
        <v>95</v>
      </c>
      <c r="B81" s="44">
        <f t="shared" ref="B81:S81" si="23">$E$45*B85+$E$53*B86+$E$61*B87</f>
        <v>27063.899999999994</v>
      </c>
      <c r="C81" s="44">
        <f t="shared" si="23"/>
        <v>36085.199999999997</v>
      </c>
      <c r="D81" s="44">
        <f t="shared" si="23"/>
        <v>36085.199999999997</v>
      </c>
      <c r="E81" s="44">
        <f t="shared" si="23"/>
        <v>36085.199999999997</v>
      </c>
      <c r="F81" s="44">
        <f t="shared" si="23"/>
        <v>36085.199999999997</v>
      </c>
      <c r="G81" s="44">
        <f t="shared" si="23"/>
        <v>36085.199999999997</v>
      </c>
      <c r="H81" s="44">
        <f t="shared" si="23"/>
        <v>36085.199999999997</v>
      </c>
      <c r="I81" s="44">
        <f t="shared" si="23"/>
        <v>45106.5</v>
      </c>
      <c r="J81" s="44">
        <f t="shared" si="23"/>
        <v>45106.5</v>
      </c>
      <c r="K81" s="44">
        <f t="shared" si="23"/>
        <v>45106.5</v>
      </c>
      <c r="L81" s="44">
        <f t="shared" si="23"/>
        <v>45106.5</v>
      </c>
      <c r="M81" s="44">
        <f t="shared" si="23"/>
        <v>45106.5</v>
      </c>
      <c r="N81" s="44">
        <f t="shared" si="23"/>
        <v>45106.5</v>
      </c>
      <c r="O81" s="44">
        <f t="shared" si="23"/>
        <v>54127.799999999988</v>
      </c>
      <c r="P81" s="44">
        <f t="shared" si="23"/>
        <v>54127.799999999988</v>
      </c>
      <c r="Q81" s="44">
        <f t="shared" si="23"/>
        <v>54127.799999999988</v>
      </c>
      <c r="R81" s="44">
        <f t="shared" si="23"/>
        <v>54127.799999999988</v>
      </c>
      <c r="S81" s="44">
        <f t="shared" si="23"/>
        <v>54127.799999999988</v>
      </c>
    </row>
    <row r="82" spans="1:19" x14ac:dyDescent="0.2">
      <c r="A82" s="46" t="s">
        <v>92</v>
      </c>
      <c r="B82" s="47">
        <f>SUM(B81:G81)-SUM(B80:G80)</f>
        <v>6638.3848484848277</v>
      </c>
      <c r="C82" s="44"/>
      <c r="D82" s="44"/>
      <c r="E82" s="44"/>
      <c r="F82" s="44"/>
      <c r="G82" s="44"/>
      <c r="H82" s="47">
        <f t="shared" ref="H82" si="24">SUM(H81:M81)-SUM(H80:M80)</f>
        <v>12275.275757575757</v>
      </c>
      <c r="I82" s="44"/>
      <c r="J82" s="44"/>
      <c r="K82" s="44"/>
      <c r="L82" s="44"/>
      <c r="M82" s="44"/>
      <c r="N82" s="47">
        <f t="shared" ref="N82" si="25">SUM(N81:S81)-SUM(N80:S80)</f>
        <v>73290.954545454471</v>
      </c>
      <c r="O82" s="44"/>
      <c r="P82" s="44"/>
      <c r="Q82" s="44"/>
      <c r="R82" s="44"/>
      <c r="S82" s="44"/>
    </row>
    <row r="83" spans="1:19" x14ac:dyDescent="0.2">
      <c r="A83" s="46" t="s">
        <v>94</v>
      </c>
      <c r="B83" s="47">
        <f>-B82*30%</f>
        <v>-1991.5154545454482</v>
      </c>
      <c r="C83" s="44"/>
      <c r="D83" s="44"/>
      <c r="E83" s="44"/>
      <c r="F83" s="44"/>
      <c r="G83" s="44"/>
      <c r="H83" s="47">
        <f t="shared" ref="H83" si="26">-H82*20%</f>
        <v>-2455.0551515151515</v>
      </c>
      <c r="I83" s="44"/>
      <c r="J83" s="44"/>
      <c r="K83" s="44"/>
      <c r="L83" s="44"/>
      <c r="M83" s="44"/>
      <c r="N83" s="47">
        <f t="shared" ref="N83" si="27">-N82*30%</f>
        <v>-21987.28636363634</v>
      </c>
      <c r="O83" s="44"/>
      <c r="P83" s="44"/>
      <c r="Q83" s="44"/>
      <c r="R83" s="44"/>
      <c r="S83" s="44"/>
    </row>
    <row r="84" spans="1:19" x14ac:dyDescent="0.2">
      <c r="A84" s="46" t="s">
        <v>96</v>
      </c>
      <c r="B84" s="47">
        <f>B82+B83</f>
        <v>4646.8693939393797</v>
      </c>
      <c r="C84" s="44"/>
      <c r="D84" s="44"/>
      <c r="E84" s="44"/>
      <c r="F84" s="44"/>
      <c r="G84" s="44"/>
      <c r="H84" s="47">
        <f t="shared" ref="H84" si="28">H82+H83</f>
        <v>9820.2206060606059</v>
      </c>
      <c r="I84" s="44"/>
      <c r="J84" s="44"/>
      <c r="K84" s="44"/>
      <c r="L84" s="44"/>
      <c r="M84" s="44"/>
      <c r="N84" s="47">
        <f t="shared" ref="N84" si="29">N82+N83</f>
        <v>51303.668181818131</v>
      </c>
      <c r="O84" s="44"/>
      <c r="P84" s="44"/>
      <c r="Q84" s="44"/>
      <c r="R84" s="44"/>
      <c r="S84" s="44"/>
    </row>
    <row r="85" spans="1:19" x14ac:dyDescent="0.2">
      <c r="A85" s="46" t="s">
        <v>90</v>
      </c>
      <c r="B85" s="56">
        <f>IF(N67 = "June", S73+$C$73, S73)</f>
        <v>15</v>
      </c>
      <c r="C85" s="56">
        <f>IF(O67 = "June", B85+$C$73, B85)</f>
        <v>20</v>
      </c>
      <c r="D85" s="56">
        <f>IF(P67 = "June", C85+$C$73, C85)</f>
        <v>20</v>
      </c>
      <c r="E85" s="56">
        <f>IF(Q67 = "June", D85+$C$73, D85)</f>
        <v>20</v>
      </c>
      <c r="F85" s="56">
        <f>IF(R67 = "June", E85+$C$73, E85)</f>
        <v>20</v>
      </c>
      <c r="G85" s="56">
        <f>IF(S67 = "June", F85+$C$73, F85)</f>
        <v>20</v>
      </c>
      <c r="H85" s="56">
        <f t="shared" ref="H85:S85" si="30">IF(B79 = "June", G85+$C$73, G85)</f>
        <v>20</v>
      </c>
      <c r="I85" s="56">
        <f t="shared" si="30"/>
        <v>25</v>
      </c>
      <c r="J85" s="56">
        <f t="shared" si="30"/>
        <v>25</v>
      </c>
      <c r="K85" s="56">
        <f t="shared" si="30"/>
        <v>25</v>
      </c>
      <c r="L85" s="56">
        <f t="shared" si="30"/>
        <v>25</v>
      </c>
      <c r="M85" s="56">
        <f t="shared" si="30"/>
        <v>25</v>
      </c>
      <c r="N85" s="56">
        <f t="shared" si="30"/>
        <v>25</v>
      </c>
      <c r="O85" s="56">
        <f t="shared" si="30"/>
        <v>30</v>
      </c>
      <c r="P85" s="56">
        <f t="shared" si="30"/>
        <v>30</v>
      </c>
      <c r="Q85" s="56">
        <f t="shared" si="30"/>
        <v>30</v>
      </c>
      <c r="R85" s="56">
        <f t="shared" si="30"/>
        <v>30</v>
      </c>
      <c r="S85" s="56">
        <f t="shared" si="30"/>
        <v>30</v>
      </c>
    </row>
    <row r="86" spans="1:19" x14ac:dyDescent="0.2">
      <c r="A86" s="46" t="s">
        <v>93</v>
      </c>
      <c r="B86" s="56">
        <f>IF(N67 = "June", S74+$C$74, S74)</f>
        <v>6</v>
      </c>
      <c r="C86" s="56">
        <f>IF(O67 = "June", B86+$C$74, B86)</f>
        <v>8</v>
      </c>
      <c r="D86" s="56">
        <f>IF(P67 = "June", C86+$C$74, C86)</f>
        <v>8</v>
      </c>
      <c r="E86" s="56">
        <f>IF(Q67 = "June", D86+$C$74, D86)</f>
        <v>8</v>
      </c>
      <c r="F86" s="56">
        <f>IF(R67 = "June", E86+$C$74, E86)</f>
        <v>8</v>
      </c>
      <c r="G86" s="56">
        <f>IF(S67 = "June", F86+$C$74, F86)</f>
        <v>8</v>
      </c>
      <c r="H86" s="56">
        <f t="shared" ref="H86:S86" si="31">IF(B79 = "June", G86+$C$74, G86)</f>
        <v>8</v>
      </c>
      <c r="I86" s="56">
        <f t="shared" si="31"/>
        <v>10</v>
      </c>
      <c r="J86" s="56">
        <f t="shared" si="31"/>
        <v>10</v>
      </c>
      <c r="K86" s="56">
        <f t="shared" si="31"/>
        <v>10</v>
      </c>
      <c r="L86" s="56">
        <f t="shared" si="31"/>
        <v>10</v>
      </c>
      <c r="M86" s="56">
        <f t="shared" si="31"/>
        <v>10</v>
      </c>
      <c r="N86" s="56">
        <f t="shared" si="31"/>
        <v>10</v>
      </c>
      <c r="O86" s="56">
        <f t="shared" si="31"/>
        <v>12</v>
      </c>
      <c r="P86" s="56">
        <f t="shared" si="31"/>
        <v>12</v>
      </c>
      <c r="Q86" s="56">
        <f t="shared" si="31"/>
        <v>12</v>
      </c>
      <c r="R86" s="56">
        <f t="shared" si="31"/>
        <v>12</v>
      </c>
      <c r="S86" s="56">
        <f t="shared" si="31"/>
        <v>12</v>
      </c>
    </row>
    <row r="87" spans="1:19" x14ac:dyDescent="0.2">
      <c r="A87" s="46" t="s">
        <v>91</v>
      </c>
      <c r="B87" s="56">
        <f>IF(N67 = "June", S75+$C$75, S75)</f>
        <v>45</v>
      </c>
      <c r="C87" s="56">
        <f>IF(O67 = "June", B87+$C$75, B87)</f>
        <v>60</v>
      </c>
      <c r="D87" s="56">
        <f>IF(P67 = "June", C87+$C$75, C87)</f>
        <v>60</v>
      </c>
      <c r="E87" s="56">
        <f>IF(Q67 = "June", D87+$C$75, D87)</f>
        <v>60</v>
      </c>
      <c r="F87" s="56">
        <f>IF(R67 = "June", E87+$C$75, E87)</f>
        <v>60</v>
      </c>
      <c r="G87" s="56">
        <f>IF(S67 = "June", F87+$C$75, F87)</f>
        <v>60</v>
      </c>
      <c r="H87" s="56">
        <f t="shared" ref="H87:S87" si="32">IF(B79 = "June", G87+$C$75, G87)</f>
        <v>60</v>
      </c>
      <c r="I87" s="56">
        <f t="shared" si="32"/>
        <v>75</v>
      </c>
      <c r="J87" s="56">
        <f t="shared" si="32"/>
        <v>75</v>
      </c>
      <c r="K87" s="56">
        <f t="shared" si="32"/>
        <v>75</v>
      </c>
      <c r="L87" s="56">
        <f t="shared" si="32"/>
        <v>75</v>
      </c>
      <c r="M87" s="56">
        <f t="shared" si="32"/>
        <v>75</v>
      </c>
      <c r="N87" s="56">
        <f t="shared" si="32"/>
        <v>75</v>
      </c>
      <c r="O87" s="56">
        <f t="shared" si="32"/>
        <v>90</v>
      </c>
      <c r="P87" s="56">
        <f t="shared" si="32"/>
        <v>90</v>
      </c>
      <c r="Q87" s="56">
        <f t="shared" si="32"/>
        <v>90</v>
      </c>
      <c r="R87" s="56">
        <f t="shared" si="32"/>
        <v>90</v>
      </c>
      <c r="S87" s="56">
        <f t="shared" si="32"/>
        <v>90</v>
      </c>
    </row>
    <row r="88" spans="1:19" x14ac:dyDescent="0.2">
      <c r="H88"/>
      <c r="N88"/>
    </row>
    <row r="89" spans="1:19" x14ac:dyDescent="0.2">
      <c r="A89" s="51"/>
      <c r="B89" s="54" t="s">
        <v>84</v>
      </c>
      <c r="C89" s="51"/>
      <c r="D89" s="51"/>
      <c r="E89" s="51"/>
      <c r="F89" s="51"/>
      <c r="G89" s="51"/>
      <c r="H89" s="54" t="s">
        <v>85</v>
      </c>
      <c r="I89" s="51"/>
      <c r="J89" s="51"/>
      <c r="K89" s="51"/>
      <c r="L89" s="51"/>
      <c r="M89" s="51"/>
      <c r="N89" s="54" t="s">
        <v>86</v>
      </c>
      <c r="O89" s="51"/>
      <c r="P89" s="51"/>
      <c r="Q89" s="51"/>
      <c r="R89" s="51"/>
      <c r="S89" s="52"/>
    </row>
    <row r="90" spans="1:19" x14ac:dyDescent="0.2">
      <c r="A90" s="45"/>
      <c r="B90" s="46" t="str">
        <f t="shared" ref="B90:G90" si="33">N79</f>
        <v>May</v>
      </c>
      <c r="C90" s="46" t="str">
        <f t="shared" si="33"/>
        <v>June</v>
      </c>
      <c r="D90" s="46" t="str">
        <f t="shared" si="33"/>
        <v>July</v>
      </c>
      <c r="E90" s="46" t="str">
        <f t="shared" si="33"/>
        <v>August</v>
      </c>
      <c r="F90" s="46" t="str">
        <f t="shared" si="33"/>
        <v>September</v>
      </c>
      <c r="G90" s="46" t="str">
        <f t="shared" si="33"/>
        <v>October</v>
      </c>
      <c r="H90" s="46" t="str">
        <f t="shared" ref="H90:S90" si="34">B90</f>
        <v>May</v>
      </c>
      <c r="I90" s="46" t="str">
        <f t="shared" si="34"/>
        <v>June</v>
      </c>
      <c r="J90" s="46" t="str">
        <f t="shared" si="34"/>
        <v>July</v>
      </c>
      <c r="K90" s="46" t="str">
        <f t="shared" si="34"/>
        <v>August</v>
      </c>
      <c r="L90" s="46" t="str">
        <f t="shared" si="34"/>
        <v>September</v>
      </c>
      <c r="M90" s="46" t="str">
        <f t="shared" si="34"/>
        <v>October</v>
      </c>
      <c r="N90" s="46" t="str">
        <f t="shared" si="34"/>
        <v>May</v>
      </c>
      <c r="O90" s="46" t="str">
        <f t="shared" si="34"/>
        <v>June</v>
      </c>
      <c r="P90" s="46" t="str">
        <f t="shared" si="34"/>
        <v>July</v>
      </c>
      <c r="Q90" s="46" t="str">
        <f t="shared" si="34"/>
        <v>August</v>
      </c>
      <c r="R90" s="46" t="str">
        <f t="shared" si="34"/>
        <v>September</v>
      </c>
      <c r="S90" s="46" t="str">
        <f t="shared" si="34"/>
        <v>October</v>
      </c>
    </row>
    <row r="91" spans="1:19" x14ac:dyDescent="0.2">
      <c r="A91" s="46" t="s">
        <v>0</v>
      </c>
      <c r="B91" s="44">
        <f>O80+F15+F14</f>
        <v>42015.15151515152</v>
      </c>
      <c r="C91" s="44">
        <f>P80</f>
        <v>40409.090909090912</v>
      </c>
      <c r="D91" s="44">
        <f>Q80</f>
        <v>40409.090909090912</v>
      </c>
      <c r="E91" s="44">
        <f>R80</f>
        <v>40409.090909090912</v>
      </c>
      <c r="F91" s="44">
        <f>S80</f>
        <v>40409.090909090912</v>
      </c>
      <c r="G91" s="44">
        <f>F91</f>
        <v>40409.090909090912</v>
      </c>
      <c r="H91" s="44">
        <f t="shared" ref="H91:M91" si="35">B91</f>
        <v>42015.15151515152</v>
      </c>
      <c r="I91" s="44">
        <f t="shared" si="35"/>
        <v>40409.090909090912</v>
      </c>
      <c r="J91" s="44">
        <f t="shared" si="35"/>
        <v>40409.090909090912</v>
      </c>
      <c r="K91" s="44">
        <f t="shared" si="35"/>
        <v>40409.090909090912</v>
      </c>
      <c r="L91" s="44">
        <f t="shared" si="35"/>
        <v>40409.090909090912</v>
      </c>
      <c r="M91" s="44">
        <f t="shared" si="35"/>
        <v>40409.090909090912</v>
      </c>
      <c r="N91" s="44">
        <f t="shared" ref="N91:S91" si="36">B91</f>
        <v>42015.15151515152</v>
      </c>
      <c r="O91" s="44">
        <f t="shared" si="36"/>
        <v>40409.090909090912</v>
      </c>
      <c r="P91" s="44">
        <f t="shared" si="36"/>
        <v>40409.090909090912</v>
      </c>
      <c r="Q91" s="44">
        <f t="shared" si="36"/>
        <v>40409.090909090912</v>
      </c>
      <c r="R91" s="44">
        <f t="shared" si="36"/>
        <v>40409.090909090912</v>
      </c>
      <c r="S91" s="44">
        <f t="shared" si="36"/>
        <v>40409.090909090912</v>
      </c>
    </row>
    <row r="92" spans="1:19" x14ac:dyDescent="0.2">
      <c r="A92" s="46" t="s">
        <v>95</v>
      </c>
      <c r="B92" s="44">
        <f t="shared" ref="B92:S92" si="37">$O$81</f>
        <v>54127.799999999988</v>
      </c>
      <c r="C92" s="44">
        <f t="shared" si="37"/>
        <v>54127.799999999988</v>
      </c>
      <c r="D92" s="44">
        <f t="shared" si="37"/>
        <v>54127.799999999988</v>
      </c>
      <c r="E92" s="44">
        <f t="shared" si="37"/>
        <v>54127.799999999988</v>
      </c>
      <c r="F92" s="44">
        <f t="shared" si="37"/>
        <v>54127.799999999988</v>
      </c>
      <c r="G92" s="44">
        <f t="shared" si="37"/>
        <v>54127.799999999988</v>
      </c>
      <c r="H92" s="44">
        <f t="shared" si="37"/>
        <v>54127.799999999988</v>
      </c>
      <c r="I92" s="44">
        <f t="shared" si="37"/>
        <v>54127.799999999988</v>
      </c>
      <c r="J92" s="44">
        <f t="shared" si="37"/>
        <v>54127.799999999988</v>
      </c>
      <c r="K92" s="44">
        <f t="shared" si="37"/>
        <v>54127.799999999988</v>
      </c>
      <c r="L92" s="44">
        <f t="shared" si="37"/>
        <v>54127.799999999988</v>
      </c>
      <c r="M92" s="44">
        <f t="shared" si="37"/>
        <v>54127.799999999988</v>
      </c>
      <c r="N92" s="44">
        <f t="shared" si="37"/>
        <v>54127.799999999988</v>
      </c>
      <c r="O92" s="44">
        <f t="shared" si="37"/>
        <v>54127.799999999988</v>
      </c>
      <c r="P92" s="44">
        <f t="shared" si="37"/>
        <v>54127.799999999988</v>
      </c>
      <c r="Q92" s="44">
        <f t="shared" si="37"/>
        <v>54127.799999999988</v>
      </c>
      <c r="R92" s="44">
        <f t="shared" si="37"/>
        <v>54127.799999999988</v>
      </c>
      <c r="S92" s="44">
        <f t="shared" si="37"/>
        <v>54127.799999999988</v>
      </c>
    </row>
    <row r="93" spans="1:19" x14ac:dyDescent="0.2">
      <c r="A93" s="46" t="s">
        <v>92</v>
      </c>
      <c r="B93" s="47">
        <f>SUM(B92:G92)-SUM(B91:G91)</f>
        <v>80706.193939393852</v>
      </c>
      <c r="C93" s="44"/>
      <c r="D93" s="44"/>
      <c r="E93" s="44"/>
      <c r="F93" s="44"/>
      <c r="G93" s="44"/>
      <c r="H93" s="47">
        <f t="shared" ref="H93" si="38">SUM(H92:M92)-SUM(H91:M91)</f>
        <v>80706.193939393852</v>
      </c>
      <c r="I93" s="44"/>
      <c r="J93" s="44"/>
      <c r="K93" s="44"/>
      <c r="L93" s="44"/>
      <c r="M93" s="44"/>
      <c r="N93" s="47">
        <f t="shared" ref="N93" si="39">SUM(N92:S92)-SUM(N91:S91)</f>
        <v>80706.193939393852</v>
      </c>
      <c r="O93" s="44"/>
      <c r="P93" s="44"/>
      <c r="Q93" s="44"/>
      <c r="R93" s="44"/>
      <c r="S93" s="44"/>
    </row>
    <row r="94" spans="1:19" x14ac:dyDescent="0.2">
      <c r="A94" s="46" t="s">
        <v>94</v>
      </c>
      <c r="B94" s="47">
        <f>-B93*20%</f>
        <v>-16141.23878787877</v>
      </c>
      <c r="C94" s="44"/>
      <c r="D94" s="44"/>
      <c r="E94" s="44"/>
      <c r="F94" s="44"/>
      <c r="G94" s="44"/>
      <c r="H94" s="47">
        <f t="shared" ref="H94" si="40">-H93*30%</f>
        <v>-24211.858181818156</v>
      </c>
      <c r="I94" s="44"/>
      <c r="J94" s="44"/>
      <c r="K94" s="44"/>
      <c r="L94" s="44"/>
      <c r="M94" s="44"/>
      <c r="N94" s="47">
        <f t="shared" ref="N94" si="41">-N93*20%</f>
        <v>-16141.23878787877</v>
      </c>
      <c r="O94" s="44"/>
      <c r="P94" s="44"/>
      <c r="Q94" s="44"/>
      <c r="R94" s="44"/>
      <c r="S94" s="44"/>
    </row>
    <row r="95" spans="1:19" x14ac:dyDescent="0.2">
      <c r="A95" s="46" t="s">
        <v>96</v>
      </c>
      <c r="B95" s="47">
        <f>B93+B94</f>
        <v>64564.955151515082</v>
      </c>
      <c r="C95" s="44"/>
      <c r="D95" s="44"/>
      <c r="E95" s="44"/>
      <c r="F95" s="44"/>
      <c r="G95" s="44"/>
      <c r="H95" s="47">
        <f t="shared" ref="H95" si="42">H93+H94</f>
        <v>56494.335757575696</v>
      </c>
      <c r="I95" s="44"/>
      <c r="J95" s="44"/>
      <c r="K95" s="44"/>
      <c r="L95" s="44"/>
      <c r="M95" s="44"/>
      <c r="N95" s="47">
        <f t="shared" ref="N95" si="43">N93+N94</f>
        <v>64564.955151515082</v>
      </c>
      <c r="O95" s="44"/>
      <c r="P95" s="44"/>
      <c r="Q95" s="44"/>
      <c r="R95" s="44"/>
      <c r="S95" s="44"/>
    </row>
    <row r="96" spans="1:19" x14ac:dyDescent="0.2">
      <c r="A96" s="46" t="s">
        <v>90</v>
      </c>
      <c r="B96" s="56">
        <f t="shared" ref="B96:S96" si="44">$O$85</f>
        <v>30</v>
      </c>
      <c r="C96" s="56">
        <f t="shared" si="44"/>
        <v>30</v>
      </c>
      <c r="D96" s="56">
        <f t="shared" si="44"/>
        <v>30</v>
      </c>
      <c r="E96" s="56">
        <f t="shared" si="44"/>
        <v>30</v>
      </c>
      <c r="F96" s="56">
        <f t="shared" si="44"/>
        <v>30</v>
      </c>
      <c r="G96" s="56">
        <f t="shared" si="44"/>
        <v>30</v>
      </c>
      <c r="H96" s="56">
        <f t="shared" si="44"/>
        <v>30</v>
      </c>
      <c r="I96" s="56">
        <f t="shared" si="44"/>
        <v>30</v>
      </c>
      <c r="J96" s="56">
        <f t="shared" si="44"/>
        <v>30</v>
      </c>
      <c r="K96" s="56">
        <f t="shared" si="44"/>
        <v>30</v>
      </c>
      <c r="L96" s="56">
        <f t="shared" si="44"/>
        <v>30</v>
      </c>
      <c r="M96" s="56">
        <f t="shared" si="44"/>
        <v>30</v>
      </c>
      <c r="N96" s="56">
        <f t="shared" si="44"/>
        <v>30</v>
      </c>
      <c r="O96" s="56">
        <f t="shared" si="44"/>
        <v>30</v>
      </c>
      <c r="P96" s="56">
        <f t="shared" si="44"/>
        <v>30</v>
      </c>
      <c r="Q96" s="56">
        <f t="shared" si="44"/>
        <v>30</v>
      </c>
      <c r="R96" s="56">
        <f t="shared" si="44"/>
        <v>30</v>
      </c>
      <c r="S96" s="56">
        <f t="shared" si="44"/>
        <v>30</v>
      </c>
    </row>
    <row r="97" spans="1:19" x14ac:dyDescent="0.2">
      <c r="A97" s="46" t="s">
        <v>93</v>
      </c>
      <c r="B97" s="56">
        <f t="shared" ref="B97:S97" si="45">$O$86</f>
        <v>12</v>
      </c>
      <c r="C97" s="56">
        <f t="shared" si="45"/>
        <v>12</v>
      </c>
      <c r="D97" s="56">
        <f t="shared" si="45"/>
        <v>12</v>
      </c>
      <c r="E97" s="56">
        <f t="shared" si="45"/>
        <v>12</v>
      </c>
      <c r="F97" s="56">
        <f t="shared" si="45"/>
        <v>12</v>
      </c>
      <c r="G97" s="56">
        <f t="shared" si="45"/>
        <v>12</v>
      </c>
      <c r="H97" s="56">
        <f t="shared" si="45"/>
        <v>12</v>
      </c>
      <c r="I97" s="56">
        <f t="shared" si="45"/>
        <v>12</v>
      </c>
      <c r="J97" s="56">
        <f t="shared" si="45"/>
        <v>12</v>
      </c>
      <c r="K97" s="56">
        <f t="shared" si="45"/>
        <v>12</v>
      </c>
      <c r="L97" s="56">
        <f t="shared" si="45"/>
        <v>12</v>
      </c>
      <c r="M97" s="56">
        <f t="shared" si="45"/>
        <v>12</v>
      </c>
      <c r="N97" s="56">
        <f t="shared" si="45"/>
        <v>12</v>
      </c>
      <c r="O97" s="56">
        <f t="shared" si="45"/>
        <v>12</v>
      </c>
      <c r="P97" s="56">
        <f t="shared" si="45"/>
        <v>12</v>
      </c>
      <c r="Q97" s="56">
        <f t="shared" si="45"/>
        <v>12</v>
      </c>
      <c r="R97" s="56">
        <f t="shared" si="45"/>
        <v>12</v>
      </c>
      <c r="S97" s="56">
        <f t="shared" si="45"/>
        <v>12</v>
      </c>
    </row>
    <row r="98" spans="1:19" x14ac:dyDescent="0.2">
      <c r="A98" s="46" t="s">
        <v>91</v>
      </c>
      <c r="B98" s="56">
        <f t="shared" ref="B98:S98" si="46">$O$87</f>
        <v>90</v>
      </c>
      <c r="C98" s="56">
        <f t="shared" si="46"/>
        <v>90</v>
      </c>
      <c r="D98" s="56">
        <f t="shared" si="46"/>
        <v>90</v>
      </c>
      <c r="E98" s="56">
        <f t="shared" si="46"/>
        <v>90</v>
      </c>
      <c r="F98" s="56">
        <f t="shared" si="46"/>
        <v>90</v>
      </c>
      <c r="G98" s="56">
        <f t="shared" si="46"/>
        <v>90</v>
      </c>
      <c r="H98" s="56">
        <f t="shared" si="46"/>
        <v>90</v>
      </c>
      <c r="I98" s="56">
        <f t="shared" si="46"/>
        <v>90</v>
      </c>
      <c r="J98" s="56">
        <f t="shared" si="46"/>
        <v>90</v>
      </c>
      <c r="K98" s="56">
        <f t="shared" si="46"/>
        <v>90</v>
      </c>
      <c r="L98" s="56">
        <f t="shared" si="46"/>
        <v>90</v>
      </c>
      <c r="M98" s="56">
        <f t="shared" si="46"/>
        <v>90</v>
      </c>
      <c r="N98" s="56">
        <f t="shared" si="46"/>
        <v>90</v>
      </c>
      <c r="O98" s="56">
        <f t="shared" si="46"/>
        <v>90</v>
      </c>
      <c r="P98" s="56">
        <f t="shared" si="46"/>
        <v>90</v>
      </c>
      <c r="Q98" s="56">
        <f t="shared" si="46"/>
        <v>90</v>
      </c>
      <c r="R98" s="56">
        <f t="shared" si="46"/>
        <v>90</v>
      </c>
      <c r="S98" s="56">
        <f t="shared" si="46"/>
        <v>90</v>
      </c>
    </row>
    <row r="100" spans="1:19" x14ac:dyDescent="0.2">
      <c r="B100" s="64"/>
      <c r="C100" s="64"/>
      <c r="D100" s="64" t="s">
        <v>97</v>
      </c>
      <c r="E100" s="64" t="s">
        <v>78</v>
      </c>
      <c r="F100" s="64" t="s">
        <v>98</v>
      </c>
      <c r="G100" s="64" t="s">
        <v>99</v>
      </c>
      <c r="H100" s="64" t="s">
        <v>100</v>
      </c>
      <c r="I100" s="64" t="s">
        <v>101</v>
      </c>
      <c r="J100" s="64" t="s">
        <v>102</v>
      </c>
      <c r="K100" s="64" t="s">
        <v>103</v>
      </c>
      <c r="L100" s="64" t="s">
        <v>104</v>
      </c>
    </row>
    <row r="101" spans="1:19" x14ac:dyDescent="0.2">
      <c r="B101" s="64" t="s">
        <v>87</v>
      </c>
      <c r="C101" s="65">
        <f>SUM(D101:L101)</f>
        <v>123781.21590026318</v>
      </c>
      <c r="D101" s="61">
        <f>D103</f>
        <v>-25951.163636363635</v>
      </c>
      <c r="E101" s="61">
        <f t="shared" ref="E101:L101" si="47">E103/(1.08^E111)</f>
        <v>-4438.2062289562427</v>
      </c>
      <c r="F101" s="61">
        <f t="shared" si="47"/>
        <v>-186.03109282123887</v>
      </c>
      <c r="G101" s="61">
        <f t="shared" si="47"/>
        <v>3688.8347447189349</v>
      </c>
      <c r="H101" s="61">
        <f t="shared" si="47"/>
        <v>7218.1553065014241</v>
      </c>
      <c r="I101" s="61">
        <f t="shared" si="47"/>
        <v>34916.414510740615</v>
      </c>
      <c r="J101" s="61">
        <f t="shared" si="47"/>
        <v>40686.873697554642</v>
      </c>
      <c r="K101" s="61">
        <f t="shared" si="47"/>
        <v>32963.902301259543</v>
      </c>
      <c r="L101" s="61">
        <f t="shared" si="47"/>
        <v>34882.436297629145</v>
      </c>
    </row>
    <row r="102" spans="1:19" s="31" customFormat="1" x14ac:dyDescent="0.2">
      <c r="B102" s="64" t="s">
        <v>88</v>
      </c>
      <c r="C102" s="66">
        <f>IRR(D101:L101)</f>
        <v>0.31578521256361514</v>
      </c>
      <c r="D102" s="60"/>
      <c r="E102" s="60"/>
      <c r="F102" s="60"/>
      <c r="G102" s="60"/>
      <c r="H102" s="60"/>
      <c r="I102" s="60"/>
      <c r="J102" s="60"/>
      <c r="K102" s="60"/>
      <c r="L102" s="60"/>
    </row>
    <row r="103" spans="1:19" x14ac:dyDescent="0.2">
      <c r="B103" s="64" t="s">
        <v>111</v>
      </c>
      <c r="C103" s="62">
        <f>NPV(8%,D103:L103)</f>
        <v>114612.23694468812</v>
      </c>
      <c r="D103" s="61">
        <f>B72</f>
        <v>-25951.163636363635</v>
      </c>
      <c r="E103" s="61">
        <f>H72</f>
        <v>-4793.2627272727423</v>
      </c>
      <c r="F103" s="61">
        <f>N72</f>
        <v>-216.98666666669305</v>
      </c>
      <c r="G103" s="61">
        <f>B84</f>
        <v>4646.8693939393797</v>
      </c>
      <c r="H103" s="61">
        <f>H84</f>
        <v>9820.2206060606059</v>
      </c>
      <c r="I103" s="61">
        <f>N84</f>
        <v>51303.668181818131</v>
      </c>
      <c r="J103" s="61">
        <f>B95</f>
        <v>64564.955151515082</v>
      </c>
      <c r="K103" s="61">
        <f>H95</f>
        <v>56494.335757575696</v>
      </c>
      <c r="L103" s="61">
        <f>N95</f>
        <v>64564.955151515082</v>
      </c>
    </row>
    <row r="104" spans="1:19" x14ac:dyDescent="0.2">
      <c r="B104" s="64"/>
      <c r="C104" s="64" t="s">
        <v>107</v>
      </c>
      <c r="D104" s="64" t="s">
        <v>97</v>
      </c>
      <c r="E104" s="64" t="s">
        <v>78</v>
      </c>
      <c r="F104" s="64" t="s">
        <v>98</v>
      </c>
      <c r="G104" s="64" t="s">
        <v>99</v>
      </c>
      <c r="H104" s="64" t="s">
        <v>100</v>
      </c>
      <c r="I104" s="64" t="s">
        <v>101</v>
      </c>
      <c r="J104" s="64" t="s">
        <v>102</v>
      </c>
      <c r="K104" s="64" t="s">
        <v>103</v>
      </c>
      <c r="L104" s="64" t="s">
        <v>104</v>
      </c>
    </row>
    <row r="105" spans="1:19" s="31" customFormat="1" x14ac:dyDescent="0.2">
      <c r="B105" s="64" t="s">
        <v>105</v>
      </c>
      <c r="C105" s="60">
        <f>SUM(D105:H105)</f>
        <v>-498896.96969696973</v>
      </c>
      <c r="D105" s="60">
        <f>D106</f>
        <v>-77545.454545454544</v>
      </c>
      <c r="E105" s="60">
        <f>E106</f>
        <v>-106081.81818181819</v>
      </c>
      <c r="F105" s="60">
        <f>F106</f>
        <v>-153633.33333333334</v>
      </c>
      <c r="G105" s="60">
        <f>G106</f>
        <v>-161636.36363636365</v>
      </c>
      <c r="H105" s="60"/>
      <c r="I105" s="60" t="s">
        <v>112</v>
      </c>
      <c r="J105" s="60" t="s">
        <v>112</v>
      </c>
      <c r="K105" s="60"/>
      <c r="L105" s="60"/>
    </row>
    <row r="106" spans="1:19" x14ac:dyDescent="0.2">
      <c r="B106" s="64" t="s">
        <v>0</v>
      </c>
      <c r="C106" s="62">
        <f>NPV(8%,D106:L106)</f>
        <v>-1122358.2451994179</v>
      </c>
      <c r="D106" s="61">
        <f>-SUM(B68:G68)</f>
        <v>-77545.454545454544</v>
      </c>
      <c r="E106" s="61">
        <f>-SUM(H68:M68)</f>
        <v>-106081.81818181819</v>
      </c>
      <c r="F106" s="61">
        <f>-SUM(N68:S68)</f>
        <v>-153633.33333333334</v>
      </c>
      <c r="G106" s="61">
        <f>-SUM(C80:G80)</f>
        <v>-161636.36363636365</v>
      </c>
      <c r="H106" s="61">
        <f>-SUM(H80:M80)</f>
        <v>-249342.42424242425</v>
      </c>
      <c r="I106" s="61">
        <f>-SUM(N80:S80)</f>
        <v>-242454.54545454547</v>
      </c>
      <c r="J106" s="61">
        <f>-SUM(B91:G91)</f>
        <v>-244060.60606060608</v>
      </c>
      <c r="K106" s="61">
        <f>-SUM(H91:M91)</f>
        <v>-244060.60606060608</v>
      </c>
      <c r="L106" s="61">
        <f>-SUM(N91:S91)</f>
        <v>-244060.60606060608</v>
      </c>
    </row>
    <row r="107" spans="1:19" x14ac:dyDescent="0.2">
      <c r="B107" s="64"/>
      <c r="C107" s="64" t="s">
        <v>108</v>
      </c>
      <c r="D107" s="64" t="s">
        <v>97</v>
      </c>
      <c r="E107" s="64" t="s">
        <v>78</v>
      </c>
      <c r="F107" s="64" t="s">
        <v>98</v>
      </c>
      <c r="G107" s="64" t="s">
        <v>99</v>
      </c>
      <c r="H107" s="64" t="s">
        <v>100</v>
      </c>
      <c r="I107" s="64" t="s">
        <v>101</v>
      </c>
      <c r="J107" s="64" t="s">
        <v>102</v>
      </c>
      <c r="K107" s="64" t="s">
        <v>103</v>
      </c>
      <c r="L107" s="64" t="s">
        <v>104</v>
      </c>
    </row>
    <row r="108" spans="1:19" x14ac:dyDescent="0.2">
      <c r="B108" s="64" t="s">
        <v>109</v>
      </c>
      <c r="C108" s="62">
        <f>NPV(8%,D108:L108)</f>
        <v>1305547.5417670815</v>
      </c>
      <c r="D108" s="61">
        <f>SUM(B69:G69)</f>
        <v>45106.5</v>
      </c>
      <c r="E108" s="61">
        <f>SUM(H69:M69)</f>
        <v>99234.299999999988</v>
      </c>
      <c r="F108" s="61">
        <f>SUM(N69:S69)</f>
        <v>153362.09999999998</v>
      </c>
      <c r="G108" s="61">
        <f>SUM(B81:G81)</f>
        <v>207489.90000000002</v>
      </c>
      <c r="H108" s="61">
        <f>SUM(H81:M81)</f>
        <v>261617.7</v>
      </c>
      <c r="I108" s="61">
        <f>SUM(N81:S81)</f>
        <v>315745.49999999994</v>
      </c>
      <c r="J108" s="61">
        <f>SUM(B92:G92)</f>
        <v>324766.79999999993</v>
      </c>
      <c r="K108" s="61">
        <f>SUM(H92:M92)</f>
        <v>324766.79999999993</v>
      </c>
      <c r="L108" s="61">
        <f>SUM(N92:S92)</f>
        <v>324766.79999999993</v>
      </c>
    </row>
    <row r="109" spans="1:19" x14ac:dyDescent="0.2">
      <c r="B109" s="64"/>
      <c r="C109" s="64" t="s">
        <v>106</v>
      </c>
      <c r="D109" s="64" t="s">
        <v>97</v>
      </c>
      <c r="E109" s="64" t="s">
        <v>78</v>
      </c>
      <c r="F109" s="64" t="s">
        <v>98</v>
      </c>
      <c r="G109" s="64" t="s">
        <v>99</v>
      </c>
      <c r="H109" s="64" t="s">
        <v>100</v>
      </c>
      <c r="I109" s="64" t="s">
        <v>101</v>
      </c>
      <c r="J109" s="64" t="s">
        <v>102</v>
      </c>
      <c r="K109" s="64" t="s">
        <v>103</v>
      </c>
      <c r="L109" s="64" t="s">
        <v>104</v>
      </c>
    </row>
    <row r="110" spans="1:19" x14ac:dyDescent="0.2">
      <c r="B110" s="64" t="s">
        <v>110</v>
      </c>
      <c r="C110" s="63"/>
      <c r="D110" s="61">
        <f>D108+D106</f>
        <v>-32438.954545454544</v>
      </c>
      <c r="E110" s="61">
        <f t="shared" ref="E110:L110" si="48">E108+E106</f>
        <v>-6847.5181818182027</v>
      </c>
      <c r="F110" s="61">
        <f t="shared" si="48"/>
        <v>-271.23333333336632</v>
      </c>
      <c r="G110" s="61">
        <f t="shared" si="48"/>
        <v>45853.536363636376</v>
      </c>
      <c r="H110" s="61">
        <f t="shared" si="48"/>
        <v>12275.275757575757</v>
      </c>
      <c r="I110" s="61">
        <f t="shared" si="48"/>
        <v>73290.954545454471</v>
      </c>
      <c r="J110" s="61">
        <f t="shared" si="48"/>
        <v>80706.193939393852</v>
      </c>
      <c r="K110" s="61">
        <f t="shared" si="48"/>
        <v>80706.193939393852</v>
      </c>
      <c r="L110" s="61">
        <f t="shared" si="48"/>
        <v>80706.193939393852</v>
      </c>
    </row>
    <row r="111" spans="1:19" x14ac:dyDescent="0.2">
      <c r="B111" s="64" t="s">
        <v>113</v>
      </c>
      <c r="C111" s="67">
        <f>SUM(D110:L110)/-C105</f>
        <v>0.66943810588206631</v>
      </c>
      <c r="D111" s="68" t="s">
        <v>114</v>
      </c>
      <c r="E111" s="57">
        <v>1</v>
      </c>
      <c r="F111" s="57">
        <v>2</v>
      </c>
      <c r="G111" s="57">
        <v>3</v>
      </c>
      <c r="H111" s="57">
        <v>4</v>
      </c>
      <c r="I111" s="57">
        <v>5</v>
      </c>
      <c r="J111" s="57">
        <v>6</v>
      </c>
      <c r="K111" s="57">
        <v>7</v>
      </c>
      <c r="L111" s="57">
        <v>8</v>
      </c>
    </row>
    <row r="112" spans="1:19" ht="16.5" customHeight="1" x14ac:dyDescent="0.2">
      <c r="C112"/>
      <c r="D112"/>
      <c r="E112"/>
      <c r="F112"/>
      <c r="G112"/>
    </row>
    <row r="113" spans="2:8" x14ac:dyDescent="0.2">
      <c r="D113" s="64" t="s">
        <v>97</v>
      </c>
      <c r="E113" s="64" t="s">
        <v>78</v>
      </c>
      <c r="F113" s="64" t="s">
        <v>98</v>
      </c>
      <c r="G113" s="64" t="s">
        <v>99</v>
      </c>
      <c r="H113" s="64" t="s">
        <v>100</v>
      </c>
    </row>
    <row r="114" spans="2:8" x14ac:dyDescent="0.2">
      <c r="C114" s="64" t="s">
        <v>111</v>
      </c>
      <c r="D114" s="61">
        <v>45106.5</v>
      </c>
      <c r="E114" s="61">
        <v>99234.299999999988</v>
      </c>
      <c r="F114" s="61">
        <v>153362.09999999998</v>
      </c>
      <c r="G114" s="61">
        <v>207489.90000000002</v>
      </c>
      <c r="H114" s="61">
        <f>H108</f>
        <v>261617.7</v>
      </c>
    </row>
    <row r="115" spans="2:8" x14ac:dyDescent="0.2">
      <c r="C115" s="64" t="s">
        <v>111</v>
      </c>
      <c r="D115" s="69">
        <f>D114/D116</f>
        <v>9.0412455356058213E-2</v>
      </c>
      <c r="E115" s="69">
        <f t="shared" ref="E115:H115" si="49">E114/E116</f>
        <v>0.19890740178332803</v>
      </c>
      <c r="F115" s="69">
        <f t="shared" si="49"/>
        <v>0.30740234821059786</v>
      </c>
      <c r="G115" s="69">
        <f t="shared" si="49"/>
        <v>0.41589729463786779</v>
      </c>
      <c r="H115" s="69">
        <f t="shared" si="49"/>
        <v>0.5243922410651376</v>
      </c>
    </row>
    <row r="116" spans="2:8" x14ac:dyDescent="0.2">
      <c r="C116" s="64" t="s">
        <v>105</v>
      </c>
      <c r="D116" s="3">
        <f>-$C$105</f>
        <v>498896.96969696973</v>
      </c>
      <c r="E116" s="3">
        <f t="shared" ref="E116:H116" si="50">-$C$105</f>
        <v>498896.96969696973</v>
      </c>
      <c r="F116" s="3">
        <f t="shared" si="50"/>
        <v>498896.96969696973</v>
      </c>
      <c r="G116" s="3">
        <f t="shared" si="50"/>
        <v>498896.96969696973</v>
      </c>
      <c r="H116" s="3">
        <f t="shared" si="50"/>
        <v>498896.96969696973</v>
      </c>
    </row>
    <row r="118" spans="2:8" x14ac:dyDescent="0.2">
      <c r="B118" s="73" t="s">
        <v>116</v>
      </c>
      <c r="C118" s="3" t="s">
        <v>115</v>
      </c>
      <c r="D118" s="3" t="s">
        <v>97</v>
      </c>
      <c r="E118" s="3" t="s">
        <v>78</v>
      </c>
      <c r="F118" s="3" t="s">
        <v>98</v>
      </c>
      <c r="G118" s="3" t="s">
        <v>99</v>
      </c>
      <c r="H118" s="72" t="s">
        <v>100</v>
      </c>
    </row>
    <row r="119" spans="2:8" x14ac:dyDescent="0.2">
      <c r="C119" s="3" t="s">
        <v>111</v>
      </c>
      <c r="D119" s="70">
        <v>9.0412455356058213E-2</v>
      </c>
      <c r="E119" s="70">
        <f>E115+Table1[[#This Row],[year 1]]</f>
        <v>0.28931985713938624</v>
      </c>
      <c r="F119" s="70">
        <f>F115+Table1[[#This Row],[year 2]]</f>
        <v>0.5967222053499841</v>
      </c>
      <c r="G119" s="70">
        <f>G115+Table1[[#This Row],[year 3]]</f>
        <v>1.0126194999878519</v>
      </c>
      <c r="H119" s="71">
        <f>Table1[[#This Row],[year 4]]+H115</f>
        <v>1.5370117410529895</v>
      </c>
    </row>
    <row r="120" spans="2:8" x14ac:dyDescent="0.2">
      <c r="C120" s="3" t="s">
        <v>105</v>
      </c>
      <c r="D120" s="70">
        <v>1</v>
      </c>
      <c r="E120" s="70">
        <v>1</v>
      </c>
      <c r="F120" s="70">
        <v>1</v>
      </c>
      <c r="G120" s="70">
        <v>1</v>
      </c>
      <c r="H120" s="71">
        <v>1</v>
      </c>
    </row>
  </sheetData>
  <phoneticPr fontId="8" type="noConversion"/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Cash Flow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Minh Ngo</dc:creator>
  <cp:lastModifiedBy>Nguyen Do</cp:lastModifiedBy>
  <dcterms:created xsi:type="dcterms:W3CDTF">2024-09-29T07:06:25Z</dcterms:created>
  <dcterms:modified xsi:type="dcterms:W3CDTF">2024-10-02T13:04:39Z</dcterms:modified>
</cp:coreProperties>
</file>